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D63F9657-4ADB-40CB-A7A8-92A636C6FC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L_Geometry" sheetId="1" r:id="rId1"/>
    <sheet name="Neighboring" sheetId="3" r:id="rId2"/>
    <sheet name="TL_data_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8" i="2" l="1"/>
  <c r="Q61" i="2"/>
  <c r="P61" i="2"/>
  <c r="P59" i="2"/>
  <c r="Q59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Q56" i="2"/>
  <c r="P57" i="2"/>
  <c r="Q57" i="2" s="1"/>
  <c r="P55" i="2"/>
  <c r="Q55" i="2" s="1"/>
  <c r="P54" i="2"/>
  <c r="Q54" i="2" s="1"/>
  <c r="I55" i="2" a="1"/>
  <c r="I55" i="2" s="1"/>
  <c r="I54" i="2" a="1"/>
  <c r="I54" i="2" s="1"/>
  <c r="P53" i="2"/>
  <c r="Q53" i="2" s="1"/>
  <c r="P52" i="2"/>
  <c r="Q52" i="2" s="1"/>
  <c r="P51" i="2"/>
  <c r="Q51" i="2" s="1"/>
  <c r="I53" i="2" a="1"/>
  <c r="I53" i="2" s="1"/>
  <c r="I52" i="2" a="1"/>
  <c r="I52" i="2" s="1"/>
  <c r="I51" i="2" a="1"/>
  <c r="I51" i="2" s="1"/>
  <c r="Q50" i="2"/>
  <c r="P50" i="2"/>
  <c r="P49" i="2"/>
  <c r="Q49" i="2" s="1"/>
  <c r="Q48" i="2"/>
  <c r="I50" i="2" a="1"/>
  <c r="I50" i="2" s="1"/>
  <c r="I48" i="2" a="1"/>
  <c r="I48" i="2" s="1"/>
  <c r="I49" i="2" a="1"/>
  <c r="I49" i="2" s="1"/>
  <c r="P47" i="2"/>
  <c r="Q47" i="2" s="1"/>
  <c r="I47" i="2" a="1"/>
  <c r="I47" i="2" s="1"/>
  <c r="Q46" i="2"/>
  <c r="I46" i="2" a="1"/>
  <c r="I46" i="2" s="1"/>
  <c r="M29" i="7"/>
  <c r="L29" i="7"/>
  <c r="K29" i="7"/>
  <c r="P29" i="7" s="1"/>
  <c r="J29" i="7"/>
  <c r="H29" i="7"/>
  <c r="G29" i="7"/>
  <c r="P30" i="7"/>
  <c r="M28" i="7"/>
  <c r="L28" i="7"/>
  <c r="K28" i="7"/>
  <c r="P28" i="7" s="1"/>
  <c r="J28" i="7"/>
  <c r="H28" i="7"/>
  <c r="G28" i="7"/>
  <c r="M27" i="7"/>
  <c r="L27" i="7"/>
  <c r="K27" i="7"/>
  <c r="P27" i="7" s="1"/>
  <c r="J27" i="7"/>
  <c r="H27" i="7"/>
  <c r="G27" i="7"/>
  <c r="M25" i="7"/>
  <c r="L25" i="7"/>
  <c r="K25" i="7"/>
  <c r="P25" i="7" s="1"/>
  <c r="J25" i="7"/>
  <c r="H25" i="7"/>
  <c r="G25" i="7"/>
  <c r="H22" i="7"/>
  <c r="G22" i="7"/>
  <c r="J22" i="7"/>
  <c r="M22" i="7"/>
  <c r="L22" i="7"/>
  <c r="K22" i="7"/>
  <c r="F22" i="7"/>
  <c r="P22" i="7"/>
  <c r="P21" i="7"/>
  <c r="P39" i="7"/>
  <c r="P40" i="7"/>
  <c r="P41" i="7"/>
  <c r="P42" i="7"/>
  <c r="P43" i="7"/>
  <c r="P44" i="7"/>
  <c r="P45" i="7"/>
  <c r="P46" i="7"/>
  <c r="P47" i="7"/>
  <c r="P48" i="7"/>
  <c r="P36" i="7"/>
  <c r="P37" i="7"/>
  <c r="P38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35" i="7"/>
  <c r="P2" i="7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2" i="2" a="1"/>
  <c r="I2" i="2" s="1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I25" i="1"/>
  <c r="AA25" i="1" s="1"/>
  <c r="BG25" i="1"/>
  <c r="Z25" i="1" s="1"/>
  <c r="AY25" i="1"/>
  <c r="AK25" i="1"/>
  <c r="AC25" i="1"/>
  <c r="Y25" i="1"/>
  <c r="U25" i="1"/>
  <c r="T25" i="1"/>
  <c r="S25" i="1"/>
  <c r="R25" i="1"/>
  <c r="Q25" i="1"/>
  <c r="P25" i="1"/>
  <c r="O25" i="1"/>
  <c r="K25" i="1"/>
  <c r="N25" i="1" s="1"/>
  <c r="BA13" i="1"/>
  <c r="AY13" i="1"/>
  <c r="AG13" i="1"/>
  <c r="AE13" i="1"/>
  <c r="AY12" i="1"/>
  <c r="BA12" i="1"/>
  <c r="AT12" i="1"/>
  <c r="T12" i="1" s="1"/>
  <c r="AP12" i="1"/>
  <c r="R12" i="1"/>
  <c r="AG12" i="1"/>
  <c r="N12" i="1" s="1"/>
  <c r="AE12" i="1"/>
  <c r="M12" i="1" s="1"/>
  <c r="L12" i="1"/>
  <c r="AA12" i="1"/>
  <c r="Z12" i="1"/>
  <c r="Y12" i="1"/>
  <c r="X12" i="1"/>
  <c r="W12" i="1"/>
  <c r="U12" i="1"/>
  <c r="S12" i="1"/>
  <c r="Q12" i="1"/>
  <c r="P12" i="1"/>
  <c r="O12" i="1"/>
  <c r="K12" i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7" i="1"/>
  <c r="Z67" i="1"/>
  <c r="Y67" i="1"/>
  <c r="X67" i="1"/>
  <c r="U67" i="1"/>
  <c r="T67" i="1"/>
  <c r="S67" i="1"/>
  <c r="R67" i="1"/>
  <c r="Q67" i="1"/>
  <c r="P67" i="1"/>
  <c r="O67" i="1"/>
  <c r="K67" i="1"/>
  <c r="N67" i="1" s="1"/>
  <c r="AA66" i="1"/>
  <c r="Z66" i="1"/>
  <c r="Y66" i="1"/>
  <c r="U66" i="1"/>
  <c r="T66" i="1"/>
  <c r="S66" i="1"/>
  <c r="R66" i="1"/>
  <c r="Q66" i="1"/>
  <c r="P66" i="1"/>
  <c r="O66" i="1"/>
  <c r="K66" i="1"/>
  <c r="V66" i="1" s="1"/>
  <c r="AA65" i="1"/>
  <c r="Z65" i="1"/>
  <c r="Y65" i="1"/>
  <c r="X65" i="1"/>
  <c r="U65" i="1"/>
  <c r="T65" i="1"/>
  <c r="S65" i="1"/>
  <c r="R65" i="1"/>
  <c r="Q65" i="1"/>
  <c r="P65" i="1"/>
  <c r="O65" i="1"/>
  <c r="K65" i="1"/>
  <c r="AG65" i="1" s="1"/>
  <c r="N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C63" i="1"/>
  <c r="AA63" i="1"/>
  <c r="Z63" i="1"/>
  <c r="Y63" i="1"/>
  <c r="U63" i="1"/>
  <c r="T63" i="1"/>
  <c r="S63" i="1"/>
  <c r="R63" i="1"/>
  <c r="Q63" i="1"/>
  <c r="P63" i="1"/>
  <c r="O63" i="1"/>
  <c r="K63" i="1"/>
  <c r="N63" i="1" s="1"/>
  <c r="AP62" i="1"/>
  <c r="R62" i="1" s="1"/>
  <c r="AG62" i="1"/>
  <c r="N62" i="1" s="1"/>
  <c r="AE62" i="1"/>
  <c r="M62" i="1" s="1"/>
  <c r="AC62" i="1"/>
  <c r="L62" i="1" s="1"/>
  <c r="AA62" i="1"/>
  <c r="Z62" i="1"/>
  <c r="Y62" i="1"/>
  <c r="X62" i="1"/>
  <c r="U62" i="1"/>
  <c r="T62" i="1"/>
  <c r="S62" i="1"/>
  <c r="Q62" i="1"/>
  <c r="P62" i="1"/>
  <c r="O62" i="1"/>
  <c r="K62" i="1"/>
  <c r="W62" i="1" s="1"/>
  <c r="AP61" i="1"/>
  <c r="R61" i="1" s="1"/>
  <c r="AA61" i="1"/>
  <c r="Z61" i="1"/>
  <c r="Y61" i="1"/>
  <c r="U61" i="1"/>
  <c r="T61" i="1"/>
  <c r="S61" i="1"/>
  <c r="Q61" i="1"/>
  <c r="P61" i="1"/>
  <c r="O61" i="1"/>
  <c r="K61" i="1"/>
  <c r="V61" i="1" s="1"/>
  <c r="AP60" i="1"/>
  <c r="R60" i="1" s="1"/>
  <c r="AE60" i="1"/>
  <c r="M60" i="1" s="1"/>
  <c r="AA60" i="1"/>
  <c r="Z60" i="1"/>
  <c r="Y60" i="1"/>
  <c r="X60" i="1"/>
  <c r="U60" i="1"/>
  <c r="T60" i="1"/>
  <c r="S60" i="1"/>
  <c r="Q60" i="1"/>
  <c r="P60" i="1"/>
  <c r="O60" i="1"/>
  <c r="K60" i="1"/>
  <c r="AG60" i="1" s="1"/>
  <c r="N60" i="1" s="1"/>
  <c r="AT59" i="1"/>
  <c r="T59" i="1" s="1"/>
  <c r="AP59" i="1"/>
  <c r="R59" i="1" s="1"/>
  <c r="AA59" i="1"/>
  <c r="Z59" i="1"/>
  <c r="Y59" i="1"/>
  <c r="U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K56" i="1"/>
  <c r="P56" i="1" s="1"/>
  <c r="AA56" i="1"/>
  <c r="Z56" i="1"/>
  <c r="Y56" i="1"/>
  <c r="U56" i="1"/>
  <c r="S56" i="1"/>
  <c r="Q56" i="1"/>
  <c r="O56" i="1"/>
  <c r="K56" i="1"/>
  <c r="AY56" i="1" s="1"/>
  <c r="V56" i="1" s="1"/>
  <c r="AT55" i="1"/>
  <c r="T55" i="1" s="1"/>
  <c r="AP55" i="1"/>
  <c r="R55" i="1" s="1"/>
  <c r="AA55" i="1"/>
  <c r="Z55" i="1"/>
  <c r="Y55" i="1"/>
  <c r="U55" i="1"/>
  <c r="S55" i="1"/>
  <c r="Q55" i="1"/>
  <c r="P55" i="1"/>
  <c r="O55" i="1"/>
  <c r="K55" i="1"/>
  <c r="V55" i="1" s="1"/>
  <c r="AG54" i="1"/>
  <c r="AF54" i="1"/>
  <c r="AE54" i="1"/>
  <c r="AC54" i="1"/>
  <c r="AA54" i="1"/>
  <c r="Z54" i="1"/>
  <c r="Y54" i="1"/>
  <c r="U54" i="1"/>
  <c r="T54" i="1"/>
  <c r="S54" i="1"/>
  <c r="R54" i="1"/>
  <c r="Q54" i="1"/>
  <c r="P54" i="1"/>
  <c r="O54" i="1"/>
  <c r="K54" i="1"/>
  <c r="W54" i="1" s="1"/>
  <c r="AP53" i="1"/>
  <c r="R53" i="1" s="1"/>
  <c r="AG53" i="1"/>
  <c r="AE53" i="1"/>
  <c r="AA53" i="1"/>
  <c r="Z53" i="1"/>
  <c r="Y53" i="1"/>
  <c r="U53" i="1"/>
  <c r="T53" i="1"/>
  <c r="S53" i="1"/>
  <c r="Q53" i="1"/>
  <c r="P53" i="1"/>
  <c r="O53" i="1"/>
  <c r="K53" i="1"/>
  <c r="L53" i="1" s="1"/>
  <c r="AP52" i="1"/>
  <c r="R52" i="1" s="1"/>
  <c r="AA52" i="1"/>
  <c r="Z52" i="1"/>
  <c r="Y52" i="1"/>
  <c r="U52" i="1"/>
  <c r="T52" i="1"/>
  <c r="S52" i="1"/>
  <c r="Q52" i="1"/>
  <c r="P52" i="1"/>
  <c r="O52" i="1"/>
  <c r="K52" i="1"/>
  <c r="X52" i="1" s="1"/>
  <c r="BI51" i="1"/>
  <c r="AA51" i="1" s="1"/>
  <c r="AY51" i="1"/>
  <c r="AP51" i="1"/>
  <c r="R51" i="1" s="1"/>
  <c r="AK51" i="1"/>
  <c r="P51" i="1" s="1"/>
  <c r="AC51" i="1"/>
  <c r="Z51" i="1"/>
  <c r="Y51" i="1"/>
  <c r="U51" i="1"/>
  <c r="T51" i="1"/>
  <c r="S51" i="1"/>
  <c r="Q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A49" i="1"/>
  <c r="W49" i="1" s="1"/>
  <c r="AY49" i="1"/>
  <c r="V49" i="1" s="1"/>
  <c r="AP49" i="1"/>
  <c r="R49" i="1" s="1"/>
  <c r="AG49" i="1"/>
  <c r="AE49" i="1"/>
  <c r="AA49" i="1"/>
  <c r="Z49" i="1"/>
  <c r="Y49" i="1"/>
  <c r="U49" i="1"/>
  <c r="T49" i="1"/>
  <c r="S49" i="1"/>
  <c r="Q49" i="1"/>
  <c r="P49" i="1"/>
  <c r="O49" i="1"/>
  <c r="K49" i="1"/>
  <c r="X49" i="1" s="1"/>
  <c r="AP48" i="1"/>
  <c r="R48" i="1" s="1"/>
  <c r="AA48" i="1"/>
  <c r="Z48" i="1"/>
  <c r="Y48" i="1"/>
  <c r="U48" i="1"/>
  <c r="T48" i="1"/>
  <c r="S48" i="1"/>
  <c r="Q48" i="1"/>
  <c r="P48" i="1"/>
  <c r="O48" i="1"/>
  <c r="K48" i="1"/>
  <c r="W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N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L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N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M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W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AC42" i="1" s="1"/>
  <c r="L42" i="1" s="1"/>
  <c r="AC41" i="1"/>
  <c r="AA41" i="1"/>
  <c r="Z41" i="1"/>
  <c r="Y41" i="1"/>
  <c r="U41" i="1"/>
  <c r="T41" i="1"/>
  <c r="S41" i="1"/>
  <c r="R41" i="1"/>
  <c r="Q41" i="1"/>
  <c r="P41" i="1"/>
  <c r="O41" i="1"/>
  <c r="K41" i="1"/>
  <c r="N41" i="1" s="1"/>
  <c r="AP40" i="1"/>
  <c r="R40" i="1" s="1"/>
  <c r="AC40" i="1"/>
  <c r="AA40" i="1"/>
  <c r="Z40" i="1"/>
  <c r="Y40" i="1"/>
  <c r="U40" i="1"/>
  <c r="T40" i="1"/>
  <c r="S40" i="1"/>
  <c r="Q40" i="1"/>
  <c r="P40" i="1"/>
  <c r="O40" i="1"/>
  <c r="K40" i="1"/>
  <c r="M40" i="1" s="1"/>
  <c r="AQ39" i="1"/>
  <c r="AP39" i="1"/>
  <c r="AC39" i="1"/>
  <c r="AA39" i="1"/>
  <c r="Z39" i="1"/>
  <c r="Y39" i="1"/>
  <c r="U39" i="1"/>
  <c r="T39" i="1"/>
  <c r="S39" i="1"/>
  <c r="Q39" i="1"/>
  <c r="P39" i="1"/>
  <c r="O39" i="1"/>
  <c r="K39" i="1"/>
  <c r="N39" i="1" s="1"/>
  <c r="AP38" i="1"/>
  <c r="R38" i="1" s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U36" i="1"/>
  <c r="AT36" i="1"/>
  <c r="AQ36" i="1"/>
  <c r="AP36" i="1"/>
  <c r="R36" i="1" s="1"/>
  <c r="AD36" i="1"/>
  <c r="AC36" i="1"/>
  <c r="AA36" i="1"/>
  <c r="Z36" i="1"/>
  <c r="Y36" i="1"/>
  <c r="U36" i="1"/>
  <c r="S36" i="1"/>
  <c r="Q36" i="1"/>
  <c r="P36" i="1"/>
  <c r="O36" i="1"/>
  <c r="K36" i="1"/>
  <c r="M36" i="1" s="1"/>
  <c r="BI35" i="1"/>
  <c r="AA35" i="1" s="1"/>
  <c r="AT35" i="1"/>
  <c r="T35" i="1" s="1"/>
  <c r="AP35" i="1"/>
  <c r="R35" i="1" s="1"/>
  <c r="AK35" i="1"/>
  <c r="P35" i="1" s="1"/>
  <c r="Z35" i="1"/>
  <c r="Y35" i="1"/>
  <c r="U35" i="1"/>
  <c r="S35" i="1"/>
  <c r="Q35" i="1"/>
  <c r="O35" i="1"/>
  <c r="K35" i="1"/>
  <c r="BC35" i="1" s="1"/>
  <c r="X35" i="1" s="1"/>
  <c r="AP34" i="1"/>
  <c r="R34" i="1" s="1"/>
  <c r="AA34" i="1"/>
  <c r="Z34" i="1"/>
  <c r="Y34" i="1"/>
  <c r="U34" i="1"/>
  <c r="T34" i="1"/>
  <c r="S34" i="1"/>
  <c r="Q34" i="1"/>
  <c r="P34" i="1"/>
  <c r="O34" i="1"/>
  <c r="K34" i="1"/>
  <c r="N34" i="1" s="1"/>
  <c r="AT33" i="1"/>
  <c r="T33" i="1" s="1"/>
  <c r="AP33" i="1"/>
  <c r="R33" i="1" s="1"/>
  <c r="AA33" i="1"/>
  <c r="Z33" i="1"/>
  <c r="Y33" i="1"/>
  <c r="U33" i="1"/>
  <c r="S33" i="1"/>
  <c r="Q33" i="1"/>
  <c r="P33" i="1"/>
  <c r="O33" i="1"/>
  <c r="K33" i="1"/>
  <c r="M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W32" i="1" s="1"/>
  <c r="AQ31" i="1"/>
  <c r="AP31" i="1"/>
  <c r="AI31" i="1"/>
  <c r="O31" i="1" s="1"/>
  <c r="AF31" i="1"/>
  <c r="AE31" i="1"/>
  <c r="AA31" i="1"/>
  <c r="Z31" i="1"/>
  <c r="Y31" i="1"/>
  <c r="U31" i="1"/>
  <c r="T31" i="1"/>
  <c r="S31" i="1"/>
  <c r="Q31" i="1"/>
  <c r="P31" i="1"/>
  <c r="K31" i="1"/>
  <c r="W31" i="1" s="1"/>
  <c r="AQ30" i="1"/>
  <c r="AP30" i="1"/>
  <c r="AJ30" i="1"/>
  <c r="AI30" i="1"/>
  <c r="AF30" i="1"/>
  <c r="AE30" i="1"/>
  <c r="AA30" i="1"/>
  <c r="Z30" i="1"/>
  <c r="Y30" i="1"/>
  <c r="U30" i="1"/>
  <c r="T30" i="1"/>
  <c r="S30" i="1"/>
  <c r="Q30" i="1"/>
  <c r="P30" i="1"/>
  <c r="K30" i="1"/>
  <c r="X30" i="1" s="1"/>
  <c r="AP29" i="1"/>
  <c r="R29" i="1" s="1"/>
  <c r="AA29" i="1"/>
  <c r="Z29" i="1"/>
  <c r="Y29" i="1"/>
  <c r="U29" i="1"/>
  <c r="T29" i="1"/>
  <c r="S29" i="1"/>
  <c r="Q29" i="1"/>
  <c r="P29" i="1"/>
  <c r="O29" i="1"/>
  <c r="K29" i="1"/>
  <c r="W29" i="1" s="1"/>
  <c r="AQ28" i="1"/>
  <c r="AP28" i="1"/>
  <c r="AA28" i="1"/>
  <c r="Z28" i="1"/>
  <c r="Y28" i="1"/>
  <c r="U28" i="1"/>
  <c r="T28" i="1"/>
  <c r="S28" i="1"/>
  <c r="Q28" i="1"/>
  <c r="P28" i="1"/>
  <c r="O28" i="1"/>
  <c r="K28" i="1"/>
  <c r="N28" i="1" s="1"/>
  <c r="AA27" i="1"/>
  <c r="Z27" i="1"/>
  <c r="Y27" i="1"/>
  <c r="U27" i="1"/>
  <c r="T27" i="1"/>
  <c r="S27" i="1"/>
  <c r="R27" i="1"/>
  <c r="Q27" i="1"/>
  <c r="P27" i="1"/>
  <c r="O27" i="1"/>
  <c r="K27" i="1"/>
  <c r="L27" i="1" s="1"/>
  <c r="AS26" i="1"/>
  <c r="AR26" i="1"/>
  <c r="AP26" i="1"/>
  <c r="R26" i="1" s="1"/>
  <c r="AI26" i="1"/>
  <c r="O26" i="1" s="1"/>
  <c r="AA26" i="1"/>
  <c r="Z26" i="1"/>
  <c r="Y26" i="1"/>
  <c r="U26" i="1"/>
  <c r="T26" i="1"/>
  <c r="Q26" i="1"/>
  <c r="P26" i="1"/>
  <c r="K26" i="1"/>
  <c r="N26" i="1" s="1"/>
  <c r="BI24" i="1"/>
  <c r="AA24" i="1" s="1"/>
  <c r="BG24" i="1"/>
  <c r="Z24" i="1" s="1"/>
  <c r="AY24" i="1"/>
  <c r="V24" i="1" s="1"/>
  <c r="AK24" i="1"/>
  <c r="P24" i="1" s="1"/>
  <c r="AC24" i="1"/>
  <c r="L24" i="1" s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V15" i="1" s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W10" i="1" s="1"/>
  <c r="AY10" i="1"/>
  <c r="V10" i="1" s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U2" i="1" s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L25" i="1" l="1"/>
  <c r="V25" i="1"/>
  <c r="W25" i="1"/>
  <c r="X25" i="1"/>
  <c r="M25" i="1"/>
  <c r="V12" i="1"/>
  <c r="V65" i="1"/>
  <c r="W23" i="1"/>
  <c r="X9" i="1"/>
  <c r="X23" i="1"/>
  <c r="N9" i="1"/>
  <c r="V20" i="1"/>
  <c r="W20" i="1"/>
  <c r="V23" i="1"/>
  <c r="V9" i="1"/>
  <c r="R22" i="1"/>
  <c r="T7" i="1"/>
  <c r="O30" i="1"/>
  <c r="W9" i="1"/>
  <c r="V3" i="1"/>
  <c r="V48" i="1"/>
  <c r="V36" i="1"/>
  <c r="W3" i="1"/>
  <c r="X3" i="1"/>
  <c r="X48" i="1"/>
  <c r="M13" i="1"/>
  <c r="N2" i="1"/>
  <c r="V5" i="1"/>
  <c r="L14" i="1"/>
  <c r="V2" i="1"/>
  <c r="X5" i="1"/>
  <c r="N18" i="1"/>
  <c r="W2" i="1"/>
  <c r="X2" i="1"/>
  <c r="W55" i="1"/>
  <c r="V14" i="1"/>
  <c r="AC35" i="1"/>
  <c r="L35" i="1" s="1"/>
  <c r="X55" i="1"/>
  <c r="AE35" i="1"/>
  <c r="M35" i="1" s="1"/>
  <c r="T36" i="1"/>
  <c r="V50" i="1"/>
  <c r="N48" i="1"/>
  <c r="N13" i="1"/>
  <c r="X10" i="1"/>
  <c r="BA35" i="1"/>
  <c r="W35" i="1" s="1"/>
  <c r="W46" i="1"/>
  <c r="M49" i="1"/>
  <c r="X54" i="1"/>
  <c r="AA15" i="1"/>
  <c r="M11" i="1"/>
  <c r="V54" i="1"/>
  <c r="AY35" i="1"/>
  <c r="V35" i="1" s="1"/>
  <c r="V11" i="1"/>
  <c r="R30" i="1"/>
  <c r="X46" i="1"/>
  <c r="N49" i="1"/>
  <c r="V13" i="1"/>
  <c r="N43" i="1"/>
  <c r="M38" i="1"/>
  <c r="AG35" i="1"/>
  <c r="N35" i="1" s="1"/>
  <c r="M48" i="1"/>
  <c r="M30" i="1"/>
  <c r="N11" i="1"/>
  <c r="W11" i="1"/>
  <c r="W13" i="1"/>
  <c r="L29" i="1"/>
  <c r="N51" i="1"/>
  <c r="M29" i="1"/>
  <c r="L36" i="1"/>
  <c r="L13" i="1"/>
  <c r="V59" i="1"/>
  <c r="N42" i="1"/>
  <c r="W51" i="1"/>
  <c r="W59" i="1"/>
  <c r="V45" i="1"/>
  <c r="V26" i="1"/>
  <c r="W15" i="1"/>
  <c r="W26" i="1"/>
  <c r="V34" i="1"/>
  <c r="AC59" i="1"/>
  <c r="L59" i="1" s="1"/>
  <c r="X15" i="1"/>
  <c r="X26" i="1"/>
  <c r="L33" i="1"/>
  <c r="W34" i="1"/>
  <c r="V51" i="1"/>
  <c r="N54" i="1"/>
  <c r="V58" i="1"/>
  <c r="AE59" i="1"/>
  <c r="M59" i="1" s="1"/>
  <c r="M3" i="1"/>
  <c r="N33" i="1"/>
  <c r="X34" i="1"/>
  <c r="L40" i="1"/>
  <c r="V42" i="1"/>
  <c r="W50" i="1"/>
  <c r="W58" i="1"/>
  <c r="N3" i="1"/>
  <c r="X42" i="1"/>
  <c r="M46" i="1"/>
  <c r="X58" i="1"/>
  <c r="W14" i="1"/>
  <c r="W24" i="1"/>
  <c r="X14" i="1"/>
  <c r="P15" i="1"/>
  <c r="X24" i="1"/>
  <c r="M31" i="1"/>
  <c r="V39" i="1"/>
  <c r="L50" i="1"/>
  <c r="L26" i="1"/>
  <c r="V43" i="1"/>
  <c r="N14" i="1"/>
  <c r="X59" i="1"/>
  <c r="M19" i="1"/>
  <c r="V29" i="1"/>
  <c r="X29" i="1"/>
  <c r="L51" i="1"/>
  <c r="V16" i="1"/>
  <c r="X11" i="1"/>
  <c r="W39" i="1"/>
  <c r="M45" i="1"/>
  <c r="AK16" i="1"/>
  <c r="P16" i="1" s="1"/>
  <c r="M26" i="1"/>
  <c r="X43" i="1"/>
  <c r="S26" i="1"/>
  <c r="X39" i="1"/>
  <c r="AE58" i="1"/>
  <c r="M58" i="1" s="1"/>
  <c r="R28" i="1"/>
  <c r="R31" i="1"/>
  <c r="M27" i="1"/>
  <c r="M4" i="1"/>
  <c r="W8" i="1"/>
  <c r="N27" i="1"/>
  <c r="L30" i="1"/>
  <c r="M32" i="1"/>
  <c r="L52" i="1"/>
  <c r="X8" i="1"/>
  <c r="L23" i="1"/>
  <c r="N17" i="1"/>
  <c r="V19" i="1"/>
  <c r="M22" i="1"/>
  <c r="N30" i="1"/>
  <c r="N36" i="1"/>
  <c r="V38" i="1"/>
  <c r="L39" i="1"/>
  <c r="X45" i="1"/>
  <c r="N52" i="1"/>
  <c r="V53" i="1"/>
  <c r="V57" i="1"/>
  <c r="W61" i="1"/>
  <c r="M2" i="1"/>
  <c r="M10" i="1"/>
  <c r="W19" i="1"/>
  <c r="N22" i="1"/>
  <c r="V33" i="1"/>
  <c r="W38" i="1"/>
  <c r="R39" i="1"/>
  <c r="M43" i="1"/>
  <c r="M51" i="1"/>
  <c r="W53" i="1"/>
  <c r="L54" i="1"/>
  <c r="W57" i="1"/>
  <c r="AC58" i="1"/>
  <c r="L58" i="1" s="1"/>
  <c r="X61" i="1"/>
  <c r="L31" i="1"/>
  <c r="M37" i="1"/>
  <c r="W45" i="1"/>
  <c r="M52" i="1"/>
  <c r="M9" i="1"/>
  <c r="N10" i="1"/>
  <c r="M20" i="1"/>
  <c r="W33" i="1"/>
  <c r="X38" i="1"/>
  <c r="X53" i="1"/>
  <c r="M54" i="1"/>
  <c r="X57" i="1"/>
  <c r="N16" i="1"/>
  <c r="V22" i="1"/>
  <c r="M24" i="1"/>
  <c r="N29" i="1"/>
  <c r="W44" i="1"/>
  <c r="L49" i="1"/>
  <c r="N50" i="1"/>
  <c r="L44" i="1"/>
  <c r="L32" i="1"/>
  <c r="M8" i="1"/>
  <c r="M18" i="1"/>
  <c r="N8" i="1"/>
  <c r="L15" i="1"/>
  <c r="V44" i="1"/>
  <c r="M50" i="1"/>
  <c r="V4" i="1"/>
  <c r="N15" i="1"/>
  <c r="O16" i="1"/>
  <c r="W18" i="1"/>
  <c r="AE21" i="1"/>
  <c r="M21" i="1" s="1"/>
  <c r="V27" i="1"/>
  <c r="V32" i="1"/>
  <c r="V37" i="1"/>
  <c r="L38" i="1"/>
  <c r="X44" i="1"/>
  <c r="M53" i="1"/>
  <c r="AC57" i="1"/>
  <c r="L57" i="1" s="1"/>
  <c r="V60" i="1"/>
  <c r="W4" i="1"/>
  <c r="X6" i="1"/>
  <c r="V7" i="1"/>
  <c r="V8" i="1"/>
  <c r="X18" i="1"/>
  <c r="AG21" i="1"/>
  <c r="N21" i="1" s="1"/>
  <c r="W22" i="1"/>
  <c r="W27" i="1"/>
  <c r="X32" i="1"/>
  <c r="W37" i="1"/>
  <c r="M42" i="1"/>
  <c r="N46" i="1"/>
  <c r="N53" i="1"/>
  <c r="AC56" i="1"/>
  <c r="L56" i="1" s="1"/>
  <c r="AE57" i="1"/>
  <c r="M57" i="1" s="1"/>
  <c r="W60" i="1"/>
  <c r="L7" i="1"/>
  <c r="X33" i="1"/>
  <c r="N19" i="1"/>
  <c r="X27" i="1"/>
  <c r="V31" i="1"/>
  <c r="V52" i="1"/>
  <c r="AE56" i="1"/>
  <c r="M56" i="1" s="1"/>
  <c r="W7" i="1"/>
  <c r="BA21" i="1"/>
  <c r="W21" i="1" s="1"/>
  <c r="M23" i="1"/>
  <c r="W30" i="1"/>
  <c r="X31" i="1"/>
  <c r="W36" i="1"/>
  <c r="M39" i="1"/>
  <c r="W52" i="1"/>
  <c r="AG56" i="1"/>
  <c r="N56" i="1" s="1"/>
  <c r="X4" i="1"/>
  <c r="AY21" i="1"/>
  <c r="V21" i="1" s="1"/>
  <c r="V30" i="1"/>
  <c r="X37" i="1"/>
  <c r="BC21" i="1"/>
  <c r="X21" i="1" s="1"/>
  <c r="X36" i="1"/>
  <c r="X40" i="1"/>
  <c r="L48" i="1"/>
  <c r="L63" i="1"/>
  <c r="V67" i="1"/>
  <c r="N44" i="1"/>
  <c r="X7" i="1"/>
  <c r="L22" i="1"/>
  <c r="L37" i="1"/>
  <c r="L45" i="1"/>
  <c r="AC60" i="1"/>
  <c r="L60" i="1" s="1"/>
  <c r="W67" i="1"/>
  <c r="BA56" i="1"/>
  <c r="W56" i="1" s="1"/>
  <c r="BC56" i="1"/>
  <c r="X56" i="1" s="1"/>
  <c r="N66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6" i="1"/>
  <c r="L19" i="1"/>
  <c r="L28" i="1"/>
  <c r="W16" i="1"/>
  <c r="X66" i="1"/>
  <c r="M5" i="1"/>
  <c r="W42" i="1"/>
  <c r="L55" i="1"/>
  <c r="L61" i="1"/>
  <c r="W65" i="1"/>
  <c r="N20" i="1"/>
  <c r="N6" i="1"/>
  <c r="V18" i="1"/>
  <c r="M55" i="1"/>
  <c r="V28" i="1"/>
  <c r="L34" i="1"/>
  <c r="AC43" i="1"/>
  <c r="L43" i="1" s="1"/>
  <c r="N55" i="1"/>
  <c r="N61" i="1"/>
  <c r="W64" i="1"/>
  <c r="M28" i="1"/>
  <c r="N40" i="1"/>
  <c r="N5" i="1"/>
  <c r="M61" i="1"/>
  <c r="V64" i="1"/>
  <c r="V17" i="1"/>
  <c r="W28" i="1"/>
  <c r="M34" i="1"/>
  <c r="V41" i="1"/>
  <c r="V47" i="1"/>
  <c r="X64" i="1"/>
  <c r="L17" i="1"/>
  <c r="L20" i="1"/>
  <c r="L4" i="1"/>
  <c r="W17" i="1"/>
  <c r="X19" i="1"/>
  <c r="X28" i="1"/>
  <c r="W41" i="1"/>
  <c r="W47" i="1"/>
  <c r="L67" i="1"/>
  <c r="X20" i="1"/>
  <c r="X41" i="1"/>
  <c r="X47" i="1"/>
  <c r="V63" i="1"/>
  <c r="AC65" i="1"/>
  <c r="L65" i="1" s="1"/>
  <c r="M67" i="1"/>
  <c r="L18" i="1"/>
  <c r="L5" i="1"/>
  <c r="X16" i="1"/>
  <c r="X17" i="1"/>
  <c r="V6" i="1"/>
  <c r="V40" i="1"/>
  <c r="V62" i="1"/>
  <c r="W63" i="1"/>
  <c r="AE65" i="1"/>
  <c r="M65" i="1" s="1"/>
  <c r="L47" i="1"/>
  <c r="W6" i="1"/>
  <c r="W40" i="1"/>
  <c r="V46" i="1"/>
  <c r="X63" i="1"/>
  <c r="AC64" i="1"/>
  <c r="L64" i="1" s="1"/>
  <c r="AE64" i="1"/>
  <c r="M64" i="1" s="1"/>
  <c r="L16" i="1"/>
  <c r="L66" i="1"/>
  <c r="N31" i="1"/>
  <c r="N32" i="1"/>
  <c r="M66" i="1"/>
  <c r="L41" i="1"/>
  <c r="M17" i="1"/>
  <c r="M41" i="1"/>
  <c r="M47" i="1"/>
  <c r="M63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3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4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<sst xmlns="http://schemas.openxmlformats.org/spreadsheetml/2006/main" count="1388" uniqueCount="488">
  <si>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</si>
  <si>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</si>
  <si>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</si>
  <si>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</si>
  <si>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</si>
  <si>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</si>
  <si>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</si>
  <si>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</si>
  <si>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</si>
  <si>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</si>
  <si>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</si>
  <si>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</si>
  <si>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</si>
  <si>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</si>
  <si>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</si>
  <si>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</si>
  <si>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</si>
  <si>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</si>
  <si>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</si>
  <si>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</si>
  <si>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</si>
  <si>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</si>
  <si>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</si>
  <si>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</si>
  <si>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</si>
  <si>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</si>
  <si>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</si>
  <si>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</si>
  <si>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</si>
  <si>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</si>
  <si>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</si>
  <si>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</si>
  <si>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</si>
  <si>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</si>
  <si>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</si>
  <si>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</si>
  <si>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</si>
  <si>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</si>
  <si>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</si>
  <si>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</si>
  <si>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</si>
  <si>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</si>
  <si>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</si>
  <si>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</si>
  <si>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</si>
  <si>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</si>
  <si>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</si>
  <si>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</si>
  <si>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</si>
  <si>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</si>
  <si>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</si>
  <si>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</si>
  <si>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</si>
  <si>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</si>
  <si>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</si>
  <si>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</si>
  <si>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</si>
  <si>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</si>
  <si>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</si>
  <si>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</si>
  <si>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</si>
  <si>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</si>
  <si>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</si>
  <si>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</si>
  <si>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</si>
  <si>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</si>
  <si>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</si>
  <si>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</si>
  <si>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</si>
  <si>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</si>
  <si>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</si>
  <si>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</si>
  <si>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</si>
  <si>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</si>
  <si>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</si>
  <si>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</si>
  <si>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</si>
  <si>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</si>
  <si>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</si>
  <si>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</si>
  <si>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</si>
  <si>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</si>
  <si>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</si>
  <si>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</si>
  <si>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</si>
  <si>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</si>
  <si>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</si>
  <si>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</si>
  <si>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</si>
  <si>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</si>
  <si>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</si>
  <si>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</si>
  <si>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</si>
  <si>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</si>
  <si>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</si>
  <si>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</si>
  <si>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</si>
  <si>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</si>
  <si>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</si>
  <si>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</si>
  <si>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</si>
  <si>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</si>
  <si>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</si>
  <si>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</si>
  <si>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</si>
  <si>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</si>
  <si>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</si>
  <si>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</si>
  <si>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</si>
  <si>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</si>
  <si>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</si>
  <si>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</si>
  <si>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</si>
  <si>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</si>
  <si>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</si>
  <si>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</si>
  <si>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</si>
  <si>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</si>
  <si>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</si>
  <si>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</si>
  <si>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</si>
  <si>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</si>
  <si>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</si>
  <si>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</si>
  <si>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</si>
  <si>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</si>
  <si>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</si>
  <si>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</si>
  <si>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</si>
  <si>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</si>
  <si>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</si>
  <si>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</si>
  <si>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</si>
  <si>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</si>
  <si>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</si>
  <si>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</si>
  <si>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</si>
  <si>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</si>
  <si>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</si>
  <si>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</si>
  <si>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</si>
  <si>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</si>
  <si>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</si>
  <si>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</si>
  <si>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</si>
  <si>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</si>
  <si>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</si>
  <si>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</si>
  <si>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</si>
  <si>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</si>
  <si>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</si>
  <si>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</si>
  <si>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</si>
  <si>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</si>
  <si>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</si>
  <si>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</si>
  <si>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</si>
  <si>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</si>
  <si>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</si>
  <si>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</si>
  <si>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</si>
  <si>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</si>
  <si>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</si>
  <si>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</si>
  <si>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</si>
  <si>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</si>
  <si>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</si>
  <si>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</si>
  <si>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</si>
  <si>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</si>
  <si>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</si>
  <si>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</si>
  <si>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</si>
  <si>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</si>
  <si>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</si>
  <si>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</si>
  <si>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</si>
  <si>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</si>
  <si>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</si>
  <si>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</si>
  <si>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</si>
  <si>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</si>
  <si>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</si>
  <si>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</si>
  <si>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</si>
  <si>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</si>
  <si>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</si>
  <si>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</si>
  <si>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</si>
  <si>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</si>
  <si>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</si>
  <si>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</si>
  <si>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</si>
  <si>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</si>
  <si>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</si>
  <si>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</si>
  <si>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</si>
  <si>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</si>
  <si>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</si>
  <si>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</si>
  <si>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</si>
  <si>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</si>
  <si>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</si>
  <si>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</si>
  <si>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</si>
  <si>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</si>
  <si>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</si>
  <si>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</si>
  <si>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</si>
  <si>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</si>
  <si>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</si>
  <si>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</si>
  <si>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</si>
  <si>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</si>
  <si>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</si>
  <si>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</si>
  <si>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</si>
  <si>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</si>
  <si>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</si>
  <si>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</si>
  <si>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</si>
  <si>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</si>
  <si>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</si>
  <si>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</si>
  <si>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</si>
  <si>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</si>
  <si>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</si>
  <si>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</si>
  <si>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</si>
  <si>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</si>
  <si>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</si>
  <si>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</si>
  <si>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</si>
  <si>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</si>
  <si>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</si>
  <si>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</si>
  <si>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</si>
  <si>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</si>
  <si>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</si>
  <si>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</si>
  <si>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</si>
  <si>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</si>
  <si>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</si>
  <si>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</si>
  <si>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</si>
  <si>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</si>
  <si>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</si>
  <si>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</si>
  <si>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</si>
  <si>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</si>
  <si>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</si>
  <si>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</si>
  <si>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</si>
  <si>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</si>
  <si>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</si>
  <si>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</si>
  <si>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</si>
  <si>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</si>
  <si>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</si>
  <si>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</si>
  <si>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</si>
  <si>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</si>
  <si>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</si>
  <si>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</si>
  <si>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</si>
  <si>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</si>
  <si>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</si>
  <si>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</si>
  <si>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</si>
  <si>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</si>
  <si>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</si>
  <si>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</si>
  <si>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</si>
  <si>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</si>
  <si>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</si>
  <si>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</si>
  <si>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</si>
  <si>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</si>
  <si>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</si>
  <si>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</si>
  <si>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</si>
  <si>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</si>
  <si>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</si>
  <si>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</si>
  <si>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</si>
  <si>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</si>
  <si>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</si>
  <si>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</si>
  <si>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</si>
  <si>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</si>
  <si>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</si>
  <si>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</si>
  <si>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</si>
  <si>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</si>
  <si>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</si>
  <si>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</si>
  <si>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</si>
  <si>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</si>
  <si>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</si>
  <si>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</si>
  <si>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</si>
  <si>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</si>
  <si>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</si>
  <si>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</si>
  <si>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</si>
  <si>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</si>
  <si>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</si>
  <si>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</si>
  <si>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</si>
  <si>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</si>
  <si>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</si>
  <si>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</si>
  <si>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</si>
  <si>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</si>
  <si>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</si>
  <si>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</si>
  <si>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</si>
  <si>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</si>
  <si>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</si>
  <si>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</si>
  <si>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</si>
  <si>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</si>
  <si>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</si>
  <si>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</si>
  <si>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</si>
  <si>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</si>
  <si>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</si>
  <si>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</si>
  <si>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</si>
  <si>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</si>
  <si>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</si>
  <si>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</si>
  <si>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</si>
  <si>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</si>
  <si>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</si>
  <si>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</si>
  <si>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</si>
  <si>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</si>
  <si>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</si>
  <si>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</si>
  <si>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</si>
  <si>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</si>
  <si>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</si>
  <si>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</si>
  <si>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</si>
  <si>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</si>
  <si>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</si>
  <si>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</si>
  <si>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</si>
  <si>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</si>
  <si>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</si>
  <si>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</si>
  <si>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</si>
  <si>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</si>
  <si>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</si>
  <si>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</si>
  <si>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</si>
  <si>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</si>
  <si>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</si>
  <si>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</si>
  <si>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</si>
  <si>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</si>
  <si>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</si>
  <si>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</si>
  <si>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</si>
  <si>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Michigan, Oklahoma, Ohio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</si>
  <si>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</si>
  <si>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</si>
  <si>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</si>
  <si>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</si>
  <si>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</si>
  <si>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</si>
  <si>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</si>
  <si>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</si>
  <si>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</si>
  <si>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</si>
  <si>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</si>
  <si>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</si>
  <si>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</si>
  <si>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</si>
  <si>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</si>
  <si>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</si>
  <si>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</si>
  <si>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</si>
  <si>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</si>
  <si>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</si>
  <si>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</si>
  <si>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</si>
  <si>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</si>
  <si>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Size_kcmil</t>
  </si>
  <si>
    <t>R_20DC_ohm_kft</t>
  </si>
  <si>
    <t>R_75AC_ohm_kft</t>
  </si>
  <si>
    <t>R_25AC_ohm_kft</t>
  </si>
  <si>
    <t>R_50AC_ohm_kft</t>
  </si>
  <si>
    <t>C_60Hz_Mohm_kft</t>
  </si>
  <si>
    <t>L_60Hz_25C_ohm_kft</t>
  </si>
  <si>
    <t>L_60Hz_50C_ohm_kft</t>
  </si>
  <si>
    <t>L_60Hz_75C_ohm_kft</t>
  </si>
  <si>
    <t>Ampacity (A)</t>
  </si>
  <si>
    <t>Daisy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</si>
  <si>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</si>
  <si>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</si>
  <si>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</si>
  <si>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</si>
  <si>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</si>
  <si>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</si>
  <si>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</si>
  <si>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</si>
  <si>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</si>
  <si>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</si>
  <si>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</si>
  <si>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</si>
  <si>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</si>
  <si>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</si>
  <si>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Massachusets, New York, Texas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</si>
  <si>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</si>
  <si>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</si>
  <si>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</si>
  <si>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</si>
  <si>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</si>
  <si>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</si>
  <si>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</si>
  <si>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New York, Illinois, Maine, Vermont, New Englad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</si>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</sst>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0" fillId="0" borderId="0" xfId="0" applyFill="1"/>
    <xf numFmtId="0" fontId="12" fillId="0" borderId="0" xfId="0" applyFont="1"/>
    <xf numFmtId="49" fontId="11" fillId="0" borderId="0" xfId="0" applyNumberFormat="1" applyFont="1"/>
    <xf numFmtId="0" fontId="0" fillId="7" borderId="0" xfId="0" applyFill="1"/>
    <xf numFmtId="0" fontId="11" fillId="7" borderId="0" xfId="0" applyFont="1" applyFill="1"/>
    <xf numFmtId="0" fontId="12" fillId="0" borderId="0" xfId="0" applyFont="1" applyFill="1"/>
    <xf numFmtId="0" fontId="11" fillId="0" borderId="0" xfId="0" applyFont="1" applyFill="1"/>
    <xf numFmtId="0" fontId="13" fillId="0" borderId="0" xfId="0" applyFont="1"/>
    <xf numFmtId="166" fontId="12" fillId="0" borderId="0" xfId="0" applyNumberFormat="1" applyFo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7"/>
  <sheetViews>
    <sheetView workbookViewId="0">
      <pane ySplit="1" topLeftCell="A15" activePane="bottomLeft" state="frozen"/>
      <selection pane="bottomLeft" activeCell="G1" sqref="G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6" si="0">((G2*H2)/I2)*J2*(1/304.8)</f>
        <v>10.840634357325053</v>
      </c>
      <c r="L2" s="46">
        <f t="shared" ref="L2:L36" si="1">AC2+(AD2*(1/12))-K2</f>
        <v>69.159365642674942</v>
      </c>
      <c r="M2" s="47">
        <f t="shared" ref="M2:M36" si="2">AE2+(AF2*(1/12))-K2</f>
        <v>69.159365642674942</v>
      </c>
      <c r="N2" s="47">
        <f t="shared" ref="N2:N36" si="3">AG2+(AH2*(1/12))-K2</f>
        <v>69.159365642674942</v>
      </c>
      <c r="O2" s="47">
        <f t="shared" ref="O2:O36" si="4">AI2+(AJ2*(1/12))</f>
        <v>-23.75</v>
      </c>
      <c r="P2" s="48">
        <f t="shared" ref="P2:P36" si="5">AK2+(AL2*(1/12))</f>
        <v>0</v>
      </c>
      <c r="Q2" s="49">
        <f t="shared" ref="Q2:Q36" si="6">AM2+(AN2*(1/12))</f>
        <v>23.75</v>
      </c>
      <c r="R2" s="50">
        <f t="shared" ref="R2:R36" si="7">AP2+((1/12)*AQ2)</f>
        <v>87.5</v>
      </c>
      <c r="S2" s="51">
        <f t="shared" ref="S2:S36" si="8">AR2+((1/12)*AS2)</f>
        <v>-17.8125</v>
      </c>
      <c r="T2" s="51">
        <f t="shared" ref="T2:T36" si="9">AT2+((1/12)*AU2)</f>
        <v>87.5</v>
      </c>
      <c r="U2" s="52">
        <f t="shared" ref="U2:U36" si="10">AV2+((1/12)*AW2)</f>
        <v>17.8125</v>
      </c>
      <c r="V2" s="53">
        <f t="shared" ref="V2:V36" si="11">AY2+(AZ2*(1/12))-K2</f>
        <v>-10.840634357325053</v>
      </c>
      <c r="W2" s="54">
        <f t="shared" ref="W2:W36" si="12">BA2+(BB2*(1/12))-K2</f>
        <v>-10.840634357325053</v>
      </c>
      <c r="X2" s="54">
        <f t="shared" ref="X2:X36" si="13">BC2+(BD2*(1/12))-K2</f>
        <v>-10.840634357325053</v>
      </c>
      <c r="Y2" s="55">
        <f t="shared" ref="Y2:Y36" si="14">BE2+(BF2*(1/12))</f>
        <v>0</v>
      </c>
      <c r="Z2" s="55">
        <f t="shared" ref="Z2:Z36" si="15">BG2+(BH2*(1/12))</f>
        <v>0</v>
      </c>
      <c r="AA2" s="56">
        <f t="shared" ref="AA2:AA36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365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415</v>
      </c>
      <c r="D12" t="s">
        <v>414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255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136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260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267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273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260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279</v>
      </c>
      <c r="B25" t="s">
        <v>263</v>
      </c>
      <c r="E25" s="44">
        <v>2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ref="K25" si="34">((G25*H25)/I25)*J25*(1/304.8)</f>
        <v>10.840634357325053</v>
      </c>
      <c r="L25" s="46">
        <f t="shared" ref="L25" si="35">AC25+(AD25*(1/12))-K25</f>
        <v>98.159365642674942</v>
      </c>
      <c r="M25" s="47">
        <f t="shared" ref="M25" si="36">AE25+(AF25*(1/12))-K25</f>
        <v>55.159365642674949</v>
      </c>
      <c r="N25" s="47">
        <f t="shared" ref="N25" si="37">AG25+(AH25*(1/12))-K25</f>
        <v>55.159365642674949</v>
      </c>
      <c r="O25" s="48">
        <f t="shared" ref="O25" si="38">AI25+(AJ25*(1/12))</f>
        <v>-22</v>
      </c>
      <c r="P25" s="48">
        <f t="shared" ref="P25" si="39">AK25+(AL25*(1/12))</f>
        <v>-33</v>
      </c>
      <c r="Q25" s="58">
        <f t="shared" ref="Q25" si="40">AM25+(AN25*(1/12))</f>
        <v>-10</v>
      </c>
      <c r="R25" s="59">
        <f t="shared" ref="R25" si="41">AP25+((1/12)*AQ25)</f>
        <v>118</v>
      </c>
      <c r="S25" s="60">
        <f t="shared" ref="S25" si="42">AR25+((1/12)*AS25)</f>
        <v>0</v>
      </c>
      <c r="T25" s="60">
        <f t="shared" ref="T25" si="43">AT25+((1/12)*AU25)</f>
        <v>0</v>
      </c>
      <c r="U25" s="62">
        <f t="shared" ref="U25" si="44">AV25+((1/12)*AW25)</f>
        <v>0</v>
      </c>
      <c r="V25" s="53">
        <f t="shared" ref="V25" si="45">AY25+(AZ25*(1/12))-K25</f>
        <v>98.159365642674942</v>
      </c>
      <c r="W25" s="54">
        <f t="shared" ref="W25" si="46">BA25+(BB25*(1/12))-K25</f>
        <v>55.159365642674949</v>
      </c>
      <c r="X25" s="54">
        <f t="shared" ref="X25" si="47">BC25+(BD25*(1/12))-K25</f>
        <v>55.159365642674949</v>
      </c>
      <c r="Y25" s="55">
        <f t="shared" ref="Y25" si="48">BE25+(BF25*(1/12))</f>
        <v>22</v>
      </c>
      <c r="Z25" s="55">
        <f t="shared" ref="Z25" si="49">BG25+(BH25*(1/12))</f>
        <v>10</v>
      </c>
      <c r="AA25" s="56">
        <f t="shared" ref="AA25" si="50">BI25+(BJ25*(1/12))</f>
        <v>33</v>
      </c>
      <c r="AB25" s="9"/>
      <c r="AC25" s="57">
        <f>118-9</f>
        <v>109</v>
      </c>
      <c r="AD25" s="48">
        <v>0</v>
      </c>
      <c r="AE25" s="48">
        <v>66</v>
      </c>
      <c r="AF25" s="48">
        <v>0</v>
      </c>
      <c r="AG25" s="48">
        <v>66</v>
      </c>
      <c r="AH25" s="48">
        <v>0</v>
      </c>
      <c r="AI25" s="48">
        <v>-22</v>
      </c>
      <c r="AJ25" s="48">
        <v>0</v>
      </c>
      <c r="AK25" s="48">
        <f>-2-16-15</f>
        <v>-33</v>
      </c>
      <c r="AL25" s="48">
        <v>0</v>
      </c>
      <c r="AM25" s="48">
        <v>-10</v>
      </c>
      <c r="AN25" s="58">
        <v>0</v>
      </c>
      <c r="AO25" s="9"/>
      <c r="AP25" s="59">
        <v>118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2">
        <v>0</v>
      </c>
      <c r="AX25" s="9"/>
      <c r="AY25" s="61">
        <f>118-9</f>
        <v>109</v>
      </c>
      <c r="AZ25" s="55">
        <v>0</v>
      </c>
      <c r="BA25" s="55">
        <v>66</v>
      </c>
      <c r="BB25" s="55">
        <v>0</v>
      </c>
      <c r="BC25" s="55">
        <v>66</v>
      </c>
      <c r="BD25" s="55">
        <v>0</v>
      </c>
      <c r="BE25" s="55">
        <v>22</v>
      </c>
      <c r="BF25" s="55">
        <v>0</v>
      </c>
      <c r="BG25" s="55">
        <f>2+8</f>
        <v>10</v>
      </c>
      <c r="BH25" s="55">
        <v>0</v>
      </c>
      <c r="BI25" s="55">
        <f>2+16+15</f>
        <v>33</v>
      </c>
      <c r="BJ25" s="56">
        <v>0</v>
      </c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42" t="s">
        <v>280</v>
      </c>
      <c r="B26" t="s">
        <v>281</v>
      </c>
      <c r="C26" t="s">
        <v>282</v>
      </c>
      <c r="D26" t="s">
        <v>283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49.159365642674949</v>
      </c>
      <c r="M26" s="47">
        <f t="shared" si="2"/>
        <v>49.159365642674949</v>
      </c>
      <c r="N26" s="47">
        <f t="shared" si="3"/>
        <v>49.159365642674949</v>
      </c>
      <c r="O26" s="48">
        <f t="shared" si="4"/>
        <v>-18</v>
      </c>
      <c r="P26" s="48">
        <f t="shared" si="5"/>
        <v>0</v>
      </c>
      <c r="Q26" s="58">
        <f t="shared" si="6"/>
        <v>18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60</v>
      </c>
      <c r="AD26" s="48">
        <v>0</v>
      </c>
      <c r="AE26" s="48">
        <v>60</v>
      </c>
      <c r="AF26" s="48">
        <v>0</v>
      </c>
      <c r="AG26" s="48">
        <v>60</v>
      </c>
      <c r="AH26" s="48">
        <v>0</v>
      </c>
      <c r="AI26" s="48">
        <f>-36/2</f>
        <v>-18</v>
      </c>
      <c r="AJ26" s="48">
        <v>0</v>
      </c>
      <c r="AK26" s="48">
        <v>0</v>
      </c>
      <c r="AL26" s="48">
        <v>0</v>
      </c>
      <c r="AM26" s="48">
        <v>18</v>
      </c>
      <c r="AN26" s="58">
        <v>0</v>
      </c>
      <c r="AO26" s="9"/>
      <c r="AP26" s="59">
        <f>60+13</f>
        <v>73</v>
      </c>
      <c r="AQ26" s="60">
        <v>0</v>
      </c>
      <c r="AR26" s="60">
        <f>-24/2</f>
        <v>-12</v>
      </c>
      <c r="AS26" s="60">
        <f>-6/2</f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284</v>
      </c>
      <c r="B27" s="2" t="s">
        <v>281</v>
      </c>
      <c r="C27" s="2" t="s">
        <v>275</v>
      </c>
      <c r="D27" s="2" t="s">
        <v>139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62.159365642674949</v>
      </c>
      <c r="M27" s="47">
        <f t="shared" si="2"/>
        <v>62.159365642674949</v>
      </c>
      <c r="N27" s="47">
        <f t="shared" si="3"/>
        <v>62.159365642674949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73</v>
      </c>
      <c r="S27" s="51">
        <f t="shared" si="8"/>
        <v>-12.25</v>
      </c>
      <c r="T27" s="60">
        <f t="shared" si="9"/>
        <v>73</v>
      </c>
      <c r="U27" s="52">
        <f t="shared" si="10"/>
        <v>12.25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73</v>
      </c>
      <c r="AD27" s="48">
        <v>0</v>
      </c>
      <c r="AE27" s="48">
        <v>73</v>
      </c>
      <c r="AF27" s="48">
        <v>0</v>
      </c>
      <c r="AG27" s="48">
        <v>73</v>
      </c>
      <c r="AH27" s="48">
        <v>0</v>
      </c>
      <c r="AI27" s="48">
        <v>-26</v>
      </c>
      <c r="AJ27" s="48"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v>73</v>
      </c>
      <c r="AQ27" s="60">
        <v>0</v>
      </c>
      <c r="AR27" s="60">
        <v>-12</v>
      </c>
      <c r="AS27" s="60">
        <v>-3</v>
      </c>
      <c r="AT27" s="60">
        <v>73</v>
      </c>
      <c r="AU27" s="60">
        <v>0</v>
      </c>
      <c r="AV27" s="60">
        <v>12</v>
      </c>
      <c r="AW27" s="62">
        <v>3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285</v>
      </c>
      <c r="B28" s="2" t="s">
        <v>281</v>
      </c>
      <c r="C28" s="2" t="s">
        <v>286</v>
      </c>
      <c r="D28" s="2" t="s">
        <v>422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44.826032309341613</v>
      </c>
      <c r="M28" s="47">
        <f t="shared" si="2"/>
        <v>44.826032309341613</v>
      </c>
      <c r="N28" s="47">
        <f t="shared" si="3"/>
        <v>44.826032309341613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65.5</v>
      </c>
      <c r="S28" s="60">
        <f t="shared" si="8"/>
        <v>-13</v>
      </c>
      <c r="T28" s="51">
        <f t="shared" si="9"/>
        <v>65.5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55</v>
      </c>
      <c r="AD28" s="48">
        <v>8</v>
      </c>
      <c r="AE28" s="48">
        <v>55</v>
      </c>
      <c r="AF28" s="48">
        <v>8</v>
      </c>
      <c r="AG28" s="48">
        <v>55</v>
      </c>
      <c r="AH28" s="48">
        <v>8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9">
        <f>55+9</f>
        <v>64</v>
      </c>
      <c r="AQ28" s="60">
        <f>8+10</f>
        <v>18</v>
      </c>
      <c r="AR28" s="60">
        <v>-13</v>
      </c>
      <c r="AS28" s="60">
        <v>0</v>
      </c>
      <c r="AT28" s="60">
        <v>64</v>
      </c>
      <c r="AU28" s="60">
        <v>18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288</v>
      </c>
      <c r="B29" s="2" t="s">
        <v>281</v>
      </c>
      <c r="C29" s="2" t="s">
        <v>289</v>
      </c>
      <c r="D29" s="2" t="s">
        <v>290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50.159365642674949</v>
      </c>
      <c r="M29" s="47">
        <f t="shared" si="2"/>
        <v>50.159365642674949</v>
      </c>
      <c r="N29" s="47">
        <f t="shared" si="3"/>
        <v>50.159365642674949</v>
      </c>
      <c r="O29" s="48">
        <f t="shared" si="4"/>
        <v>-26</v>
      </c>
      <c r="P29" s="48">
        <f t="shared" si="5"/>
        <v>0</v>
      </c>
      <c r="Q29" s="58">
        <f t="shared" si="6"/>
        <v>26</v>
      </c>
      <c r="R29" s="50">
        <f t="shared" si="7"/>
        <v>73.5</v>
      </c>
      <c r="S29" s="60">
        <f t="shared" si="8"/>
        <v>-13</v>
      </c>
      <c r="T29" s="51">
        <f t="shared" si="9"/>
        <v>73.5</v>
      </c>
      <c r="U29" s="62">
        <f t="shared" si="10"/>
        <v>13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61</v>
      </c>
      <c r="AD29" s="48">
        <v>0</v>
      </c>
      <c r="AE29" s="48">
        <v>61</v>
      </c>
      <c r="AF29" s="48">
        <v>0</v>
      </c>
      <c r="AG29" s="48">
        <v>61</v>
      </c>
      <c r="AH29" s="48">
        <v>0</v>
      </c>
      <c r="AI29" s="48">
        <v>-26</v>
      </c>
      <c r="AJ29" s="48">
        <v>0</v>
      </c>
      <c r="AK29" s="48">
        <v>0</v>
      </c>
      <c r="AL29" s="48">
        <v>0</v>
      </c>
      <c r="AM29" s="48">
        <v>26</v>
      </c>
      <c r="AN29" s="58">
        <v>0</v>
      </c>
      <c r="AO29" s="9"/>
      <c r="AP29" s="50">
        <f>61+12.5</f>
        <v>73.5</v>
      </c>
      <c r="AQ29" s="60">
        <v>0</v>
      </c>
      <c r="AR29" s="60">
        <v>-13</v>
      </c>
      <c r="AS29" s="60">
        <v>0</v>
      </c>
      <c r="AT29" s="51">
        <v>73.5</v>
      </c>
      <c r="AU29" s="60">
        <v>0</v>
      </c>
      <c r="AV29" s="60">
        <v>13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291</v>
      </c>
      <c r="B30" t="s">
        <v>281</v>
      </c>
      <c r="C30" t="s">
        <v>292</v>
      </c>
      <c r="D30" t="s">
        <v>293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52.659365642674949</v>
      </c>
      <c r="M30" s="47">
        <f t="shared" si="2"/>
        <v>59.159365642674949</v>
      </c>
      <c r="N30" s="47">
        <f t="shared" si="3"/>
        <v>52.659365642674949</v>
      </c>
      <c r="O30" s="48">
        <f t="shared" si="4"/>
        <v>-27</v>
      </c>
      <c r="P30" s="48">
        <f t="shared" si="5"/>
        <v>0</v>
      </c>
      <c r="Q30" s="58">
        <f t="shared" si="6"/>
        <v>27</v>
      </c>
      <c r="R30" s="59">
        <f t="shared" si="7"/>
        <v>78</v>
      </c>
      <c r="S30" s="51">
        <f t="shared" si="8"/>
        <v>-13.5</v>
      </c>
      <c r="T30" s="60">
        <f t="shared" si="9"/>
        <v>78</v>
      </c>
      <c r="U30" s="52">
        <f t="shared" si="10"/>
        <v>13.5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63</v>
      </c>
      <c r="AD30" s="48">
        <v>6</v>
      </c>
      <c r="AE30" s="48">
        <f>63+6</f>
        <v>69</v>
      </c>
      <c r="AF30" s="48">
        <f>6+6</f>
        <v>12</v>
      </c>
      <c r="AG30" s="48">
        <v>63</v>
      </c>
      <c r="AH30" s="48">
        <v>6</v>
      </c>
      <c r="AI30" s="48">
        <f>-13-13</f>
        <v>-26</v>
      </c>
      <c r="AJ30" s="48">
        <f>-6-6</f>
        <v>-12</v>
      </c>
      <c r="AK30" s="48">
        <v>0</v>
      </c>
      <c r="AL30" s="48">
        <v>0</v>
      </c>
      <c r="AM30" s="48">
        <v>26</v>
      </c>
      <c r="AN30" s="58">
        <v>12</v>
      </c>
      <c r="AO30" s="9"/>
      <c r="AP30" s="59">
        <f>63+6+8</f>
        <v>77</v>
      </c>
      <c r="AQ30" s="60">
        <f>6+6</f>
        <v>12</v>
      </c>
      <c r="AR30" s="51">
        <v>-13.5</v>
      </c>
      <c r="AS30" s="60">
        <v>0</v>
      </c>
      <c r="AT30" s="60">
        <v>77</v>
      </c>
      <c r="AU30" s="60">
        <v>12</v>
      </c>
      <c r="AV30" s="51">
        <v>13.5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294</v>
      </c>
      <c r="B31" t="s">
        <v>281</v>
      </c>
      <c r="C31" t="s">
        <v>295</v>
      </c>
      <c r="D31" t="s">
        <v>296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46.659365642674949</v>
      </c>
      <c r="M31" s="47">
        <f t="shared" si="2"/>
        <v>58.159365642674949</v>
      </c>
      <c r="N31" s="47">
        <f t="shared" si="3"/>
        <v>46.659365642674949</v>
      </c>
      <c r="O31" s="47">
        <f t="shared" si="4"/>
        <v>-28.25</v>
      </c>
      <c r="P31" s="48">
        <f t="shared" si="5"/>
        <v>0</v>
      </c>
      <c r="Q31" s="49">
        <f t="shared" si="6"/>
        <v>28.25</v>
      </c>
      <c r="R31" s="59">
        <f t="shared" si="7"/>
        <v>69</v>
      </c>
      <c r="S31" s="51">
        <f t="shared" si="8"/>
        <v>-15.25</v>
      </c>
      <c r="T31" s="60">
        <f t="shared" si="9"/>
        <v>69</v>
      </c>
      <c r="U31" s="52">
        <f t="shared" si="10"/>
        <v>15.25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57</v>
      </c>
      <c r="AD31" s="48">
        <v>6</v>
      </c>
      <c r="AE31" s="48">
        <f>57+11</f>
        <v>68</v>
      </c>
      <c r="AF31" s="48">
        <f>6+6</f>
        <v>12</v>
      </c>
      <c r="AG31" s="48">
        <v>57</v>
      </c>
      <c r="AH31" s="48">
        <v>6</v>
      </c>
      <c r="AI31" s="48">
        <f>-15-13</f>
        <v>-28</v>
      </c>
      <c r="AJ31" s="48">
        <v>-3</v>
      </c>
      <c r="AK31" s="48">
        <v>0</v>
      </c>
      <c r="AL31" s="48">
        <v>0</v>
      </c>
      <c r="AM31" s="48">
        <v>28</v>
      </c>
      <c r="AN31" s="58">
        <v>3</v>
      </c>
      <c r="AO31" s="9"/>
      <c r="AP31" s="59">
        <f>57+11</f>
        <v>68</v>
      </c>
      <c r="AQ31" s="60">
        <f>6+6</f>
        <v>12</v>
      </c>
      <c r="AR31" s="60">
        <v>-15</v>
      </c>
      <c r="AS31" s="60">
        <v>-3</v>
      </c>
      <c r="AT31" s="60">
        <v>68</v>
      </c>
      <c r="AU31" s="60">
        <v>12</v>
      </c>
      <c r="AV31" s="60">
        <v>15</v>
      </c>
      <c r="AW31" s="62">
        <v>3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297</v>
      </c>
      <c r="B32" s="2" t="s">
        <v>281</v>
      </c>
      <c r="C32" s="2" t="s">
        <v>298</v>
      </c>
      <c r="D32" s="2" t="s">
        <v>100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49.159365642674949</v>
      </c>
      <c r="M32" s="47">
        <f t="shared" si="2"/>
        <v>49.159365642674949</v>
      </c>
      <c r="N32" s="47">
        <f t="shared" si="3"/>
        <v>49.159365642674949</v>
      </c>
      <c r="O32" s="47">
        <f t="shared" si="4"/>
        <v>-23.5</v>
      </c>
      <c r="P32" s="48">
        <f t="shared" si="5"/>
        <v>0</v>
      </c>
      <c r="Q32" s="49">
        <f t="shared" si="6"/>
        <v>23.5</v>
      </c>
      <c r="R32" s="50">
        <f t="shared" si="7"/>
        <v>68.5</v>
      </c>
      <c r="S32" s="51">
        <f t="shared" si="8"/>
        <v>-13.5</v>
      </c>
      <c r="T32" s="51">
        <f t="shared" si="9"/>
        <v>68.5</v>
      </c>
      <c r="U32" s="52">
        <f t="shared" si="10"/>
        <v>13.5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60</v>
      </c>
      <c r="AD32" s="48">
        <v>0</v>
      </c>
      <c r="AE32" s="48">
        <v>60</v>
      </c>
      <c r="AF32" s="48">
        <v>0</v>
      </c>
      <c r="AG32" s="48">
        <v>60</v>
      </c>
      <c r="AH32" s="48">
        <v>0</v>
      </c>
      <c r="AI32" s="48">
        <v>-23</v>
      </c>
      <c r="AJ32" s="48">
        <v>-6</v>
      </c>
      <c r="AK32" s="48">
        <v>0</v>
      </c>
      <c r="AL32" s="48">
        <v>0</v>
      </c>
      <c r="AM32" s="48">
        <v>23</v>
      </c>
      <c r="AN32" s="58">
        <v>6</v>
      </c>
      <c r="AO32" s="9"/>
      <c r="AP32" s="59">
        <f>60+8</f>
        <v>68</v>
      </c>
      <c r="AQ32" s="60">
        <v>6</v>
      </c>
      <c r="AR32" s="51">
        <v>-13.5</v>
      </c>
      <c r="AS32" s="60">
        <v>0</v>
      </c>
      <c r="AT32" s="60">
        <f>60+8</f>
        <v>68</v>
      </c>
      <c r="AU32" s="60">
        <v>6</v>
      </c>
      <c r="AV32" s="51">
        <v>13.5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65" t="s">
        <v>299</v>
      </c>
      <c r="B33" s="2" t="s">
        <v>281</v>
      </c>
      <c r="C33" s="2" t="s">
        <v>254</v>
      </c>
      <c r="D33" s="2" t="s">
        <v>255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51.159365642674949</v>
      </c>
      <c r="M33" s="47">
        <f t="shared" si="2"/>
        <v>51.159365642674949</v>
      </c>
      <c r="N33" s="47">
        <f t="shared" si="3"/>
        <v>51.159365642674949</v>
      </c>
      <c r="O33" s="48">
        <f t="shared" si="4"/>
        <v>-24</v>
      </c>
      <c r="P33" s="48">
        <f t="shared" si="5"/>
        <v>0</v>
      </c>
      <c r="Q33" s="58">
        <f t="shared" si="6"/>
        <v>24</v>
      </c>
      <c r="R33" s="50">
        <f t="shared" si="7"/>
        <v>72.5</v>
      </c>
      <c r="S33" s="60">
        <f t="shared" si="8"/>
        <v>-26</v>
      </c>
      <c r="T33" s="51">
        <f t="shared" si="9"/>
        <v>72.5</v>
      </c>
      <c r="U33" s="62">
        <f t="shared" si="10"/>
        <v>26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62</v>
      </c>
      <c r="AD33" s="48">
        <v>0</v>
      </c>
      <c r="AE33" s="48">
        <v>62</v>
      </c>
      <c r="AF33" s="48">
        <v>0</v>
      </c>
      <c r="AG33" s="48">
        <v>62</v>
      </c>
      <c r="AH33" s="48">
        <v>0</v>
      </c>
      <c r="AI33" s="48">
        <v>-24</v>
      </c>
      <c r="AJ33" s="48">
        <v>0</v>
      </c>
      <c r="AK33" s="48">
        <v>0</v>
      </c>
      <c r="AL33" s="48">
        <v>0</v>
      </c>
      <c r="AM33" s="48">
        <v>24</v>
      </c>
      <c r="AN33" s="58">
        <v>0</v>
      </c>
      <c r="AO33" s="9"/>
      <c r="AP33" s="59">
        <f>62+10</f>
        <v>72</v>
      </c>
      <c r="AQ33" s="60">
        <v>6</v>
      </c>
      <c r="AR33" s="60">
        <v>-26</v>
      </c>
      <c r="AS33" s="60">
        <v>0</v>
      </c>
      <c r="AT33" s="60">
        <f>62+10</f>
        <v>72</v>
      </c>
      <c r="AU33" s="60">
        <v>6</v>
      </c>
      <c r="AV33" s="60">
        <v>26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300</v>
      </c>
      <c r="B34" t="s">
        <v>281</v>
      </c>
      <c r="C34" t="s">
        <v>301</v>
      </c>
      <c r="D34" t="s">
        <v>302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52.659365642674949</v>
      </c>
      <c r="M34" s="47">
        <f t="shared" si="2"/>
        <v>52.659365642674949</v>
      </c>
      <c r="N34" s="47">
        <f t="shared" si="3"/>
        <v>52.659365642674949</v>
      </c>
      <c r="O34" s="48">
        <f t="shared" si="4"/>
        <v>-20</v>
      </c>
      <c r="P34" s="48">
        <f t="shared" si="5"/>
        <v>0</v>
      </c>
      <c r="Q34" s="58">
        <f t="shared" si="6"/>
        <v>20</v>
      </c>
      <c r="R34" s="50">
        <f t="shared" si="7"/>
        <v>74.5</v>
      </c>
      <c r="S34" s="51">
        <f t="shared" si="8"/>
        <v>-9.5</v>
      </c>
      <c r="T34" s="51">
        <f t="shared" si="9"/>
        <v>74.5</v>
      </c>
      <c r="U34" s="52">
        <f t="shared" si="10"/>
        <v>9.5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v>63</v>
      </c>
      <c r="AD34" s="48">
        <v>6</v>
      </c>
      <c r="AE34" s="48">
        <v>63</v>
      </c>
      <c r="AF34" s="48">
        <v>6</v>
      </c>
      <c r="AG34" s="48">
        <v>63</v>
      </c>
      <c r="AH34" s="48">
        <v>6</v>
      </c>
      <c r="AI34" s="48">
        <v>-19</v>
      </c>
      <c r="AJ34" s="48">
        <v>-12</v>
      </c>
      <c r="AK34" s="48">
        <v>0</v>
      </c>
      <c r="AL34" s="48">
        <v>0</v>
      </c>
      <c r="AM34" s="48">
        <v>19</v>
      </c>
      <c r="AN34" s="58">
        <v>12</v>
      </c>
      <c r="AO34" s="9"/>
      <c r="AP34" s="59">
        <f>63+11</f>
        <v>74</v>
      </c>
      <c r="AQ34" s="60">
        <v>6</v>
      </c>
      <c r="AR34" s="60">
        <v>-9</v>
      </c>
      <c r="AS34" s="60">
        <v>-6</v>
      </c>
      <c r="AT34" s="60">
        <v>74</v>
      </c>
      <c r="AU34" s="60">
        <v>6</v>
      </c>
      <c r="AV34" s="60">
        <v>9</v>
      </c>
      <c r="AW34" s="62">
        <v>6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304</v>
      </c>
      <c r="B35" t="s">
        <v>281</v>
      </c>
      <c r="C35" t="s">
        <v>305</v>
      </c>
      <c r="D35" t="s">
        <v>306</v>
      </c>
      <c r="E35" s="44">
        <v>2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57">
        <f t="shared" si="1"/>
        <v>96</v>
      </c>
      <c r="M35" s="48">
        <f t="shared" si="2"/>
        <v>70</v>
      </c>
      <c r="N35" s="48">
        <f t="shared" si="3"/>
        <v>70</v>
      </c>
      <c r="O35" s="48">
        <f t="shared" si="4"/>
        <v>-10</v>
      </c>
      <c r="P35" s="47">
        <f t="shared" si="5"/>
        <v>-32.75</v>
      </c>
      <c r="Q35" s="58">
        <f t="shared" si="6"/>
        <v>-10</v>
      </c>
      <c r="R35" s="59">
        <f t="shared" si="7"/>
        <v>111</v>
      </c>
      <c r="S35" s="51">
        <f t="shared" si="8"/>
        <v>-27.25</v>
      </c>
      <c r="T35" s="60">
        <f t="shared" si="9"/>
        <v>111</v>
      </c>
      <c r="U35" s="52">
        <f t="shared" si="10"/>
        <v>27.25</v>
      </c>
      <c r="V35" s="61">
        <f t="shared" si="11"/>
        <v>96</v>
      </c>
      <c r="W35" s="55">
        <f t="shared" si="12"/>
        <v>70</v>
      </c>
      <c r="X35" s="55">
        <f t="shared" si="13"/>
        <v>70</v>
      </c>
      <c r="Y35" s="55">
        <f t="shared" si="14"/>
        <v>10</v>
      </c>
      <c r="Z35" s="55">
        <f t="shared" si="15"/>
        <v>10</v>
      </c>
      <c r="AA35" s="64">
        <f t="shared" si="16"/>
        <v>32.75</v>
      </c>
      <c r="AB35" s="9"/>
      <c r="AC35" s="46">
        <f>70+K35+26</f>
        <v>106.84063435732506</v>
      </c>
      <c r="AD35" s="48">
        <v>0</v>
      </c>
      <c r="AE35" s="47">
        <f>70+K35</f>
        <v>80.840634357325058</v>
      </c>
      <c r="AF35" s="48">
        <v>0</v>
      </c>
      <c r="AG35" s="47">
        <f>70+K35</f>
        <v>80.840634357325058</v>
      </c>
      <c r="AH35" s="48">
        <v>0</v>
      </c>
      <c r="AI35" s="48">
        <v>-10</v>
      </c>
      <c r="AJ35" s="48">
        <v>0</v>
      </c>
      <c r="AK35" s="48">
        <f>-10-10-12</f>
        <v>-32</v>
      </c>
      <c r="AL35" s="48">
        <v>-9</v>
      </c>
      <c r="AM35" s="48">
        <v>-10</v>
      </c>
      <c r="AN35" s="58">
        <v>0</v>
      </c>
      <c r="AO35" s="9"/>
      <c r="AP35" s="59">
        <f>70+26+15</f>
        <v>111</v>
      </c>
      <c r="AQ35" s="60">
        <v>0</v>
      </c>
      <c r="AR35" s="60">
        <v>-27</v>
      </c>
      <c r="AS35" s="60">
        <v>-3</v>
      </c>
      <c r="AT35" s="60">
        <f>70+26+15</f>
        <v>111</v>
      </c>
      <c r="AU35" s="60">
        <v>0</v>
      </c>
      <c r="AV35" s="60">
        <v>27</v>
      </c>
      <c r="AW35" s="62">
        <v>3</v>
      </c>
      <c r="AX35" s="9"/>
      <c r="AY35" s="53">
        <f>70+26+K35</f>
        <v>106.84063435732506</v>
      </c>
      <c r="AZ35" s="55">
        <v>0</v>
      </c>
      <c r="BA35" s="54">
        <f>70+K35</f>
        <v>80.840634357325058</v>
      </c>
      <c r="BB35" s="55">
        <v>0</v>
      </c>
      <c r="BC35" s="54">
        <f>70+K35</f>
        <v>80.840634357325058</v>
      </c>
      <c r="BD35" s="55">
        <v>0</v>
      </c>
      <c r="BE35" s="55">
        <v>10</v>
      </c>
      <c r="BF35" s="55">
        <v>0</v>
      </c>
      <c r="BG35" s="55">
        <v>10</v>
      </c>
      <c r="BH35" s="55">
        <v>0</v>
      </c>
      <c r="BI35" s="55">
        <f>10+12+10</f>
        <v>32</v>
      </c>
      <c r="BJ35" s="56">
        <v>9</v>
      </c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307</v>
      </c>
      <c r="B36" t="s">
        <v>308</v>
      </c>
      <c r="C36" t="s">
        <v>309</v>
      </c>
      <c r="D36" t="s">
        <v>18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si="0"/>
        <v>10.840634357325053</v>
      </c>
      <c r="L36" s="46">
        <f t="shared" si="1"/>
        <v>109.24269897600827</v>
      </c>
      <c r="M36" s="47">
        <f t="shared" si="2"/>
        <v>84.659365642674942</v>
      </c>
      <c r="N36" s="47">
        <f t="shared" si="3"/>
        <v>84.659365642674942</v>
      </c>
      <c r="O36" s="48">
        <f t="shared" si="4"/>
        <v>0</v>
      </c>
      <c r="P36" s="48">
        <f t="shared" si="5"/>
        <v>-15</v>
      </c>
      <c r="Q36" s="58">
        <f t="shared" si="6"/>
        <v>15</v>
      </c>
      <c r="R36" s="50">
        <f t="shared" si="7"/>
        <v>120.08333333333333</v>
      </c>
      <c r="S36" s="51">
        <f t="shared" si="8"/>
        <v>-13.5</v>
      </c>
      <c r="T36" s="51">
        <f t="shared" si="9"/>
        <v>120.08333333333333</v>
      </c>
      <c r="U36" s="52">
        <f t="shared" si="10"/>
        <v>13.5</v>
      </c>
      <c r="V36" s="53">
        <f t="shared" si="11"/>
        <v>-10.840634357325053</v>
      </c>
      <c r="W36" s="54">
        <f t="shared" si="12"/>
        <v>-10.840634357325053</v>
      </c>
      <c r="X36" s="54">
        <f t="shared" si="13"/>
        <v>-10.840634357325053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95+24</f>
        <v>119</v>
      </c>
      <c r="AD36" s="48">
        <f>6+7</f>
        <v>13</v>
      </c>
      <c r="AE36" s="48">
        <v>95</v>
      </c>
      <c r="AF36" s="48">
        <v>6</v>
      </c>
      <c r="AG36" s="48">
        <v>95</v>
      </c>
      <c r="AH36" s="48">
        <v>6</v>
      </c>
      <c r="AI36" s="48">
        <v>0</v>
      </c>
      <c r="AJ36" s="48">
        <v>0</v>
      </c>
      <c r="AK36" s="48">
        <v>-15</v>
      </c>
      <c r="AL36" s="48">
        <v>0</v>
      </c>
      <c r="AM36" s="48">
        <v>15</v>
      </c>
      <c r="AN36" s="58">
        <v>0</v>
      </c>
      <c r="AO36" s="9"/>
      <c r="AP36" s="59">
        <f>95+24</f>
        <v>119</v>
      </c>
      <c r="AQ36" s="60">
        <f>6+7</f>
        <v>13</v>
      </c>
      <c r="AR36" s="51">
        <v>-13.5</v>
      </c>
      <c r="AS36" s="60">
        <v>0</v>
      </c>
      <c r="AT36" s="60">
        <f>95+24</f>
        <v>119</v>
      </c>
      <c r="AU36" s="60">
        <f>6+7</f>
        <v>13</v>
      </c>
      <c r="AV36" s="51">
        <v>13.5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310</v>
      </c>
      <c r="B37" t="s">
        <v>308</v>
      </c>
      <c r="C37" t="s">
        <v>311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ref="K37:K67" si="51">((G37*H37)/I37)*J37*(1/304.8)</f>
        <v>10.840634357325053</v>
      </c>
      <c r="L37" s="46">
        <f t="shared" ref="L37:L67" si="52">AC37+(AD37*(1/12))-K37</f>
        <v>116.15936564267494</v>
      </c>
      <c r="M37" s="47">
        <f t="shared" ref="M37:M67" si="53">AE37+(AF37*(1/12))-K37</f>
        <v>94.159365642674942</v>
      </c>
      <c r="N37" s="47">
        <f t="shared" ref="N37:N67" si="54">AG37+(AH37*(1/12))-K37</f>
        <v>94.159365642674942</v>
      </c>
      <c r="O37" s="48">
        <f t="shared" ref="O37:O67" si="55">AI37+(AJ37*(1/12))</f>
        <v>0</v>
      </c>
      <c r="P37" s="47">
        <f t="shared" ref="P37:P67" si="56">AK37+(AL37*(1/12))</f>
        <v>-13.5</v>
      </c>
      <c r="Q37" s="49">
        <f t="shared" ref="Q37:Q67" si="57">AM37+(AN37*(1/12))</f>
        <v>13.5</v>
      </c>
      <c r="R37" s="59">
        <f t="shared" ref="R37:R67" si="58">AP37+((1/12)*AQ37)</f>
        <v>127</v>
      </c>
      <c r="S37" s="60">
        <f t="shared" ref="S37:S67" si="59">AR37+((1/12)*AS37)</f>
        <v>-10</v>
      </c>
      <c r="T37" s="60">
        <f t="shared" ref="T37:T67" si="60">AT37+((1/12)*AU37)</f>
        <v>127</v>
      </c>
      <c r="U37" s="62">
        <f t="shared" ref="U37:U67" si="61">AV37+((1/12)*AW37)</f>
        <v>10</v>
      </c>
      <c r="V37" s="53">
        <f t="shared" ref="V37:V67" si="62">AY37+(AZ37*(1/12))-K37</f>
        <v>-10.840634357325053</v>
      </c>
      <c r="W37" s="54">
        <f t="shared" ref="W37:W67" si="63">BA37+(BB37*(1/12))-K37</f>
        <v>-10.840634357325053</v>
      </c>
      <c r="X37" s="54">
        <f t="shared" ref="X37:X67" si="64">BC37+(BD37*(1/12))-K37</f>
        <v>-10.840634357325053</v>
      </c>
      <c r="Y37" s="55">
        <f t="shared" ref="Y37:Y67" si="65">BE37+(BF37*(1/12))</f>
        <v>0</v>
      </c>
      <c r="Z37" s="55">
        <f t="shared" ref="Z37:Z67" si="66">BG37+(BH37*(1/12))</f>
        <v>0</v>
      </c>
      <c r="AA37" s="56">
        <f t="shared" ref="AA37:AA67" si="67">BI37+(BJ37*(1/12))</f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8">
        <v>-13</v>
      </c>
      <c r="AL37" s="48">
        <v>-6</v>
      </c>
      <c r="AM37" s="48">
        <v>13</v>
      </c>
      <c r="AN37" s="58">
        <v>6</v>
      </c>
      <c r="AO37" s="9"/>
      <c r="AP37" s="59">
        <f>105+22</f>
        <v>127</v>
      </c>
      <c r="AQ37" s="60">
        <v>0</v>
      </c>
      <c r="AR37" s="60">
        <v>-10</v>
      </c>
      <c r="AS37" s="60">
        <v>0</v>
      </c>
      <c r="AT37" s="60">
        <v>127</v>
      </c>
      <c r="AU37" s="60">
        <v>0</v>
      </c>
      <c r="AV37" s="60">
        <v>10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312</v>
      </c>
      <c r="B38" t="s">
        <v>308</v>
      </c>
      <c r="C38" t="s">
        <v>313</v>
      </c>
      <c r="D38" t="s">
        <v>314</v>
      </c>
      <c r="E38" s="44">
        <v>1</v>
      </c>
      <c r="F38" s="44">
        <v>2</v>
      </c>
      <c r="G38" s="45">
        <v>345</v>
      </c>
      <c r="H38" s="44">
        <v>20</v>
      </c>
      <c r="I38" s="44">
        <v>355</v>
      </c>
      <c r="J38" s="44">
        <v>170</v>
      </c>
      <c r="K38" s="43">
        <f t="shared" si="51"/>
        <v>10.840634357325053</v>
      </c>
      <c r="L38" s="46">
        <f t="shared" si="52"/>
        <v>116.15936564267494</v>
      </c>
      <c r="M38" s="47">
        <f t="shared" si="53"/>
        <v>94.159365642674942</v>
      </c>
      <c r="N38" s="47">
        <f t="shared" si="54"/>
        <v>94.159365642674942</v>
      </c>
      <c r="O38" s="48">
        <f t="shared" si="55"/>
        <v>0</v>
      </c>
      <c r="P38" s="47">
        <f t="shared" si="56"/>
        <v>-19.833333333333332</v>
      </c>
      <c r="Q38" s="49">
        <f t="shared" si="57"/>
        <v>19.833333333333332</v>
      </c>
      <c r="R38" s="59">
        <f t="shared" si="58"/>
        <v>127</v>
      </c>
      <c r="S38" s="60">
        <f t="shared" si="59"/>
        <v>-9</v>
      </c>
      <c r="T38" s="60">
        <f t="shared" si="60"/>
        <v>127</v>
      </c>
      <c r="U38" s="62">
        <f t="shared" si="61"/>
        <v>9</v>
      </c>
      <c r="V38" s="53">
        <f t="shared" si="62"/>
        <v>-10.840634357325053</v>
      </c>
      <c r="W38" s="54">
        <f t="shared" si="63"/>
        <v>-10.840634357325053</v>
      </c>
      <c r="X38" s="54">
        <f t="shared" si="64"/>
        <v>-10.840634357325053</v>
      </c>
      <c r="Y38" s="55">
        <f t="shared" si="65"/>
        <v>0</v>
      </c>
      <c r="Z38" s="55">
        <f t="shared" si="66"/>
        <v>0</v>
      </c>
      <c r="AA38" s="56">
        <f t="shared" si="67"/>
        <v>0</v>
      </c>
      <c r="AB38" s="9"/>
      <c r="AC38" s="57">
        <f>105+22</f>
        <v>127</v>
      </c>
      <c r="AD38" s="48">
        <v>0</v>
      </c>
      <c r="AE38" s="48">
        <v>105</v>
      </c>
      <c r="AF38" s="48">
        <v>0</v>
      </c>
      <c r="AG38" s="48">
        <v>105</v>
      </c>
      <c r="AH38" s="48">
        <v>0</v>
      </c>
      <c r="AI38" s="48">
        <v>0</v>
      </c>
      <c r="AJ38" s="48">
        <v>0</v>
      </c>
      <c r="AK38" s="47">
        <v>-19.5</v>
      </c>
      <c r="AL38" s="48">
        <v>-4</v>
      </c>
      <c r="AM38" s="47">
        <v>19.5</v>
      </c>
      <c r="AN38" s="58">
        <v>4</v>
      </c>
      <c r="AO38" s="9"/>
      <c r="AP38" s="59">
        <f>105+22</f>
        <v>127</v>
      </c>
      <c r="AQ38" s="60">
        <v>0</v>
      </c>
      <c r="AR38" s="60">
        <v>-9</v>
      </c>
      <c r="AS38" s="60">
        <v>0</v>
      </c>
      <c r="AT38" s="60">
        <v>127</v>
      </c>
      <c r="AU38" s="60">
        <v>0</v>
      </c>
      <c r="AV38" s="60">
        <v>9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66" t="s">
        <v>315</v>
      </c>
      <c r="B39" s="67" t="s">
        <v>228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51"/>
        <v>15.711064285978338</v>
      </c>
      <c r="L39" s="46">
        <f t="shared" si="52"/>
        <v>96.788935714021662</v>
      </c>
      <c r="M39" s="47">
        <f t="shared" si="53"/>
        <v>69.288935714021662</v>
      </c>
      <c r="N39" s="47">
        <f t="shared" si="54"/>
        <v>69.288935714021662</v>
      </c>
      <c r="O39" s="48">
        <f t="shared" si="55"/>
        <v>0</v>
      </c>
      <c r="P39" s="48">
        <f t="shared" si="56"/>
        <v>-20</v>
      </c>
      <c r="Q39" s="58">
        <f t="shared" si="57"/>
        <v>20</v>
      </c>
      <c r="R39" s="50">
        <f t="shared" si="58"/>
        <v>122.25</v>
      </c>
      <c r="S39" s="60">
        <f t="shared" si="59"/>
        <v>-13</v>
      </c>
      <c r="T39" s="51">
        <f t="shared" si="60"/>
        <v>122.25</v>
      </c>
      <c r="U39" s="62">
        <f t="shared" si="61"/>
        <v>13</v>
      </c>
      <c r="V39" s="53">
        <f t="shared" si="62"/>
        <v>-15.711064285978338</v>
      </c>
      <c r="W39" s="54">
        <f t="shared" si="63"/>
        <v>-15.711064285978338</v>
      </c>
      <c r="X39" s="54">
        <f t="shared" si="64"/>
        <v>-15.711064285978338</v>
      </c>
      <c r="Y39" s="55">
        <f t="shared" si="65"/>
        <v>0</v>
      </c>
      <c r="Z39" s="55">
        <f t="shared" si="66"/>
        <v>0</v>
      </c>
      <c r="AA39" s="56">
        <f t="shared" si="67"/>
        <v>0</v>
      </c>
      <c r="AB39" s="9"/>
      <c r="AC39" s="57">
        <f>85+27</f>
        <v>112</v>
      </c>
      <c r="AD39" s="48">
        <v>6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-20</v>
      </c>
      <c r="AL39" s="48">
        <v>0</v>
      </c>
      <c r="AM39" s="48">
        <v>20</v>
      </c>
      <c r="AN39" s="58">
        <v>0</v>
      </c>
      <c r="AO39" s="9"/>
      <c r="AP39" s="59">
        <f>85+27+9</f>
        <v>121</v>
      </c>
      <c r="AQ39" s="60">
        <f>6+9</f>
        <v>15</v>
      </c>
      <c r="AR39" s="60">
        <v>-13</v>
      </c>
      <c r="AS39" s="60">
        <v>0</v>
      </c>
      <c r="AT39" s="60">
        <v>121</v>
      </c>
      <c r="AU39" s="60">
        <v>15</v>
      </c>
      <c r="AV39" s="60">
        <v>13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316</v>
      </c>
      <c r="B40" t="s">
        <v>228</v>
      </c>
      <c r="C40" t="s">
        <v>317</v>
      </c>
      <c r="D40" s="68" t="s">
        <v>318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51"/>
        <v>15.711064285978338</v>
      </c>
      <c r="L40" s="46">
        <f t="shared" si="52"/>
        <v>98.288935714021662</v>
      </c>
      <c r="M40" s="47">
        <f t="shared" si="53"/>
        <v>69.288935714021662</v>
      </c>
      <c r="N40" s="47">
        <f t="shared" si="54"/>
        <v>69.288935714021662</v>
      </c>
      <c r="O40" s="48">
        <f t="shared" si="55"/>
        <v>0</v>
      </c>
      <c r="P40" s="47">
        <f t="shared" si="56"/>
        <v>-15.333333333333334</v>
      </c>
      <c r="Q40" s="49">
        <f t="shared" si="57"/>
        <v>15.333333333333334</v>
      </c>
      <c r="R40" s="59">
        <f t="shared" si="58"/>
        <v>121</v>
      </c>
      <c r="S40" s="60">
        <f t="shared" si="59"/>
        <v>-12</v>
      </c>
      <c r="T40" s="60">
        <f t="shared" si="60"/>
        <v>121</v>
      </c>
      <c r="U40" s="62">
        <f t="shared" si="61"/>
        <v>12</v>
      </c>
      <c r="V40" s="53">
        <f t="shared" si="62"/>
        <v>-15.711064285978338</v>
      </c>
      <c r="W40" s="54">
        <f t="shared" si="63"/>
        <v>-15.711064285978338</v>
      </c>
      <c r="X40" s="54">
        <f t="shared" si="64"/>
        <v>-15.711064285978338</v>
      </c>
      <c r="Y40" s="55">
        <f t="shared" si="65"/>
        <v>0</v>
      </c>
      <c r="Z40" s="55">
        <f t="shared" si="66"/>
        <v>0</v>
      </c>
      <c r="AA40" s="56">
        <f t="shared" si="67"/>
        <v>0</v>
      </c>
      <c r="AB40" s="9"/>
      <c r="AC40" s="57">
        <f>85+29</f>
        <v>114</v>
      </c>
      <c r="AD40" s="48">
        <v>0</v>
      </c>
      <c r="AE40" s="48">
        <v>85</v>
      </c>
      <c r="AF40" s="48">
        <v>0</v>
      </c>
      <c r="AG40" s="48">
        <v>85</v>
      </c>
      <c r="AH40" s="48">
        <v>0</v>
      </c>
      <c r="AI40" s="48">
        <v>0</v>
      </c>
      <c r="AJ40" s="48">
        <v>0</v>
      </c>
      <c r="AK40" s="48">
        <v>-15</v>
      </c>
      <c r="AL40" s="48">
        <v>-4</v>
      </c>
      <c r="AM40" s="48">
        <v>15</v>
      </c>
      <c r="AN40" s="58">
        <v>4</v>
      </c>
      <c r="AO40" s="9"/>
      <c r="AP40" s="59">
        <f>85+29+7</f>
        <v>121</v>
      </c>
      <c r="AQ40" s="60">
        <v>0</v>
      </c>
      <c r="AR40" s="60">
        <v>-12</v>
      </c>
      <c r="AS40" s="60">
        <v>0</v>
      </c>
      <c r="AT40" s="60">
        <v>121</v>
      </c>
      <c r="AU40" s="60">
        <v>0</v>
      </c>
      <c r="AV40" s="60">
        <v>12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319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51"/>
        <v>15.711064285978338</v>
      </c>
      <c r="L41" s="46">
        <f t="shared" si="52"/>
        <v>90.288935714021662</v>
      </c>
      <c r="M41" s="47">
        <f t="shared" si="53"/>
        <v>74.288935714021662</v>
      </c>
      <c r="N41" s="47">
        <f t="shared" si="54"/>
        <v>74.288935714021662</v>
      </c>
      <c r="O41" s="48">
        <f t="shared" si="55"/>
        <v>0</v>
      </c>
      <c r="P41" s="48">
        <f t="shared" si="56"/>
        <v>-29</v>
      </c>
      <c r="Q41" s="58">
        <f t="shared" si="57"/>
        <v>29</v>
      </c>
      <c r="R41" s="59">
        <f t="shared" si="58"/>
        <v>106</v>
      </c>
      <c r="S41" s="60">
        <f t="shared" si="59"/>
        <v>-15</v>
      </c>
      <c r="T41" s="60">
        <f t="shared" si="60"/>
        <v>106</v>
      </c>
      <c r="U41" s="62">
        <f t="shared" si="61"/>
        <v>15</v>
      </c>
      <c r="V41" s="53">
        <f t="shared" si="62"/>
        <v>-15.711064285978338</v>
      </c>
      <c r="W41" s="54">
        <f t="shared" si="63"/>
        <v>-15.711064285978338</v>
      </c>
      <c r="X41" s="54">
        <f t="shared" si="64"/>
        <v>-15.711064285978338</v>
      </c>
      <c r="Y41" s="55">
        <f t="shared" si="65"/>
        <v>0</v>
      </c>
      <c r="Z41" s="55">
        <f t="shared" si="66"/>
        <v>0</v>
      </c>
      <c r="AA41" s="56">
        <f t="shared" si="67"/>
        <v>0</v>
      </c>
      <c r="AB41" s="9"/>
      <c r="AC41" s="57">
        <f>90+16</f>
        <v>106</v>
      </c>
      <c r="AD41" s="48">
        <v>0</v>
      </c>
      <c r="AE41" s="48">
        <v>90</v>
      </c>
      <c r="AF41" s="48">
        <v>0</v>
      </c>
      <c r="AG41" s="48">
        <v>90</v>
      </c>
      <c r="AH41" s="48">
        <v>0</v>
      </c>
      <c r="AI41" s="48">
        <v>0</v>
      </c>
      <c r="AJ41" s="48">
        <v>0</v>
      </c>
      <c r="AK41" s="48">
        <v>-29</v>
      </c>
      <c r="AL41" s="48">
        <v>0</v>
      </c>
      <c r="AM41" s="48">
        <v>29</v>
      </c>
      <c r="AN41" s="58">
        <v>0</v>
      </c>
      <c r="AO41" s="9"/>
      <c r="AP41" s="59">
        <v>106</v>
      </c>
      <c r="AQ41" s="60">
        <v>0</v>
      </c>
      <c r="AR41" s="60">
        <v>-15</v>
      </c>
      <c r="AS41" s="60">
        <v>0</v>
      </c>
      <c r="AT41" s="60">
        <v>106</v>
      </c>
      <c r="AU41" s="60">
        <v>0</v>
      </c>
      <c r="AV41" s="60">
        <v>15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320</v>
      </c>
      <c r="B42" t="s">
        <v>228</v>
      </c>
      <c r="C42" t="s">
        <v>321</v>
      </c>
      <c r="D42" t="s">
        <v>322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51"/>
        <v>15.711064285978338</v>
      </c>
      <c r="L42" s="57">
        <f t="shared" si="52"/>
        <v>85</v>
      </c>
      <c r="M42" s="47">
        <f t="shared" si="53"/>
        <v>69.288935714021662</v>
      </c>
      <c r="N42" s="47">
        <f t="shared" si="54"/>
        <v>69.288935714021662</v>
      </c>
      <c r="O42" s="48">
        <f t="shared" si="55"/>
        <v>0</v>
      </c>
      <c r="P42" s="48">
        <f t="shared" si="56"/>
        <v>-28</v>
      </c>
      <c r="Q42" s="58">
        <f t="shared" si="57"/>
        <v>28</v>
      </c>
      <c r="R42" s="59">
        <f t="shared" si="58"/>
        <v>99</v>
      </c>
      <c r="S42" s="60">
        <f t="shared" si="59"/>
        <v>-26</v>
      </c>
      <c r="T42" s="60">
        <f t="shared" si="60"/>
        <v>99</v>
      </c>
      <c r="U42" s="62">
        <f t="shared" si="61"/>
        <v>26</v>
      </c>
      <c r="V42" s="53">
        <f t="shared" si="62"/>
        <v>-15.711064285978338</v>
      </c>
      <c r="W42" s="54">
        <f t="shared" si="63"/>
        <v>-15.711064285978338</v>
      </c>
      <c r="X42" s="54">
        <f t="shared" si="64"/>
        <v>-15.711064285978338</v>
      </c>
      <c r="Y42" s="55">
        <f t="shared" si="65"/>
        <v>0</v>
      </c>
      <c r="Z42" s="55">
        <f t="shared" si="66"/>
        <v>0</v>
      </c>
      <c r="AA42" s="56">
        <f t="shared" si="67"/>
        <v>0</v>
      </c>
      <c r="AB42" s="9"/>
      <c r="AC42" s="46">
        <f>85+K42</f>
        <v>100.71106428597834</v>
      </c>
      <c r="AD42" s="48">
        <v>0</v>
      </c>
      <c r="AE42" s="48">
        <v>85</v>
      </c>
      <c r="AF42" s="48">
        <v>0</v>
      </c>
      <c r="AG42" s="48">
        <v>85</v>
      </c>
      <c r="AH42" s="48">
        <v>0</v>
      </c>
      <c r="AI42" s="48">
        <v>0</v>
      </c>
      <c r="AJ42" s="48">
        <v>0</v>
      </c>
      <c r="AK42" s="48">
        <v>-28</v>
      </c>
      <c r="AL42" s="48">
        <v>0</v>
      </c>
      <c r="AM42" s="48">
        <v>28</v>
      </c>
      <c r="AN42" s="58">
        <v>0</v>
      </c>
      <c r="AO42" s="9"/>
      <c r="AP42" s="59">
        <f>85+14</f>
        <v>99</v>
      </c>
      <c r="AQ42" s="60">
        <v>0</v>
      </c>
      <c r="AR42" s="60">
        <v>-26</v>
      </c>
      <c r="AS42" s="60">
        <v>0</v>
      </c>
      <c r="AT42" s="60">
        <v>99</v>
      </c>
      <c r="AU42" s="60">
        <v>0</v>
      </c>
      <c r="AV42" s="60">
        <v>26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323</v>
      </c>
      <c r="B43" t="s">
        <v>228</v>
      </c>
      <c r="C43" t="s">
        <v>324</v>
      </c>
      <c r="D43" t="s">
        <v>106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51"/>
        <v>15.711064285978338</v>
      </c>
      <c r="L43" s="57">
        <f t="shared" si="52"/>
        <v>105</v>
      </c>
      <c r="M43" s="47">
        <f t="shared" si="53"/>
        <v>89.288935714021662</v>
      </c>
      <c r="N43" s="47">
        <f t="shared" si="54"/>
        <v>89.288935714021662</v>
      </c>
      <c r="O43" s="48">
        <f t="shared" si="55"/>
        <v>0</v>
      </c>
      <c r="P43" s="47">
        <f t="shared" si="56"/>
        <v>-30.25</v>
      </c>
      <c r="Q43" s="49">
        <f t="shared" si="57"/>
        <v>30.25</v>
      </c>
      <c r="R43" s="50">
        <f t="shared" si="58"/>
        <v>122.5</v>
      </c>
      <c r="S43" s="51">
        <f t="shared" si="59"/>
        <v>-15.5</v>
      </c>
      <c r="T43" s="51">
        <f t="shared" si="60"/>
        <v>122.5</v>
      </c>
      <c r="U43" s="52">
        <f t="shared" si="61"/>
        <v>15.5</v>
      </c>
      <c r="V43" s="53">
        <f t="shared" si="62"/>
        <v>-15.711064285978338</v>
      </c>
      <c r="W43" s="54">
        <f t="shared" si="63"/>
        <v>-15.711064285978338</v>
      </c>
      <c r="X43" s="54">
        <f t="shared" si="64"/>
        <v>-15.711064285978338</v>
      </c>
      <c r="Y43" s="55">
        <f t="shared" si="65"/>
        <v>0</v>
      </c>
      <c r="Z43" s="55">
        <f t="shared" si="66"/>
        <v>0</v>
      </c>
      <c r="AA43" s="56">
        <f t="shared" si="67"/>
        <v>0</v>
      </c>
      <c r="AB43" s="9"/>
      <c r="AC43" s="46">
        <f>105+K43</f>
        <v>120.71106428597834</v>
      </c>
      <c r="AD43" s="48">
        <v>0</v>
      </c>
      <c r="AE43" s="48">
        <v>105</v>
      </c>
      <c r="AF43" s="48">
        <v>0</v>
      </c>
      <c r="AG43" s="48">
        <v>105</v>
      </c>
      <c r="AH43" s="48">
        <v>0</v>
      </c>
      <c r="AI43" s="48">
        <v>0</v>
      </c>
      <c r="AJ43" s="48">
        <v>0</v>
      </c>
      <c r="AK43" s="48">
        <v>-30</v>
      </c>
      <c r="AL43" s="48">
        <v>-3</v>
      </c>
      <c r="AM43" s="48">
        <v>30</v>
      </c>
      <c r="AN43" s="58">
        <v>3</v>
      </c>
      <c r="AO43" s="9"/>
      <c r="AP43" s="59">
        <f>105+17</f>
        <v>122</v>
      </c>
      <c r="AQ43" s="60">
        <v>6</v>
      </c>
      <c r="AR43" s="51">
        <v>-15.5</v>
      </c>
      <c r="AS43" s="60">
        <v>0</v>
      </c>
      <c r="AT43" s="60">
        <v>122</v>
      </c>
      <c r="AU43" s="60">
        <v>6</v>
      </c>
      <c r="AV43" s="51">
        <v>15.5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325</v>
      </c>
      <c r="B44" t="s">
        <v>228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51"/>
        <v>15.711064285978338</v>
      </c>
      <c r="L44" s="46">
        <f t="shared" si="52"/>
        <v>64.288935714021662</v>
      </c>
      <c r="M44" s="47">
        <f t="shared" si="53"/>
        <v>64.288935714021662</v>
      </c>
      <c r="N44" s="47">
        <f t="shared" si="54"/>
        <v>64.288935714021662</v>
      </c>
      <c r="O44" s="48">
        <f t="shared" si="55"/>
        <v>0</v>
      </c>
      <c r="P44" s="48">
        <f t="shared" si="56"/>
        <v>-35</v>
      </c>
      <c r="Q44" s="58">
        <f t="shared" si="57"/>
        <v>35</v>
      </c>
      <c r="R44" s="59">
        <f t="shared" si="58"/>
        <v>95</v>
      </c>
      <c r="S44" s="60">
        <f t="shared" si="59"/>
        <v>-25</v>
      </c>
      <c r="T44" s="60">
        <f t="shared" si="60"/>
        <v>95</v>
      </c>
      <c r="U44" s="62">
        <f t="shared" si="61"/>
        <v>25</v>
      </c>
      <c r="V44" s="53">
        <f t="shared" si="62"/>
        <v>-15.711064285978338</v>
      </c>
      <c r="W44" s="54">
        <f t="shared" si="63"/>
        <v>-15.711064285978338</v>
      </c>
      <c r="X44" s="54">
        <f t="shared" si="64"/>
        <v>-15.711064285978338</v>
      </c>
      <c r="Y44" s="55">
        <f t="shared" si="65"/>
        <v>0</v>
      </c>
      <c r="Z44" s="55">
        <f t="shared" si="66"/>
        <v>0</v>
      </c>
      <c r="AA44" s="56">
        <f t="shared" si="67"/>
        <v>0</v>
      </c>
      <c r="AB44" s="9"/>
      <c r="AC44" s="57">
        <v>80</v>
      </c>
      <c r="AD44" s="48">
        <v>0</v>
      </c>
      <c r="AE44" s="48">
        <v>80</v>
      </c>
      <c r="AF44" s="48">
        <v>0</v>
      </c>
      <c r="AG44" s="48">
        <v>80</v>
      </c>
      <c r="AH44" s="48">
        <v>0</v>
      </c>
      <c r="AI44" s="48">
        <v>0</v>
      </c>
      <c r="AJ44" s="48">
        <v>0</v>
      </c>
      <c r="AK44" s="48">
        <v>-35</v>
      </c>
      <c r="AL44" s="48">
        <v>0</v>
      </c>
      <c r="AM44" s="48">
        <v>35</v>
      </c>
      <c r="AN44" s="58">
        <v>0</v>
      </c>
      <c r="AO44" s="9"/>
      <c r="AP44" s="59">
        <f>80+15</f>
        <v>95</v>
      </c>
      <c r="AQ44" s="60">
        <v>0</v>
      </c>
      <c r="AR44" s="60">
        <v>-25</v>
      </c>
      <c r="AS44" s="60">
        <v>0</v>
      </c>
      <c r="AT44" s="60">
        <v>95</v>
      </c>
      <c r="AU44" s="60">
        <v>0</v>
      </c>
      <c r="AV44" s="60">
        <v>25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326</v>
      </c>
      <c r="B45" t="s">
        <v>228</v>
      </c>
      <c r="C45" t="s">
        <v>327</v>
      </c>
      <c r="D45" t="s">
        <v>328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51"/>
        <v>15.711064285978338</v>
      </c>
      <c r="L45" s="46">
        <f t="shared" si="52"/>
        <v>94.288935714021662</v>
      </c>
      <c r="M45" s="47">
        <f t="shared" si="53"/>
        <v>94.288935714021662</v>
      </c>
      <c r="N45" s="47">
        <f t="shared" si="54"/>
        <v>94.288935714021662</v>
      </c>
      <c r="O45" s="48">
        <f t="shared" si="55"/>
        <v>0</v>
      </c>
      <c r="P45" s="48">
        <f t="shared" si="56"/>
        <v>-34</v>
      </c>
      <c r="Q45" s="58">
        <f t="shared" si="57"/>
        <v>34</v>
      </c>
      <c r="R45" s="59">
        <f t="shared" si="58"/>
        <v>124</v>
      </c>
      <c r="S45" s="60">
        <f t="shared" si="59"/>
        <v>-31</v>
      </c>
      <c r="T45" s="60">
        <f t="shared" si="60"/>
        <v>124</v>
      </c>
      <c r="U45" s="62">
        <f t="shared" si="61"/>
        <v>31</v>
      </c>
      <c r="V45" s="53">
        <f t="shared" si="62"/>
        <v>-15.711064285978338</v>
      </c>
      <c r="W45" s="54">
        <f t="shared" si="63"/>
        <v>-15.711064285978338</v>
      </c>
      <c r="X45" s="54">
        <f t="shared" si="64"/>
        <v>-15.711064285978338</v>
      </c>
      <c r="Y45" s="55">
        <f t="shared" si="65"/>
        <v>0</v>
      </c>
      <c r="Z45" s="55">
        <f t="shared" si="66"/>
        <v>0</v>
      </c>
      <c r="AA45" s="56">
        <f t="shared" si="67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-34</v>
      </c>
      <c r="AL45" s="48">
        <v>0</v>
      </c>
      <c r="AM45" s="48">
        <v>34</v>
      </c>
      <c r="AN45" s="58">
        <v>0</v>
      </c>
      <c r="AO45" s="9"/>
      <c r="AP45" s="59">
        <f>110+14</f>
        <v>124</v>
      </c>
      <c r="AQ45" s="60">
        <v>0</v>
      </c>
      <c r="AR45" s="60">
        <v>-31</v>
      </c>
      <c r="AS45" s="60">
        <v>0</v>
      </c>
      <c r="AT45" s="60">
        <v>124</v>
      </c>
      <c r="AU45" s="60">
        <v>0</v>
      </c>
      <c r="AV45" s="60">
        <v>31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329</v>
      </c>
      <c r="B46" t="s">
        <v>228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51"/>
        <v>15.711064285978338</v>
      </c>
      <c r="L46" s="46">
        <f t="shared" si="52"/>
        <v>94.288935714021662</v>
      </c>
      <c r="M46" s="47">
        <f t="shared" si="53"/>
        <v>94.288935714021662</v>
      </c>
      <c r="N46" s="47">
        <f t="shared" si="54"/>
        <v>94.288935714021662</v>
      </c>
      <c r="O46" s="48">
        <f t="shared" si="55"/>
        <v>0</v>
      </c>
      <c r="P46" s="48">
        <f t="shared" si="56"/>
        <v>-33</v>
      </c>
      <c r="Q46" s="58">
        <f t="shared" si="57"/>
        <v>33</v>
      </c>
      <c r="R46" s="59">
        <f t="shared" si="58"/>
        <v>129</v>
      </c>
      <c r="S46" s="60">
        <f t="shared" si="59"/>
        <v>-20</v>
      </c>
      <c r="T46" s="60">
        <f t="shared" si="60"/>
        <v>129</v>
      </c>
      <c r="U46" s="62">
        <f t="shared" si="61"/>
        <v>20</v>
      </c>
      <c r="V46" s="53">
        <f t="shared" si="62"/>
        <v>-15.711064285978338</v>
      </c>
      <c r="W46" s="54">
        <f t="shared" si="63"/>
        <v>-15.711064285978338</v>
      </c>
      <c r="X46" s="54">
        <f t="shared" si="64"/>
        <v>-15.711064285978338</v>
      </c>
      <c r="Y46" s="55">
        <f t="shared" si="65"/>
        <v>0</v>
      </c>
      <c r="Z46" s="55">
        <f t="shared" si="66"/>
        <v>0</v>
      </c>
      <c r="AA46" s="56">
        <f t="shared" si="67"/>
        <v>0</v>
      </c>
      <c r="AB46" s="9"/>
      <c r="AC46" s="57">
        <v>110</v>
      </c>
      <c r="AD46" s="48">
        <v>0</v>
      </c>
      <c r="AE46" s="48">
        <v>110</v>
      </c>
      <c r="AF46" s="48">
        <v>0</v>
      </c>
      <c r="AG46" s="48">
        <v>110</v>
      </c>
      <c r="AH46" s="48">
        <v>0</v>
      </c>
      <c r="AI46" s="48">
        <v>0</v>
      </c>
      <c r="AJ46" s="48">
        <v>0</v>
      </c>
      <c r="AK46" s="48">
        <v>-33</v>
      </c>
      <c r="AL46" s="48">
        <v>0</v>
      </c>
      <c r="AM46" s="48">
        <v>33</v>
      </c>
      <c r="AN46" s="58">
        <v>0</v>
      </c>
      <c r="AO46" s="9"/>
      <c r="AP46" s="59">
        <f>110+19</f>
        <v>129</v>
      </c>
      <c r="AQ46" s="60">
        <v>0</v>
      </c>
      <c r="AR46" s="60">
        <v>-20</v>
      </c>
      <c r="AS46" s="60">
        <v>0</v>
      </c>
      <c r="AT46" s="60">
        <v>129</v>
      </c>
      <c r="AU46" s="60">
        <v>0</v>
      </c>
      <c r="AV46" s="60">
        <v>20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330</v>
      </c>
      <c r="B47" t="s">
        <v>228</v>
      </c>
      <c r="C47" t="s">
        <v>331</v>
      </c>
      <c r="D47" t="s">
        <v>332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51"/>
        <v>15.711064285978338</v>
      </c>
      <c r="L47" s="46">
        <f t="shared" si="52"/>
        <v>79.288935714021662</v>
      </c>
      <c r="M47" s="47">
        <f t="shared" si="53"/>
        <v>79.288935714021662</v>
      </c>
      <c r="N47" s="47">
        <f t="shared" si="54"/>
        <v>79.288935714021662</v>
      </c>
      <c r="O47" s="48">
        <f t="shared" si="55"/>
        <v>0</v>
      </c>
      <c r="P47" s="48">
        <f t="shared" si="56"/>
        <v>-32</v>
      </c>
      <c r="Q47" s="58">
        <f t="shared" si="57"/>
        <v>32</v>
      </c>
      <c r="R47" s="59">
        <f t="shared" si="58"/>
        <v>109</v>
      </c>
      <c r="S47" s="60">
        <f t="shared" si="59"/>
        <v>-24</v>
      </c>
      <c r="T47" s="60">
        <f t="shared" si="60"/>
        <v>109</v>
      </c>
      <c r="U47" s="62">
        <f t="shared" si="61"/>
        <v>24</v>
      </c>
      <c r="V47" s="53">
        <f t="shared" si="62"/>
        <v>-15.711064285978338</v>
      </c>
      <c r="W47" s="54">
        <f t="shared" si="63"/>
        <v>-15.711064285978338</v>
      </c>
      <c r="X47" s="54">
        <f t="shared" si="64"/>
        <v>-15.711064285978338</v>
      </c>
      <c r="Y47" s="55">
        <f t="shared" si="65"/>
        <v>0</v>
      </c>
      <c r="Z47" s="55">
        <f t="shared" si="66"/>
        <v>0</v>
      </c>
      <c r="AA47" s="56">
        <f t="shared" si="67"/>
        <v>0</v>
      </c>
      <c r="AB47" s="9"/>
      <c r="AC47" s="57">
        <v>95</v>
      </c>
      <c r="AD47" s="48">
        <v>0</v>
      </c>
      <c r="AE47" s="48">
        <v>95</v>
      </c>
      <c r="AF47" s="48">
        <v>0</v>
      </c>
      <c r="AG47" s="48">
        <v>95</v>
      </c>
      <c r="AH47" s="48">
        <v>0</v>
      </c>
      <c r="AI47" s="48">
        <v>0</v>
      </c>
      <c r="AJ47" s="48">
        <v>0</v>
      </c>
      <c r="AK47" s="48">
        <v>-32</v>
      </c>
      <c r="AL47" s="48">
        <v>0</v>
      </c>
      <c r="AM47" s="48">
        <v>32</v>
      </c>
      <c r="AN47" s="58">
        <v>0</v>
      </c>
      <c r="AO47" s="9"/>
      <c r="AP47" s="59">
        <f>95+14</f>
        <v>109</v>
      </c>
      <c r="AQ47" s="60">
        <v>0</v>
      </c>
      <c r="AR47" s="60">
        <v>-24</v>
      </c>
      <c r="AS47" s="60">
        <v>0</v>
      </c>
      <c r="AT47" s="60">
        <v>109</v>
      </c>
      <c r="AU47" s="60">
        <v>0</v>
      </c>
      <c r="AV47" s="60">
        <v>24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333</v>
      </c>
      <c r="B48" t="s">
        <v>228</v>
      </c>
      <c r="E48" s="44">
        <v>1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51"/>
        <v>15.711064285978338</v>
      </c>
      <c r="L48" s="46">
        <f t="shared" si="52"/>
        <v>94.288935714021662</v>
      </c>
      <c r="M48" s="47">
        <f t="shared" si="53"/>
        <v>94.288935714021662</v>
      </c>
      <c r="N48" s="47">
        <f t="shared" si="54"/>
        <v>94.288935714021662</v>
      </c>
      <c r="O48" s="48">
        <f t="shared" si="55"/>
        <v>0</v>
      </c>
      <c r="P48" s="48">
        <f t="shared" si="56"/>
        <v>-35</v>
      </c>
      <c r="Q48" s="58">
        <f t="shared" si="57"/>
        <v>35</v>
      </c>
      <c r="R48" s="59">
        <f t="shared" si="58"/>
        <v>137</v>
      </c>
      <c r="S48" s="60">
        <f t="shared" si="59"/>
        <v>-26</v>
      </c>
      <c r="T48" s="60">
        <f t="shared" si="60"/>
        <v>137</v>
      </c>
      <c r="U48" s="62">
        <f t="shared" si="61"/>
        <v>26</v>
      </c>
      <c r="V48" s="53">
        <f t="shared" si="62"/>
        <v>-15.711064285978338</v>
      </c>
      <c r="W48" s="54">
        <f t="shared" si="63"/>
        <v>-15.711064285978338</v>
      </c>
      <c r="X48" s="54">
        <f t="shared" si="64"/>
        <v>-15.711064285978338</v>
      </c>
      <c r="Y48" s="55">
        <f t="shared" si="65"/>
        <v>0</v>
      </c>
      <c r="Z48" s="55">
        <f t="shared" si="66"/>
        <v>0</v>
      </c>
      <c r="AA48" s="56">
        <f t="shared" si="67"/>
        <v>0</v>
      </c>
      <c r="AB48" s="9"/>
      <c r="AC48" s="57">
        <v>110</v>
      </c>
      <c r="AD48" s="48">
        <v>0</v>
      </c>
      <c r="AE48" s="48">
        <v>110</v>
      </c>
      <c r="AF48" s="48">
        <v>0</v>
      </c>
      <c r="AG48" s="48">
        <v>110</v>
      </c>
      <c r="AH48" s="48">
        <v>0</v>
      </c>
      <c r="AI48" s="48">
        <v>0</v>
      </c>
      <c r="AJ48" s="48">
        <v>0</v>
      </c>
      <c r="AK48" s="48">
        <v>-35</v>
      </c>
      <c r="AL48" s="48">
        <v>0</v>
      </c>
      <c r="AM48" s="48">
        <v>35</v>
      </c>
      <c r="AN48" s="58">
        <v>0</v>
      </c>
      <c r="AO48" s="9"/>
      <c r="AP48" s="59">
        <f>110+27</f>
        <v>137</v>
      </c>
      <c r="AQ48" s="60">
        <v>0</v>
      </c>
      <c r="AR48" s="60">
        <v>-26</v>
      </c>
      <c r="AS48" s="60">
        <v>0</v>
      </c>
      <c r="AT48" s="60">
        <v>137</v>
      </c>
      <c r="AU48" s="60">
        <v>0</v>
      </c>
      <c r="AV48" s="60">
        <v>26</v>
      </c>
      <c r="AW48" s="62">
        <v>0</v>
      </c>
      <c r="AX48" s="9"/>
      <c r="AY48" s="63"/>
      <c r="AZ48" s="15"/>
      <c r="BA48" s="63"/>
      <c r="BB48" s="15"/>
      <c r="BC48" s="63"/>
      <c r="BD48" s="15"/>
      <c r="BE48" s="15"/>
      <c r="BF48" s="15"/>
      <c r="BG48" s="15"/>
      <c r="BH48" s="15"/>
      <c r="BI48" s="15"/>
      <c r="BJ48" s="15"/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334</v>
      </c>
      <c r="B49" t="s">
        <v>228</v>
      </c>
      <c r="C49" t="s">
        <v>317</v>
      </c>
      <c r="D49" s="68" t="s">
        <v>318</v>
      </c>
      <c r="E49" s="44">
        <v>2</v>
      </c>
      <c r="F49" s="44">
        <v>1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51"/>
        <v>15.711064285978338</v>
      </c>
      <c r="L49" s="46">
        <f t="shared" si="52"/>
        <v>69.288935714021662</v>
      </c>
      <c r="M49" s="47">
        <f t="shared" si="53"/>
        <v>100.28893571402166</v>
      </c>
      <c r="N49" s="47">
        <f t="shared" si="54"/>
        <v>131.28893571402165</v>
      </c>
      <c r="O49" s="48">
        <f t="shared" si="55"/>
        <v>-15</v>
      </c>
      <c r="P49" s="48">
        <f t="shared" si="56"/>
        <v>-25</v>
      </c>
      <c r="Q49" s="58">
        <f t="shared" si="57"/>
        <v>-15</v>
      </c>
      <c r="R49" s="59">
        <f t="shared" si="58"/>
        <v>172</v>
      </c>
      <c r="S49" s="60">
        <f t="shared" si="59"/>
        <v>0</v>
      </c>
      <c r="T49" s="60">
        <f t="shared" si="60"/>
        <v>0</v>
      </c>
      <c r="U49" s="62">
        <f t="shared" si="61"/>
        <v>0</v>
      </c>
      <c r="V49" s="53">
        <f t="shared" si="62"/>
        <v>131.28893571402165</v>
      </c>
      <c r="W49" s="54">
        <f t="shared" si="63"/>
        <v>100.28893571402166</v>
      </c>
      <c r="X49" s="54">
        <f t="shared" si="64"/>
        <v>69.288935714021662</v>
      </c>
      <c r="Y49" s="55">
        <f t="shared" si="65"/>
        <v>15</v>
      </c>
      <c r="Z49" s="55">
        <f t="shared" si="66"/>
        <v>25</v>
      </c>
      <c r="AA49" s="56">
        <f t="shared" si="67"/>
        <v>15</v>
      </c>
      <c r="AB49" s="9"/>
      <c r="AC49" s="57">
        <v>85</v>
      </c>
      <c r="AD49" s="48">
        <v>0</v>
      </c>
      <c r="AE49" s="48">
        <f>85+31</f>
        <v>116</v>
      </c>
      <c r="AF49" s="48">
        <v>0</v>
      </c>
      <c r="AG49" s="48">
        <f>85+31+31</f>
        <v>147</v>
      </c>
      <c r="AH49" s="48">
        <v>0</v>
      </c>
      <c r="AI49" s="48">
        <v>-15</v>
      </c>
      <c r="AJ49" s="48">
        <v>0</v>
      </c>
      <c r="AK49" s="48">
        <v>-25</v>
      </c>
      <c r="AL49" s="48">
        <v>0</v>
      </c>
      <c r="AM49" s="48">
        <v>-15</v>
      </c>
      <c r="AN49" s="58">
        <v>0</v>
      </c>
      <c r="AO49" s="9"/>
      <c r="AP49" s="59">
        <f>85+31+31+25</f>
        <v>172</v>
      </c>
      <c r="AQ49" s="60">
        <v>0</v>
      </c>
      <c r="AR49" s="60">
        <v>0</v>
      </c>
      <c r="AS49" s="60">
        <v>0</v>
      </c>
      <c r="AT49" s="60">
        <v>0</v>
      </c>
      <c r="AU49" s="60">
        <v>0</v>
      </c>
      <c r="AV49" s="60">
        <v>0</v>
      </c>
      <c r="AW49" s="62">
        <v>0</v>
      </c>
      <c r="AX49" s="9"/>
      <c r="AY49" s="61">
        <f>85+31+31</f>
        <v>147</v>
      </c>
      <c r="AZ49" s="55">
        <v>0</v>
      </c>
      <c r="BA49" s="55">
        <f>85+31</f>
        <v>116</v>
      </c>
      <c r="BB49" s="55">
        <v>0</v>
      </c>
      <c r="BC49" s="55">
        <v>85</v>
      </c>
      <c r="BD49" s="55">
        <v>0</v>
      </c>
      <c r="BE49" s="55">
        <v>15</v>
      </c>
      <c r="BF49" s="55">
        <v>0</v>
      </c>
      <c r="BG49" s="55">
        <v>25</v>
      </c>
      <c r="BH49" s="55">
        <v>0</v>
      </c>
      <c r="BI49" s="55">
        <v>15</v>
      </c>
      <c r="BJ49" s="56">
        <v>0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335</v>
      </c>
      <c r="B50" t="s">
        <v>228</v>
      </c>
      <c r="C50" t="s">
        <v>317</v>
      </c>
      <c r="D50" s="68" t="s">
        <v>318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51"/>
        <v>15.711064285978338</v>
      </c>
      <c r="L50" s="46">
        <f t="shared" si="52"/>
        <v>114.28893571402166</v>
      </c>
      <c r="M50" s="47">
        <f t="shared" si="53"/>
        <v>69.288935714021662</v>
      </c>
      <c r="N50" s="47">
        <f t="shared" si="54"/>
        <v>69.288935714021662</v>
      </c>
      <c r="O50" s="47">
        <f t="shared" si="55"/>
        <v>-27.75</v>
      </c>
      <c r="P50" s="47">
        <f t="shared" si="56"/>
        <v>-40.5</v>
      </c>
      <c r="Q50" s="58">
        <f t="shared" si="57"/>
        <v>-15</v>
      </c>
      <c r="R50" s="59">
        <f t="shared" si="58"/>
        <v>150</v>
      </c>
      <c r="S50" s="51">
        <f t="shared" si="59"/>
        <v>-18.5</v>
      </c>
      <c r="T50" s="60">
        <f t="shared" si="60"/>
        <v>150</v>
      </c>
      <c r="U50" s="52">
        <f t="shared" si="61"/>
        <v>18.5</v>
      </c>
      <c r="V50" s="53">
        <f t="shared" si="62"/>
        <v>114.28893571402166</v>
      </c>
      <c r="W50" s="54">
        <f t="shared" si="63"/>
        <v>69.288935714021662</v>
      </c>
      <c r="X50" s="54">
        <f t="shared" si="64"/>
        <v>69.288935714021662</v>
      </c>
      <c r="Y50" s="54">
        <f t="shared" si="65"/>
        <v>27.75</v>
      </c>
      <c r="Z50" s="55">
        <f t="shared" si="66"/>
        <v>15</v>
      </c>
      <c r="AA50" s="64">
        <f t="shared" si="67"/>
        <v>40.5</v>
      </c>
      <c r="AB50" s="9"/>
      <c r="AC50" s="57">
        <f>85+45</f>
        <v>130</v>
      </c>
      <c r="AD50" s="48">
        <v>0</v>
      </c>
      <c r="AE50" s="48">
        <v>85</v>
      </c>
      <c r="AF50" s="48">
        <v>0</v>
      </c>
      <c r="AG50" s="48">
        <v>85</v>
      </c>
      <c r="AH50" s="48">
        <v>0</v>
      </c>
      <c r="AI50" s="48">
        <v>-27</v>
      </c>
      <c r="AJ50" s="48">
        <v>-9</v>
      </c>
      <c r="AK50" s="48">
        <f>-15-25</f>
        <v>-40</v>
      </c>
      <c r="AL50" s="48">
        <v>-6</v>
      </c>
      <c r="AM50" s="48">
        <v>-15</v>
      </c>
      <c r="AN50" s="58">
        <v>0</v>
      </c>
      <c r="AO50" s="9"/>
      <c r="AP50" s="59">
        <f>85+45+20</f>
        <v>150</v>
      </c>
      <c r="AQ50" s="60">
        <v>0</v>
      </c>
      <c r="AR50" s="51">
        <v>-18.5</v>
      </c>
      <c r="AS50" s="60">
        <v>0</v>
      </c>
      <c r="AT50" s="60">
        <v>150</v>
      </c>
      <c r="AU50" s="60">
        <v>0</v>
      </c>
      <c r="AV50" s="51">
        <v>18.5</v>
      </c>
      <c r="AW50" s="62">
        <v>0</v>
      </c>
      <c r="AX50" s="9"/>
      <c r="AY50" s="61">
        <f>85+45</f>
        <v>130</v>
      </c>
      <c r="AZ50" s="55">
        <v>0</v>
      </c>
      <c r="BA50" s="55">
        <v>85</v>
      </c>
      <c r="BB50" s="55">
        <v>0</v>
      </c>
      <c r="BC50" s="55">
        <v>85</v>
      </c>
      <c r="BD50" s="55">
        <v>0</v>
      </c>
      <c r="BE50" s="55">
        <v>27</v>
      </c>
      <c r="BF50" s="55">
        <v>9</v>
      </c>
      <c r="BG50" s="55">
        <v>15</v>
      </c>
      <c r="BH50" s="55">
        <v>0</v>
      </c>
      <c r="BI50" s="55">
        <f>15+25</f>
        <v>40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336</v>
      </c>
      <c r="B51" t="s">
        <v>228</v>
      </c>
      <c r="E51" s="44">
        <v>2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51"/>
        <v>15.711064285978338</v>
      </c>
      <c r="L51" s="46">
        <f t="shared" si="52"/>
        <v>112.28893571402166</v>
      </c>
      <c r="M51" s="47">
        <f t="shared" si="53"/>
        <v>74.288935714021662</v>
      </c>
      <c r="N51" s="47">
        <f t="shared" si="54"/>
        <v>74.288935714021662</v>
      </c>
      <c r="O51" s="47">
        <f t="shared" si="55"/>
        <v>-18.5</v>
      </c>
      <c r="P51" s="47">
        <f t="shared" si="56"/>
        <v>-46.5</v>
      </c>
      <c r="Q51" s="49">
        <f t="shared" si="57"/>
        <v>-18.5</v>
      </c>
      <c r="R51" s="59">
        <f t="shared" si="58"/>
        <v>140</v>
      </c>
      <c r="S51" s="51">
        <f t="shared" si="59"/>
        <v>-12.125</v>
      </c>
      <c r="T51" s="60">
        <f t="shared" si="60"/>
        <v>140</v>
      </c>
      <c r="U51" s="52">
        <f t="shared" si="61"/>
        <v>15.125</v>
      </c>
      <c r="V51" s="53">
        <f t="shared" si="62"/>
        <v>112.28893571402166</v>
      </c>
      <c r="W51" s="54">
        <f t="shared" si="63"/>
        <v>74.288935714021662</v>
      </c>
      <c r="X51" s="54">
        <f t="shared" si="64"/>
        <v>74.288935714021662</v>
      </c>
      <c r="Y51" s="54">
        <f t="shared" si="65"/>
        <v>18.5</v>
      </c>
      <c r="Z51" s="54">
        <f t="shared" si="66"/>
        <v>18.5</v>
      </c>
      <c r="AA51" s="64">
        <f t="shared" si="67"/>
        <v>46.5</v>
      </c>
      <c r="AB51" s="9"/>
      <c r="AC51" s="57">
        <f>90+38</f>
        <v>128</v>
      </c>
      <c r="AD51" s="48">
        <v>0</v>
      </c>
      <c r="AE51" s="48">
        <v>90</v>
      </c>
      <c r="AF51" s="48">
        <v>0</v>
      </c>
      <c r="AG51" s="48">
        <v>90</v>
      </c>
      <c r="AH51" s="48">
        <v>0</v>
      </c>
      <c r="AI51" s="48">
        <v>-18</v>
      </c>
      <c r="AJ51" s="48">
        <v>-6</v>
      </c>
      <c r="AK51" s="48">
        <f>-18-28</f>
        <v>-46</v>
      </c>
      <c r="AL51" s="48">
        <v>-6</v>
      </c>
      <c r="AM51" s="48">
        <v>-18</v>
      </c>
      <c r="AN51" s="58">
        <v>-6</v>
      </c>
      <c r="AO51" s="9"/>
      <c r="AP51" s="59">
        <f>90+38+12</f>
        <v>140</v>
      </c>
      <c r="AQ51" s="60">
        <v>0</v>
      </c>
      <c r="AR51" s="60">
        <v>-12</v>
      </c>
      <c r="AS51" s="51">
        <v>-1.5</v>
      </c>
      <c r="AT51" s="60">
        <v>140</v>
      </c>
      <c r="AU51" s="60">
        <v>0</v>
      </c>
      <c r="AV51" s="60">
        <v>15</v>
      </c>
      <c r="AW51" s="52">
        <v>1.5</v>
      </c>
      <c r="AX51" s="9"/>
      <c r="AY51" s="61">
        <f>90+38</f>
        <v>128</v>
      </c>
      <c r="AZ51" s="55">
        <v>0</v>
      </c>
      <c r="BA51" s="55">
        <v>90</v>
      </c>
      <c r="BB51" s="55">
        <v>0</v>
      </c>
      <c r="BC51" s="55">
        <v>90</v>
      </c>
      <c r="BD51" s="55">
        <v>0</v>
      </c>
      <c r="BE51" s="55">
        <v>18</v>
      </c>
      <c r="BF51" s="55">
        <v>6</v>
      </c>
      <c r="BG51" s="55">
        <v>18</v>
      </c>
      <c r="BH51" s="55">
        <v>6</v>
      </c>
      <c r="BI51" s="55">
        <f>18+28</f>
        <v>46</v>
      </c>
      <c r="BJ51" s="56">
        <v>6</v>
      </c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337</v>
      </c>
      <c r="B52" t="s">
        <v>228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51"/>
        <v>15.711064285978338</v>
      </c>
      <c r="L52" s="46">
        <f t="shared" si="52"/>
        <v>94.288935714021662</v>
      </c>
      <c r="M52" s="47">
        <f t="shared" si="53"/>
        <v>94.288935714021662</v>
      </c>
      <c r="N52" s="47">
        <f t="shared" si="54"/>
        <v>94.288935714021662</v>
      </c>
      <c r="O52" s="48">
        <f t="shared" si="55"/>
        <v>-42</v>
      </c>
      <c r="P52" s="48">
        <f t="shared" si="56"/>
        <v>0</v>
      </c>
      <c r="Q52" s="58">
        <f t="shared" si="57"/>
        <v>42</v>
      </c>
      <c r="R52" s="59">
        <f t="shared" si="58"/>
        <v>128</v>
      </c>
      <c r="S52" s="51">
        <f t="shared" si="59"/>
        <v>-21.833333333333332</v>
      </c>
      <c r="T52" s="60">
        <f t="shared" si="60"/>
        <v>128</v>
      </c>
      <c r="U52" s="52">
        <f t="shared" si="61"/>
        <v>21.833333333333332</v>
      </c>
      <c r="V52" s="53">
        <f t="shared" si="62"/>
        <v>-15.711064285978338</v>
      </c>
      <c r="W52" s="54">
        <f t="shared" si="63"/>
        <v>-15.711064285978338</v>
      </c>
      <c r="X52" s="54">
        <f t="shared" si="64"/>
        <v>-15.711064285978338</v>
      </c>
      <c r="Y52" s="55">
        <f t="shared" si="65"/>
        <v>0</v>
      </c>
      <c r="Z52" s="55">
        <f t="shared" si="66"/>
        <v>0</v>
      </c>
      <c r="AA52" s="56">
        <f t="shared" si="67"/>
        <v>0</v>
      </c>
      <c r="AB52" s="9"/>
      <c r="AC52" s="57">
        <v>110</v>
      </c>
      <c r="AD52" s="48">
        <v>0</v>
      </c>
      <c r="AE52" s="48">
        <v>110</v>
      </c>
      <c r="AF52" s="48">
        <v>0</v>
      </c>
      <c r="AG52" s="48">
        <v>110</v>
      </c>
      <c r="AH52" s="48">
        <v>0</v>
      </c>
      <c r="AI52" s="48">
        <v>-42</v>
      </c>
      <c r="AJ52" s="48">
        <v>0</v>
      </c>
      <c r="AK52" s="48">
        <v>0</v>
      </c>
      <c r="AL52" s="48">
        <v>0</v>
      </c>
      <c r="AM52" s="48">
        <v>42</v>
      </c>
      <c r="AN52" s="58">
        <v>0</v>
      </c>
      <c r="AO52" s="9"/>
      <c r="AP52" s="59">
        <f>110+18</f>
        <v>128</v>
      </c>
      <c r="AQ52" s="60">
        <v>0</v>
      </c>
      <c r="AR52" s="60">
        <v>-21</v>
      </c>
      <c r="AS52" s="60">
        <v>-10</v>
      </c>
      <c r="AT52" s="60">
        <v>128</v>
      </c>
      <c r="AU52" s="60">
        <v>0</v>
      </c>
      <c r="AV52" s="60">
        <v>21</v>
      </c>
      <c r="AW52" s="62">
        <v>10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338</v>
      </c>
      <c r="B53" t="s">
        <v>263</v>
      </c>
      <c r="E53" s="44">
        <v>1</v>
      </c>
      <c r="F53" s="44">
        <v>1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51"/>
        <v>15.711064285978338</v>
      </c>
      <c r="L53" s="46">
        <f t="shared" si="52"/>
        <v>69.288935714021662</v>
      </c>
      <c r="M53" s="47">
        <f t="shared" si="53"/>
        <v>99.288935714021662</v>
      </c>
      <c r="N53" s="47">
        <f t="shared" si="54"/>
        <v>129.28893571402165</v>
      </c>
      <c r="O53" s="48">
        <f t="shared" si="55"/>
        <v>18</v>
      </c>
      <c r="P53" s="48">
        <f t="shared" si="56"/>
        <v>21</v>
      </c>
      <c r="Q53" s="58">
        <f t="shared" si="57"/>
        <v>18</v>
      </c>
      <c r="R53" s="59">
        <f t="shared" si="58"/>
        <v>160</v>
      </c>
      <c r="S53" s="60">
        <f t="shared" si="59"/>
        <v>4</v>
      </c>
      <c r="T53" s="60">
        <f t="shared" si="60"/>
        <v>0</v>
      </c>
      <c r="U53" s="62">
        <f t="shared" si="61"/>
        <v>0</v>
      </c>
      <c r="V53" s="53">
        <f t="shared" si="62"/>
        <v>-15.711064285978338</v>
      </c>
      <c r="W53" s="54">
        <f t="shared" si="63"/>
        <v>-15.711064285978338</v>
      </c>
      <c r="X53" s="54">
        <f t="shared" si="64"/>
        <v>-15.711064285978338</v>
      </c>
      <c r="Y53" s="55">
        <f t="shared" si="65"/>
        <v>0</v>
      </c>
      <c r="Z53" s="55">
        <f t="shared" si="66"/>
        <v>0</v>
      </c>
      <c r="AA53" s="56">
        <f t="shared" si="67"/>
        <v>0</v>
      </c>
      <c r="AB53" s="9"/>
      <c r="AC53" s="57">
        <v>85</v>
      </c>
      <c r="AD53" s="48">
        <v>0</v>
      </c>
      <c r="AE53" s="48">
        <f>85+30</f>
        <v>115</v>
      </c>
      <c r="AF53" s="48">
        <v>0</v>
      </c>
      <c r="AG53" s="48">
        <f>85+30+30</f>
        <v>145</v>
      </c>
      <c r="AH53" s="48">
        <v>0</v>
      </c>
      <c r="AI53" s="48">
        <v>18</v>
      </c>
      <c r="AJ53" s="48">
        <v>0</v>
      </c>
      <c r="AK53" s="48">
        <v>21</v>
      </c>
      <c r="AL53" s="48">
        <v>0</v>
      </c>
      <c r="AM53" s="48">
        <v>18</v>
      </c>
      <c r="AN53" s="58">
        <v>0</v>
      </c>
      <c r="AO53" s="9"/>
      <c r="AP53" s="59">
        <f>85+30+30+15</f>
        <v>160</v>
      </c>
      <c r="AQ53" s="60">
        <v>0</v>
      </c>
      <c r="AR53" s="60">
        <v>4</v>
      </c>
      <c r="AS53" s="60">
        <v>0</v>
      </c>
      <c r="AT53" s="60">
        <v>0</v>
      </c>
      <c r="AU53" s="60">
        <v>0</v>
      </c>
      <c r="AV53" s="60">
        <v>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339</v>
      </c>
      <c r="B54" t="s">
        <v>263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51"/>
        <v>15.711064285978338</v>
      </c>
      <c r="L54" s="46">
        <f t="shared" si="52"/>
        <v>60.705602380688333</v>
      </c>
      <c r="M54" s="47">
        <f t="shared" si="53"/>
        <v>73.288935714021662</v>
      </c>
      <c r="N54" s="47">
        <f t="shared" si="54"/>
        <v>85.705602380688333</v>
      </c>
      <c r="O54" s="48">
        <f t="shared" si="55"/>
        <v>18</v>
      </c>
      <c r="P54" s="48">
        <f t="shared" si="56"/>
        <v>-17</v>
      </c>
      <c r="Q54" s="58">
        <f t="shared" si="57"/>
        <v>18</v>
      </c>
      <c r="R54" s="59">
        <f t="shared" si="58"/>
        <v>120</v>
      </c>
      <c r="S54" s="60">
        <f t="shared" si="59"/>
        <v>-10</v>
      </c>
      <c r="T54" s="60">
        <f t="shared" si="60"/>
        <v>120</v>
      </c>
      <c r="U54" s="62">
        <f t="shared" si="61"/>
        <v>10</v>
      </c>
      <c r="V54" s="53">
        <f t="shared" si="62"/>
        <v>-15.711064285978338</v>
      </c>
      <c r="W54" s="54">
        <f t="shared" si="63"/>
        <v>-15.711064285978338</v>
      </c>
      <c r="X54" s="54">
        <f t="shared" si="64"/>
        <v>-15.711064285978338</v>
      </c>
      <c r="Y54" s="55">
        <f t="shared" si="65"/>
        <v>0</v>
      </c>
      <c r="Z54" s="55">
        <f t="shared" si="66"/>
        <v>0</v>
      </c>
      <c r="AA54" s="56">
        <f t="shared" si="67"/>
        <v>0</v>
      </c>
      <c r="AB54" s="9"/>
      <c r="AC54" s="57">
        <f>120-18-25</f>
        <v>77</v>
      </c>
      <c r="AD54" s="48">
        <v>-7</v>
      </c>
      <c r="AE54" s="48">
        <f>120-18-12</f>
        <v>90</v>
      </c>
      <c r="AF54" s="48">
        <f>-7-5</f>
        <v>-12</v>
      </c>
      <c r="AG54" s="48">
        <f>120-18</f>
        <v>102</v>
      </c>
      <c r="AH54" s="48">
        <v>-7</v>
      </c>
      <c r="AI54" s="48">
        <v>18</v>
      </c>
      <c r="AJ54" s="48">
        <v>0</v>
      </c>
      <c r="AK54" s="48">
        <v>-17</v>
      </c>
      <c r="AL54" s="48">
        <v>0</v>
      </c>
      <c r="AM54" s="48">
        <v>18</v>
      </c>
      <c r="AN54" s="58">
        <v>0</v>
      </c>
      <c r="AO54" s="9"/>
      <c r="AP54" s="59">
        <v>120</v>
      </c>
      <c r="AQ54" s="60">
        <v>0</v>
      </c>
      <c r="AR54" s="60">
        <v>-10</v>
      </c>
      <c r="AS54" s="60">
        <v>0</v>
      </c>
      <c r="AT54" s="60">
        <v>120</v>
      </c>
      <c r="AU54" s="60">
        <v>0</v>
      </c>
      <c r="AV54" s="60">
        <v>10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340</v>
      </c>
      <c r="B55" t="s">
        <v>281</v>
      </c>
      <c r="C55" t="s">
        <v>341</v>
      </c>
      <c r="D55" t="s">
        <v>342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51"/>
        <v>15.711064285978338</v>
      </c>
      <c r="L55" s="46">
        <f t="shared" si="52"/>
        <v>104.28893571402166</v>
      </c>
      <c r="M55" s="47">
        <f t="shared" si="53"/>
        <v>104.28893571402166</v>
      </c>
      <c r="N55" s="47">
        <f t="shared" si="54"/>
        <v>104.28893571402166</v>
      </c>
      <c r="O55" s="48">
        <f t="shared" si="55"/>
        <v>-35</v>
      </c>
      <c r="P55" s="48">
        <f t="shared" si="56"/>
        <v>0</v>
      </c>
      <c r="Q55" s="58">
        <f t="shared" si="57"/>
        <v>35</v>
      </c>
      <c r="R55" s="59">
        <f t="shared" si="58"/>
        <v>129</v>
      </c>
      <c r="S55" s="60">
        <f t="shared" si="59"/>
        <v>-26</v>
      </c>
      <c r="T55" s="60">
        <f t="shared" si="60"/>
        <v>129</v>
      </c>
      <c r="U55" s="62">
        <f t="shared" si="61"/>
        <v>26</v>
      </c>
      <c r="V55" s="53">
        <f t="shared" si="62"/>
        <v>-15.711064285978338</v>
      </c>
      <c r="W55" s="54">
        <f t="shared" si="63"/>
        <v>-15.711064285978338</v>
      </c>
      <c r="X55" s="54">
        <f t="shared" si="64"/>
        <v>-15.711064285978338</v>
      </c>
      <c r="Y55" s="55">
        <f t="shared" si="65"/>
        <v>0</v>
      </c>
      <c r="Z55" s="55">
        <f t="shared" si="66"/>
        <v>0</v>
      </c>
      <c r="AA55" s="56">
        <f t="shared" si="67"/>
        <v>0</v>
      </c>
      <c r="AB55" s="9"/>
      <c r="AC55" s="57">
        <v>120</v>
      </c>
      <c r="AD55" s="48">
        <v>0</v>
      </c>
      <c r="AE55" s="48">
        <v>120</v>
      </c>
      <c r="AF55" s="48">
        <v>0</v>
      </c>
      <c r="AG55" s="48">
        <v>120</v>
      </c>
      <c r="AH55" s="48">
        <v>0</v>
      </c>
      <c r="AI55" s="48">
        <v>-35</v>
      </c>
      <c r="AJ55" s="48">
        <v>0</v>
      </c>
      <c r="AK55" s="48">
        <v>0</v>
      </c>
      <c r="AL55" s="48">
        <v>0</v>
      </c>
      <c r="AM55" s="48">
        <v>35</v>
      </c>
      <c r="AN55" s="58">
        <v>0</v>
      </c>
      <c r="AO55" s="9"/>
      <c r="AP55" s="59">
        <f>120+9</f>
        <v>129</v>
      </c>
      <c r="AQ55" s="60">
        <v>0</v>
      </c>
      <c r="AR55" s="60">
        <v>-26</v>
      </c>
      <c r="AS55" s="60">
        <v>0</v>
      </c>
      <c r="AT55" s="60">
        <f>120+9</f>
        <v>129</v>
      </c>
      <c r="AU55" s="60">
        <v>0</v>
      </c>
      <c r="AV55" s="60">
        <v>26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343</v>
      </c>
      <c r="B56" t="s">
        <v>281</v>
      </c>
      <c r="E56" s="44">
        <v>2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51"/>
        <v>15.711064285978338</v>
      </c>
      <c r="L56" s="46">
        <f t="shared" si="52"/>
        <v>123.00000000000001</v>
      </c>
      <c r="M56" s="48">
        <f t="shared" si="53"/>
        <v>87</v>
      </c>
      <c r="N56" s="48">
        <f t="shared" si="54"/>
        <v>87</v>
      </c>
      <c r="O56" s="48">
        <f t="shared" si="55"/>
        <v>-30</v>
      </c>
      <c r="P56" s="48">
        <f t="shared" si="56"/>
        <v>-45</v>
      </c>
      <c r="Q56" s="58">
        <f t="shared" si="57"/>
        <v>-15</v>
      </c>
      <c r="R56" s="59">
        <f t="shared" si="58"/>
        <v>149</v>
      </c>
      <c r="S56" s="60">
        <f t="shared" si="59"/>
        <v>-32</v>
      </c>
      <c r="T56" s="60">
        <f t="shared" si="60"/>
        <v>149</v>
      </c>
      <c r="U56" s="62">
        <f t="shared" si="61"/>
        <v>32</v>
      </c>
      <c r="V56" s="53">
        <f t="shared" si="62"/>
        <v>123.00000000000001</v>
      </c>
      <c r="W56" s="55">
        <f t="shared" si="63"/>
        <v>87</v>
      </c>
      <c r="X56" s="55">
        <f t="shared" si="64"/>
        <v>87</v>
      </c>
      <c r="Y56" s="55">
        <f t="shared" si="65"/>
        <v>15</v>
      </c>
      <c r="Z56" s="55">
        <f t="shared" si="66"/>
        <v>45</v>
      </c>
      <c r="AA56" s="56">
        <f t="shared" si="67"/>
        <v>15</v>
      </c>
      <c r="AB56" s="9"/>
      <c r="AC56" s="46">
        <f>100+23+K56</f>
        <v>138.71106428597835</v>
      </c>
      <c r="AD56" s="48">
        <v>0</v>
      </c>
      <c r="AE56" s="47">
        <f>100-13+K56</f>
        <v>102.71106428597834</v>
      </c>
      <c r="AF56" s="48">
        <v>0</v>
      </c>
      <c r="AG56" s="47">
        <f>100-13+K56</f>
        <v>102.71106428597834</v>
      </c>
      <c r="AH56" s="48">
        <v>0</v>
      </c>
      <c r="AI56" s="48">
        <v>-30</v>
      </c>
      <c r="AJ56" s="48">
        <v>0</v>
      </c>
      <c r="AK56" s="48">
        <f>-30-15</f>
        <v>-45</v>
      </c>
      <c r="AL56" s="48">
        <v>0</v>
      </c>
      <c r="AM56" s="48">
        <v>-15</v>
      </c>
      <c r="AN56" s="58">
        <v>0</v>
      </c>
      <c r="AO56" s="9"/>
      <c r="AP56" s="59">
        <f>100+23+13+13</f>
        <v>149</v>
      </c>
      <c r="AQ56" s="60">
        <v>0</v>
      </c>
      <c r="AR56" s="60">
        <v>-32</v>
      </c>
      <c r="AS56" s="60">
        <v>0</v>
      </c>
      <c r="AT56" s="60">
        <f>100+23+13+13</f>
        <v>149</v>
      </c>
      <c r="AU56" s="60">
        <v>0</v>
      </c>
      <c r="AV56" s="60">
        <v>32</v>
      </c>
      <c r="AW56" s="62">
        <v>0</v>
      </c>
      <c r="AX56" s="9"/>
      <c r="AY56" s="53">
        <f>100+23+K56</f>
        <v>138.71106428597835</v>
      </c>
      <c r="AZ56" s="55">
        <v>0</v>
      </c>
      <c r="BA56" s="54">
        <f>100-13+K56</f>
        <v>102.71106428597834</v>
      </c>
      <c r="BB56" s="55">
        <v>0</v>
      </c>
      <c r="BC56" s="54">
        <f>100-13+K56</f>
        <v>102.71106428597834</v>
      </c>
      <c r="BD56" s="55">
        <v>0</v>
      </c>
      <c r="BE56" s="55">
        <v>15</v>
      </c>
      <c r="BF56" s="55">
        <v>0</v>
      </c>
      <c r="BG56" s="55">
        <v>45</v>
      </c>
      <c r="BH56" s="55">
        <v>0</v>
      </c>
      <c r="BI56" s="55">
        <v>15</v>
      </c>
      <c r="BJ56" s="56">
        <v>0</v>
      </c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344</v>
      </c>
      <c r="B57" t="s">
        <v>308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51"/>
        <v>15.711064285978338</v>
      </c>
      <c r="L57" s="46">
        <f t="shared" si="52"/>
        <v>106.25</v>
      </c>
      <c r="M57" s="47">
        <f t="shared" si="53"/>
        <v>139.25</v>
      </c>
      <c r="N57" s="47">
        <f t="shared" si="54"/>
        <v>106.25</v>
      </c>
      <c r="O57" s="47">
        <f t="shared" si="55"/>
        <v>-21.5</v>
      </c>
      <c r="P57" s="48">
        <f t="shared" si="56"/>
        <v>0</v>
      </c>
      <c r="Q57" s="49">
        <f t="shared" si="57"/>
        <v>21.5</v>
      </c>
      <c r="R57" s="59">
        <f t="shared" si="58"/>
        <v>153</v>
      </c>
      <c r="S57" s="51">
        <f t="shared" si="59"/>
        <v>-13.75</v>
      </c>
      <c r="T57" s="60">
        <f t="shared" si="60"/>
        <v>153</v>
      </c>
      <c r="U57" s="52">
        <f t="shared" si="61"/>
        <v>13.75</v>
      </c>
      <c r="V57" s="53">
        <f t="shared" si="62"/>
        <v>-15.711064285978338</v>
      </c>
      <c r="W57" s="54">
        <f t="shared" si="63"/>
        <v>-15.711064285978338</v>
      </c>
      <c r="X57" s="54">
        <f t="shared" si="64"/>
        <v>-15.711064285978338</v>
      </c>
      <c r="Y57" s="55">
        <f t="shared" si="65"/>
        <v>0</v>
      </c>
      <c r="Z57" s="55">
        <f t="shared" si="66"/>
        <v>0</v>
      </c>
      <c r="AA57" s="56">
        <f t="shared" si="67"/>
        <v>0</v>
      </c>
      <c r="AB57" s="9"/>
      <c r="AC57" s="46">
        <f>120-13+K57</f>
        <v>122.71106428597834</v>
      </c>
      <c r="AD57" s="48">
        <v>-9</v>
      </c>
      <c r="AE57" s="47">
        <f>120+33-13+K57</f>
        <v>155.71106428597835</v>
      </c>
      <c r="AF57" s="48">
        <v>-9</v>
      </c>
      <c r="AG57" s="47">
        <f>120-13+K57</f>
        <v>122.71106428597834</v>
      </c>
      <c r="AH57" s="48">
        <v>-9</v>
      </c>
      <c r="AI57" s="48">
        <v>-21</v>
      </c>
      <c r="AJ57" s="48">
        <v>-6</v>
      </c>
      <c r="AK57" s="48">
        <v>0</v>
      </c>
      <c r="AL57" s="48">
        <v>0</v>
      </c>
      <c r="AM57" s="48">
        <v>21</v>
      </c>
      <c r="AN57" s="58">
        <v>6</v>
      </c>
      <c r="AO57" s="9"/>
      <c r="AP57" s="59">
        <f>120+33</f>
        <v>153</v>
      </c>
      <c r="AQ57" s="60">
        <v>0</v>
      </c>
      <c r="AR57" s="60">
        <v>-13</v>
      </c>
      <c r="AS57" s="60">
        <v>-9</v>
      </c>
      <c r="AT57" s="60">
        <f>120+33</f>
        <v>153</v>
      </c>
      <c r="AU57" s="60">
        <v>0</v>
      </c>
      <c r="AV57" s="60">
        <v>13</v>
      </c>
      <c r="AW57" s="62">
        <v>9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345</v>
      </c>
      <c r="B58" t="s">
        <v>308</v>
      </c>
      <c r="C58" t="s">
        <v>346</v>
      </c>
      <c r="D58" t="s">
        <v>21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51"/>
        <v>15.711064285978338</v>
      </c>
      <c r="L58" s="46">
        <f t="shared" si="52"/>
        <v>118.50000000000001</v>
      </c>
      <c r="M58" s="48">
        <f t="shared" si="53"/>
        <v>88</v>
      </c>
      <c r="N58" s="48">
        <f t="shared" si="54"/>
        <v>88</v>
      </c>
      <c r="O58" s="48">
        <f t="shared" si="55"/>
        <v>0</v>
      </c>
      <c r="P58" s="47">
        <f t="shared" si="56"/>
        <v>-21.5</v>
      </c>
      <c r="Q58" s="49">
        <f t="shared" si="57"/>
        <v>21.5</v>
      </c>
      <c r="R58" s="50">
        <f t="shared" si="58"/>
        <v>131.5</v>
      </c>
      <c r="S58" s="60">
        <f t="shared" si="59"/>
        <v>-20</v>
      </c>
      <c r="T58" s="51">
        <f t="shared" si="60"/>
        <v>131.5</v>
      </c>
      <c r="U58" s="62">
        <f t="shared" si="61"/>
        <v>20</v>
      </c>
      <c r="V58" s="53">
        <f t="shared" si="62"/>
        <v>-15.711064285978338</v>
      </c>
      <c r="W58" s="54">
        <f t="shared" si="63"/>
        <v>-15.711064285978338</v>
      </c>
      <c r="X58" s="54">
        <f t="shared" si="64"/>
        <v>-15.711064285978338</v>
      </c>
      <c r="Y58" s="55">
        <f t="shared" si="65"/>
        <v>0</v>
      </c>
      <c r="Z58" s="55">
        <f t="shared" si="66"/>
        <v>0</v>
      </c>
      <c r="AA58" s="56">
        <f t="shared" si="67"/>
        <v>0</v>
      </c>
      <c r="AB58" s="9"/>
      <c r="AC58" s="46">
        <f>77+11+30+K58</f>
        <v>133.71106428597835</v>
      </c>
      <c r="AD58" s="48">
        <v>6</v>
      </c>
      <c r="AE58" s="47">
        <f>77+11+K58</f>
        <v>103.71106428597834</v>
      </c>
      <c r="AF58" s="48">
        <v>0</v>
      </c>
      <c r="AG58" s="47">
        <f>77+11+K58</f>
        <v>103.71106428597834</v>
      </c>
      <c r="AH58" s="48">
        <v>0</v>
      </c>
      <c r="AI58" s="48">
        <v>0</v>
      </c>
      <c r="AJ58" s="48">
        <v>0</v>
      </c>
      <c r="AK58" s="48">
        <v>-21</v>
      </c>
      <c r="AL58" s="48">
        <v>-6</v>
      </c>
      <c r="AM58" s="48">
        <v>21</v>
      </c>
      <c r="AN58" s="58">
        <v>6</v>
      </c>
      <c r="AO58" s="9"/>
      <c r="AP58" s="59">
        <f>77+11+30+13</f>
        <v>131</v>
      </c>
      <c r="AQ58" s="60">
        <v>6</v>
      </c>
      <c r="AR58" s="60">
        <v>-20</v>
      </c>
      <c r="AS58" s="60">
        <v>0</v>
      </c>
      <c r="AT58" s="60">
        <f>77+11+30+13</f>
        <v>131</v>
      </c>
      <c r="AU58" s="60">
        <v>6</v>
      </c>
      <c r="AV58" s="60">
        <v>20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347</v>
      </c>
      <c r="B59" t="s">
        <v>308</v>
      </c>
      <c r="C59" t="s">
        <v>348</v>
      </c>
      <c r="D59" t="s">
        <v>12</v>
      </c>
      <c r="E59" s="44">
        <v>1</v>
      </c>
      <c r="F59" s="44">
        <v>2</v>
      </c>
      <c r="G59" s="45">
        <v>500</v>
      </c>
      <c r="H59" s="44">
        <v>20</v>
      </c>
      <c r="I59" s="44">
        <v>355</v>
      </c>
      <c r="J59" s="44">
        <v>170</v>
      </c>
      <c r="K59" s="43">
        <f t="shared" si="51"/>
        <v>15.711064285978338</v>
      </c>
      <c r="L59" s="46">
        <f t="shared" si="52"/>
        <v>151.25</v>
      </c>
      <c r="M59" s="47">
        <f t="shared" si="53"/>
        <v>126.00000000000001</v>
      </c>
      <c r="N59" s="47">
        <f t="shared" si="54"/>
        <v>126.00000000000001</v>
      </c>
      <c r="O59" s="48">
        <f t="shared" si="55"/>
        <v>0</v>
      </c>
      <c r="P59" s="48">
        <f t="shared" si="56"/>
        <v>-21</v>
      </c>
      <c r="Q59" s="58">
        <f t="shared" si="57"/>
        <v>21</v>
      </c>
      <c r="R59" s="50">
        <f t="shared" si="58"/>
        <v>165.25</v>
      </c>
      <c r="S59" s="51">
        <f t="shared" si="59"/>
        <v>-17.5</v>
      </c>
      <c r="T59" s="51">
        <f t="shared" si="60"/>
        <v>165.25</v>
      </c>
      <c r="U59" s="52">
        <f t="shared" si="61"/>
        <v>17.5</v>
      </c>
      <c r="V59" s="53">
        <f t="shared" si="62"/>
        <v>-15.711064285978338</v>
      </c>
      <c r="W59" s="54">
        <f t="shared" si="63"/>
        <v>-15.711064285978338</v>
      </c>
      <c r="X59" s="54">
        <f t="shared" si="64"/>
        <v>-15.711064285978338</v>
      </c>
      <c r="Y59" s="55">
        <f t="shared" si="65"/>
        <v>0</v>
      </c>
      <c r="Z59" s="55">
        <f t="shared" si="66"/>
        <v>0</v>
      </c>
      <c r="AA59" s="56">
        <f t="shared" si="67"/>
        <v>0</v>
      </c>
      <c r="AB59" s="9"/>
      <c r="AC59" s="46">
        <f>15+80+31+14+7+18-14+K59</f>
        <v>166.71106428597835</v>
      </c>
      <c r="AD59" s="48">
        <v>3</v>
      </c>
      <c r="AE59" s="47">
        <f>15+80+31+K59</f>
        <v>141.71106428597835</v>
      </c>
      <c r="AF59" s="48">
        <v>0</v>
      </c>
      <c r="AG59" s="47">
        <f>15+80+31+K59</f>
        <v>141.71106428597835</v>
      </c>
      <c r="AH59" s="48">
        <v>0</v>
      </c>
      <c r="AI59" s="48">
        <v>0</v>
      </c>
      <c r="AJ59" s="48">
        <v>0</v>
      </c>
      <c r="AK59" s="48">
        <v>-21</v>
      </c>
      <c r="AL59" s="48">
        <v>0</v>
      </c>
      <c r="AM59" s="48">
        <v>21</v>
      </c>
      <c r="AN59" s="58">
        <v>0</v>
      </c>
      <c r="AO59" s="9"/>
      <c r="AP59" s="59">
        <f>15+80+31+14+7+18</f>
        <v>165</v>
      </c>
      <c r="AQ59" s="60">
        <v>3</v>
      </c>
      <c r="AR59" s="60">
        <v>-17</v>
      </c>
      <c r="AS59" s="60">
        <v>-6</v>
      </c>
      <c r="AT59" s="60">
        <f>15+80+31+14+7+18</f>
        <v>165</v>
      </c>
      <c r="AU59" s="60">
        <v>3</v>
      </c>
      <c r="AV59" s="60">
        <v>17</v>
      </c>
      <c r="AW59" s="62">
        <v>6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349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51"/>
        <v>23.095264500388154</v>
      </c>
      <c r="L60" s="57">
        <f t="shared" si="52"/>
        <v>92</v>
      </c>
      <c r="M60" s="48">
        <f t="shared" si="53"/>
        <v>92</v>
      </c>
      <c r="N60" s="48">
        <f t="shared" si="54"/>
        <v>92</v>
      </c>
      <c r="O60" s="47">
        <f t="shared" si="55"/>
        <v>-44.5</v>
      </c>
      <c r="P60" s="48">
        <f t="shared" si="56"/>
        <v>0</v>
      </c>
      <c r="Q60" s="49">
        <f t="shared" si="57"/>
        <v>44.5</v>
      </c>
      <c r="R60" s="59">
        <f t="shared" si="58"/>
        <v>127</v>
      </c>
      <c r="S60" s="60">
        <f t="shared" si="59"/>
        <v>-36</v>
      </c>
      <c r="T60" s="60">
        <f t="shared" si="60"/>
        <v>127</v>
      </c>
      <c r="U60" s="62">
        <f t="shared" si="61"/>
        <v>36</v>
      </c>
      <c r="V60" s="53">
        <f t="shared" si="62"/>
        <v>-23.095264500388154</v>
      </c>
      <c r="W60" s="54">
        <f t="shared" si="63"/>
        <v>-23.095264500388154</v>
      </c>
      <c r="X60" s="54">
        <f t="shared" si="64"/>
        <v>-23.095264500388154</v>
      </c>
      <c r="Y60" s="55">
        <f t="shared" si="65"/>
        <v>0</v>
      </c>
      <c r="Z60" s="55">
        <f t="shared" si="66"/>
        <v>0</v>
      </c>
      <c r="AA60" s="56">
        <f t="shared" si="67"/>
        <v>0</v>
      </c>
      <c r="AB60" s="9"/>
      <c r="AC60" s="46">
        <f>110-18+K60</f>
        <v>115.09526450038815</v>
      </c>
      <c r="AD60" s="48">
        <v>0</v>
      </c>
      <c r="AE60" s="47">
        <f>110-18+K60</f>
        <v>115.09526450038815</v>
      </c>
      <c r="AF60" s="48">
        <v>0</v>
      </c>
      <c r="AG60" s="47">
        <f>110-18+K60</f>
        <v>115.09526450038815</v>
      </c>
      <c r="AH60" s="48">
        <v>0</v>
      </c>
      <c r="AI60" s="48">
        <v>-44</v>
      </c>
      <c r="AJ60" s="48">
        <v>-6</v>
      </c>
      <c r="AK60" s="48">
        <v>0</v>
      </c>
      <c r="AL60" s="48">
        <v>0</v>
      </c>
      <c r="AM60" s="48">
        <v>44</v>
      </c>
      <c r="AN60" s="58">
        <v>6</v>
      </c>
      <c r="AO60" s="9"/>
      <c r="AP60" s="59">
        <f>110+17</f>
        <v>127</v>
      </c>
      <c r="AQ60" s="60">
        <v>0</v>
      </c>
      <c r="AR60" s="60">
        <v>-36</v>
      </c>
      <c r="AS60" s="60">
        <v>0</v>
      </c>
      <c r="AT60" s="60">
        <v>127</v>
      </c>
      <c r="AU60" s="60">
        <v>0</v>
      </c>
      <c r="AV60" s="60">
        <v>36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350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51"/>
        <v>23.095264500388154</v>
      </c>
      <c r="L61" s="46">
        <f t="shared" si="52"/>
        <v>86.904735499611846</v>
      </c>
      <c r="M61" s="47">
        <f t="shared" si="53"/>
        <v>86.904735499611846</v>
      </c>
      <c r="N61" s="47">
        <f t="shared" si="54"/>
        <v>86.904735499611846</v>
      </c>
      <c r="O61" s="48">
        <f t="shared" si="55"/>
        <v>-45</v>
      </c>
      <c r="P61" s="48">
        <f t="shared" si="56"/>
        <v>0</v>
      </c>
      <c r="Q61" s="58">
        <f t="shared" si="57"/>
        <v>45</v>
      </c>
      <c r="R61" s="50">
        <f t="shared" si="58"/>
        <v>138.66666666666666</v>
      </c>
      <c r="S61" s="60">
        <f t="shared" si="59"/>
        <v>-50</v>
      </c>
      <c r="T61" s="51">
        <f t="shared" si="60"/>
        <v>138.66666666666666</v>
      </c>
      <c r="U61" s="62">
        <f t="shared" si="61"/>
        <v>50</v>
      </c>
      <c r="V61" s="53">
        <f t="shared" si="62"/>
        <v>-23.095264500388154</v>
      </c>
      <c r="W61" s="54">
        <f t="shared" si="63"/>
        <v>-23.095264500388154</v>
      </c>
      <c r="X61" s="54">
        <f t="shared" si="64"/>
        <v>-23.095264500388154</v>
      </c>
      <c r="Y61" s="55">
        <f t="shared" si="65"/>
        <v>0</v>
      </c>
      <c r="Z61" s="55">
        <f t="shared" si="66"/>
        <v>0</v>
      </c>
      <c r="AA61" s="56">
        <f t="shared" si="67"/>
        <v>0</v>
      </c>
      <c r="AB61" s="9"/>
      <c r="AC61" s="57">
        <v>110</v>
      </c>
      <c r="AD61" s="48">
        <v>0</v>
      </c>
      <c r="AE61" s="48">
        <v>110</v>
      </c>
      <c r="AF61" s="48">
        <v>0</v>
      </c>
      <c r="AG61" s="48">
        <v>110</v>
      </c>
      <c r="AH61" s="48">
        <v>0</v>
      </c>
      <c r="AI61" s="48">
        <v>-45</v>
      </c>
      <c r="AJ61" s="48">
        <v>0</v>
      </c>
      <c r="AK61" s="48">
        <v>0</v>
      </c>
      <c r="AL61" s="48">
        <v>0</v>
      </c>
      <c r="AM61" s="48">
        <v>45</v>
      </c>
      <c r="AN61" s="58">
        <v>0</v>
      </c>
      <c r="AO61" s="9"/>
      <c r="AP61" s="59">
        <f>110+28</f>
        <v>138</v>
      </c>
      <c r="AQ61" s="60">
        <v>8</v>
      </c>
      <c r="AR61" s="60">
        <v>-50</v>
      </c>
      <c r="AS61" s="60">
        <v>0</v>
      </c>
      <c r="AT61" s="60">
        <v>138</v>
      </c>
      <c r="AU61" s="60">
        <v>8</v>
      </c>
      <c r="AV61" s="60">
        <v>50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351</v>
      </c>
      <c r="B62" t="s">
        <v>228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51"/>
        <v>23.095264500388154</v>
      </c>
      <c r="L62" s="57">
        <f t="shared" si="52"/>
        <v>135</v>
      </c>
      <c r="M62" s="48">
        <f t="shared" si="53"/>
        <v>135</v>
      </c>
      <c r="N62" s="48">
        <f t="shared" si="54"/>
        <v>135</v>
      </c>
      <c r="O62" s="47">
        <f t="shared" si="55"/>
        <v>-41.833333333333336</v>
      </c>
      <c r="P62" s="48">
        <f t="shared" si="56"/>
        <v>0</v>
      </c>
      <c r="Q62" s="49">
        <f t="shared" si="57"/>
        <v>41.833333333333336</v>
      </c>
      <c r="R62" s="59">
        <f t="shared" si="58"/>
        <v>175</v>
      </c>
      <c r="S62" s="60">
        <f t="shared" si="59"/>
        <v>-30</v>
      </c>
      <c r="T62" s="60">
        <f t="shared" si="60"/>
        <v>175</v>
      </c>
      <c r="U62" s="62">
        <f t="shared" si="61"/>
        <v>30</v>
      </c>
      <c r="V62" s="53">
        <f t="shared" si="62"/>
        <v>-23.095264500388154</v>
      </c>
      <c r="W62" s="54">
        <f t="shared" si="63"/>
        <v>-23.095264500388154</v>
      </c>
      <c r="X62" s="54">
        <f t="shared" si="64"/>
        <v>-23.095264500388154</v>
      </c>
      <c r="Y62" s="55">
        <f t="shared" si="65"/>
        <v>0</v>
      </c>
      <c r="Z62" s="55">
        <f t="shared" si="66"/>
        <v>0</v>
      </c>
      <c r="AA62" s="56">
        <f t="shared" si="67"/>
        <v>0</v>
      </c>
      <c r="AB62" s="9"/>
      <c r="AC62" s="46">
        <f>135+K62</f>
        <v>158.09526450038817</v>
      </c>
      <c r="AD62" s="48">
        <v>0</v>
      </c>
      <c r="AE62" s="47">
        <f>135+K62</f>
        <v>158.09526450038817</v>
      </c>
      <c r="AF62" s="48">
        <v>0</v>
      </c>
      <c r="AG62" s="47">
        <f>135+K62</f>
        <v>158.09526450038817</v>
      </c>
      <c r="AH62" s="48">
        <v>0</v>
      </c>
      <c r="AI62" s="48">
        <v>-41</v>
      </c>
      <c r="AJ62" s="48">
        <v>-10</v>
      </c>
      <c r="AK62" s="48">
        <v>0</v>
      </c>
      <c r="AL62" s="48">
        <v>0</v>
      </c>
      <c r="AM62" s="48">
        <v>41</v>
      </c>
      <c r="AN62" s="58">
        <v>10</v>
      </c>
      <c r="AO62" s="9"/>
      <c r="AP62" s="59">
        <f>135+40</f>
        <v>175</v>
      </c>
      <c r="AQ62" s="60">
        <v>0</v>
      </c>
      <c r="AR62" s="60">
        <v>-30</v>
      </c>
      <c r="AS62" s="60">
        <v>0</v>
      </c>
      <c r="AT62" s="60">
        <v>175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352</v>
      </c>
      <c r="B63" t="s">
        <v>263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51"/>
        <v>23.095264500388154</v>
      </c>
      <c r="L63" s="46">
        <f t="shared" si="52"/>
        <v>100.90473549961185</v>
      </c>
      <c r="M63" s="47">
        <f t="shared" si="53"/>
        <v>100.90473549961185</v>
      </c>
      <c r="N63" s="47">
        <f t="shared" si="54"/>
        <v>100.90473549961185</v>
      </c>
      <c r="O63" s="47">
        <f t="shared" si="55"/>
        <v>-39.333333333333336</v>
      </c>
      <c r="P63" s="48">
        <f t="shared" si="56"/>
        <v>0</v>
      </c>
      <c r="Q63" s="49">
        <f t="shared" si="57"/>
        <v>39.333333333333336</v>
      </c>
      <c r="R63" s="59">
        <f t="shared" si="58"/>
        <v>145</v>
      </c>
      <c r="S63" s="60">
        <f t="shared" si="59"/>
        <v>-66</v>
      </c>
      <c r="T63" s="60">
        <f t="shared" si="60"/>
        <v>145</v>
      </c>
      <c r="U63" s="62">
        <f t="shared" si="61"/>
        <v>66</v>
      </c>
      <c r="V63" s="53">
        <f t="shared" si="62"/>
        <v>-23.095264500388154</v>
      </c>
      <c r="W63" s="54">
        <f t="shared" si="63"/>
        <v>-23.095264500388154</v>
      </c>
      <c r="X63" s="54">
        <f t="shared" si="64"/>
        <v>-23.095264500388154</v>
      </c>
      <c r="Y63" s="55">
        <f t="shared" si="65"/>
        <v>0</v>
      </c>
      <c r="Z63" s="55">
        <f t="shared" si="66"/>
        <v>0</v>
      </c>
      <c r="AA63" s="56">
        <f t="shared" si="67"/>
        <v>0</v>
      </c>
      <c r="AB63" s="9"/>
      <c r="AC63" s="57">
        <f>145-21</f>
        <v>124</v>
      </c>
      <c r="AD63" s="48">
        <v>0</v>
      </c>
      <c r="AE63" s="48">
        <v>124</v>
      </c>
      <c r="AF63" s="48">
        <v>0</v>
      </c>
      <c r="AG63" s="48">
        <v>124</v>
      </c>
      <c r="AH63" s="48">
        <v>0</v>
      </c>
      <c r="AI63" s="48">
        <v>-39</v>
      </c>
      <c r="AJ63" s="48">
        <v>-4</v>
      </c>
      <c r="AK63" s="48">
        <v>0</v>
      </c>
      <c r="AL63" s="48">
        <v>0</v>
      </c>
      <c r="AM63" s="48">
        <v>39</v>
      </c>
      <c r="AN63" s="58">
        <v>4</v>
      </c>
      <c r="AO63" s="9"/>
      <c r="AP63" s="59">
        <v>145</v>
      </c>
      <c r="AQ63" s="60">
        <v>0</v>
      </c>
      <c r="AR63" s="60">
        <v>-66</v>
      </c>
      <c r="AS63" s="60">
        <v>0</v>
      </c>
      <c r="AT63" s="60">
        <v>145</v>
      </c>
      <c r="AU63" s="60">
        <v>0</v>
      </c>
      <c r="AV63" s="60">
        <v>66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353</v>
      </c>
      <c r="B64" t="s">
        <v>281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51"/>
        <v>23.095264500388154</v>
      </c>
      <c r="L64" s="57">
        <f t="shared" si="52"/>
        <v>131</v>
      </c>
      <c r="M64" s="48">
        <f t="shared" si="53"/>
        <v>131</v>
      </c>
      <c r="N64" s="48">
        <f t="shared" si="54"/>
        <v>131</v>
      </c>
      <c r="O64" s="48">
        <f t="shared" si="55"/>
        <v>-50</v>
      </c>
      <c r="P64" s="48">
        <f t="shared" si="56"/>
        <v>0</v>
      </c>
      <c r="Q64" s="58">
        <f t="shared" si="57"/>
        <v>50</v>
      </c>
      <c r="R64" s="59">
        <f t="shared" si="58"/>
        <v>175</v>
      </c>
      <c r="S64" s="60">
        <f t="shared" si="59"/>
        <v>-30</v>
      </c>
      <c r="T64" s="60">
        <f t="shared" si="60"/>
        <v>175</v>
      </c>
      <c r="U64" s="62">
        <f t="shared" si="61"/>
        <v>30</v>
      </c>
      <c r="V64" s="53">
        <f t="shared" si="62"/>
        <v>-23.095264500388154</v>
      </c>
      <c r="W64" s="54">
        <f t="shared" si="63"/>
        <v>-23.095264500388154</v>
      </c>
      <c r="X64" s="54">
        <f t="shared" si="64"/>
        <v>-23.095264500388154</v>
      </c>
      <c r="Y64" s="55">
        <f t="shared" si="65"/>
        <v>0</v>
      </c>
      <c r="Z64" s="55">
        <f t="shared" si="66"/>
        <v>0</v>
      </c>
      <c r="AA64" s="56">
        <f t="shared" si="67"/>
        <v>0</v>
      </c>
      <c r="AB64" s="9"/>
      <c r="AC64" s="46">
        <f>175-44+K64</f>
        <v>154.09526450038817</v>
      </c>
      <c r="AD64" s="48">
        <v>0</v>
      </c>
      <c r="AE64" s="47">
        <f>175-44+K64</f>
        <v>154.09526450038817</v>
      </c>
      <c r="AF64" s="48">
        <v>0</v>
      </c>
      <c r="AG64" s="47">
        <f>175-44+K64</f>
        <v>154.09526450038817</v>
      </c>
      <c r="AH64" s="48">
        <v>0</v>
      </c>
      <c r="AI64" s="48">
        <v>-50</v>
      </c>
      <c r="AJ64" s="48">
        <v>0</v>
      </c>
      <c r="AK64" s="48">
        <v>0</v>
      </c>
      <c r="AL64" s="48">
        <v>0</v>
      </c>
      <c r="AM64" s="48">
        <v>50</v>
      </c>
      <c r="AN64" s="58">
        <v>0</v>
      </c>
      <c r="AO64" s="9"/>
      <c r="AP64" s="59">
        <v>175</v>
      </c>
      <c r="AQ64" s="60">
        <v>0</v>
      </c>
      <c r="AR64" s="60">
        <v>-30</v>
      </c>
      <c r="AS64" s="60">
        <v>0</v>
      </c>
      <c r="AT64" s="60">
        <v>175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354</v>
      </c>
      <c r="B65" t="s">
        <v>355</v>
      </c>
      <c r="E65" s="44">
        <v>1</v>
      </c>
      <c r="F65" s="44">
        <v>2</v>
      </c>
      <c r="G65" s="45">
        <v>735</v>
      </c>
      <c r="H65" s="44">
        <v>20</v>
      </c>
      <c r="I65" s="44">
        <v>355</v>
      </c>
      <c r="J65" s="44">
        <v>170</v>
      </c>
      <c r="K65" s="43">
        <f t="shared" si="51"/>
        <v>23.095264500388154</v>
      </c>
      <c r="L65" s="46">
        <f t="shared" si="52"/>
        <v>110.00000000000001</v>
      </c>
      <c r="M65" s="47">
        <f t="shared" si="53"/>
        <v>110.00000000000001</v>
      </c>
      <c r="N65" s="47">
        <f t="shared" si="54"/>
        <v>110.00000000000001</v>
      </c>
      <c r="O65" s="47">
        <f t="shared" si="55"/>
        <v>-39.333333333333336</v>
      </c>
      <c r="P65" s="48">
        <f t="shared" si="56"/>
        <v>0</v>
      </c>
      <c r="Q65" s="49">
        <f t="shared" si="57"/>
        <v>39.333333333333336</v>
      </c>
      <c r="R65" s="59">
        <f t="shared" si="58"/>
        <v>150</v>
      </c>
      <c r="S65" s="60">
        <f t="shared" si="59"/>
        <v>-30</v>
      </c>
      <c r="T65" s="60">
        <f t="shared" si="60"/>
        <v>150</v>
      </c>
      <c r="U65" s="62">
        <f t="shared" si="61"/>
        <v>30</v>
      </c>
      <c r="V65" s="53">
        <f t="shared" si="62"/>
        <v>-23.095264500388154</v>
      </c>
      <c r="W65" s="54">
        <f t="shared" si="63"/>
        <v>-23.095264500388154</v>
      </c>
      <c r="X65" s="54">
        <f t="shared" si="64"/>
        <v>-23.095264500388154</v>
      </c>
      <c r="Y65" s="55">
        <f t="shared" si="65"/>
        <v>0</v>
      </c>
      <c r="Z65" s="55">
        <f t="shared" si="66"/>
        <v>0</v>
      </c>
      <c r="AA65" s="56">
        <f t="shared" si="67"/>
        <v>0</v>
      </c>
      <c r="AB65" s="9"/>
      <c r="AC65" s="46">
        <f>110+K65</f>
        <v>133.09526450038817</v>
      </c>
      <c r="AD65" s="48">
        <v>0</v>
      </c>
      <c r="AE65" s="47">
        <f>110+K65</f>
        <v>133.09526450038817</v>
      </c>
      <c r="AF65" s="48">
        <v>0</v>
      </c>
      <c r="AG65" s="47">
        <f>110+K65</f>
        <v>133.09526450038817</v>
      </c>
      <c r="AH65" s="48">
        <v>0</v>
      </c>
      <c r="AI65" s="48">
        <v>-39</v>
      </c>
      <c r="AJ65" s="48">
        <v>-4</v>
      </c>
      <c r="AK65" s="48">
        <v>0</v>
      </c>
      <c r="AL65" s="48">
        <v>0</v>
      </c>
      <c r="AM65" s="48">
        <v>39</v>
      </c>
      <c r="AN65" s="58">
        <v>4</v>
      </c>
      <c r="AO65" s="9"/>
      <c r="AP65" s="59">
        <v>150</v>
      </c>
      <c r="AQ65" s="60">
        <v>0</v>
      </c>
      <c r="AR65" s="60">
        <v>-30</v>
      </c>
      <c r="AS65" s="60">
        <v>0</v>
      </c>
      <c r="AT65" s="60">
        <v>150</v>
      </c>
      <c r="AU65" s="60">
        <v>0</v>
      </c>
      <c r="AV65" s="60">
        <v>30</v>
      </c>
      <c r="AW65" s="62">
        <v>0</v>
      </c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356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51"/>
        <v>23.095264500388154</v>
      </c>
      <c r="L66" s="46">
        <f t="shared" si="52"/>
        <v>-23.095264500388154</v>
      </c>
      <c r="M66" s="47">
        <f t="shared" si="53"/>
        <v>-23.095264500388154</v>
      </c>
      <c r="N66" s="47">
        <f t="shared" si="54"/>
        <v>-23.095264500388154</v>
      </c>
      <c r="O66" s="48">
        <f t="shared" si="55"/>
        <v>0</v>
      </c>
      <c r="P66" s="48">
        <f t="shared" si="56"/>
        <v>0</v>
      </c>
      <c r="Q66" s="58">
        <f t="shared" si="57"/>
        <v>0</v>
      </c>
      <c r="R66" s="59">
        <f t="shared" si="58"/>
        <v>0</v>
      </c>
      <c r="S66" s="60">
        <f t="shared" si="59"/>
        <v>0</v>
      </c>
      <c r="T66" s="60">
        <f t="shared" si="60"/>
        <v>0</v>
      </c>
      <c r="U66" s="62">
        <f t="shared" si="61"/>
        <v>0</v>
      </c>
      <c r="V66" s="53">
        <f t="shared" si="62"/>
        <v>-23.095264500388154</v>
      </c>
      <c r="W66" s="54">
        <f t="shared" si="63"/>
        <v>-23.095264500388154</v>
      </c>
      <c r="X66" s="54">
        <f t="shared" si="64"/>
        <v>-23.095264500388154</v>
      </c>
      <c r="Y66" s="55">
        <f t="shared" si="65"/>
        <v>0</v>
      </c>
      <c r="Z66" s="55">
        <f t="shared" si="66"/>
        <v>0</v>
      </c>
      <c r="AA66" s="56">
        <f t="shared" si="67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357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51"/>
        <v>23.095264500388154</v>
      </c>
      <c r="L67" s="46">
        <f t="shared" si="52"/>
        <v>-23.095264500388154</v>
      </c>
      <c r="M67" s="47">
        <f t="shared" si="53"/>
        <v>-23.095264500388154</v>
      </c>
      <c r="N67" s="47">
        <f t="shared" si="54"/>
        <v>-23.095264500388154</v>
      </c>
      <c r="O67" s="48">
        <f t="shared" si="55"/>
        <v>0</v>
      </c>
      <c r="P67" s="48">
        <f t="shared" si="56"/>
        <v>0</v>
      </c>
      <c r="Q67" s="58">
        <f t="shared" si="57"/>
        <v>0</v>
      </c>
      <c r="R67" s="59">
        <f t="shared" si="58"/>
        <v>0</v>
      </c>
      <c r="S67" s="60">
        <f t="shared" si="59"/>
        <v>0</v>
      </c>
      <c r="T67" s="60">
        <f t="shared" si="60"/>
        <v>0</v>
      </c>
      <c r="U67" s="62">
        <f t="shared" si="61"/>
        <v>0</v>
      </c>
      <c r="V67" s="53">
        <f t="shared" si="62"/>
        <v>-23.095264500388154</v>
      </c>
      <c r="W67" s="54">
        <f t="shared" si="63"/>
        <v>-23.095264500388154</v>
      </c>
      <c r="X67" s="54">
        <f t="shared" si="64"/>
        <v>-23.095264500388154</v>
      </c>
      <c r="Y67" s="55">
        <f t="shared" si="65"/>
        <v>0</v>
      </c>
      <c r="Z67" s="55">
        <f t="shared" si="66"/>
        <v>0</v>
      </c>
      <c r="AA67" s="56">
        <f t="shared" si="67"/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B8" sqref="B8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61"/>
  <sheetViews>
    <sheetView tabSelected="1" topLeftCell="A38" workbookViewId="0">
      <selection activeCell="E59" sqref="E59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18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t="s">
        <v>165</v>
      </c>
      <c r="I1" s="90" t="s">
        <v>476</v>
      </c>
      <c r="J1" s="7" t="s">
        <v>166</v>
      </c>
      <c r="K1" s="7" t="s">
        <v>419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428</v>
      </c>
    </row>
    <row r="2" spans="1:18" x14ac:dyDescent="0.3">
      <c r="A2" t="s">
        <v>245</v>
      </c>
      <c r="B2" t="s">
        <v>228</v>
      </c>
      <c r="C2" t="s">
        <v>416</v>
      </c>
      <c r="D2" t="s">
        <v>74</v>
      </c>
      <c r="E2">
        <v>188</v>
      </c>
      <c r="F2">
        <v>345</v>
      </c>
      <c r="G2" t="s">
        <v>230</v>
      </c>
      <c r="H2" t="s">
        <v>380</v>
      </c>
      <c r="I2" cm="1">
        <f t="array" ref="I2">IF(OR(COUNTIF(H2,"*"&amp;Conductors!$B$2:$B$48&amp;"*")), 1, 0)</f>
        <v>1</v>
      </c>
      <c r="J2">
        <v>1.165</v>
      </c>
      <c r="K2">
        <v>954</v>
      </c>
      <c r="L2" t="s">
        <v>417</v>
      </c>
      <c r="M2">
        <v>2</v>
      </c>
      <c r="N2">
        <v>18</v>
      </c>
      <c r="O2" t="s">
        <v>418</v>
      </c>
      <c r="P2">
        <v>0.38500000000000001</v>
      </c>
      <c r="Q2">
        <f>(P2^2)*1000</f>
        <v>148.22499999999999</v>
      </c>
    </row>
    <row r="3" spans="1:18" s="84" customFormat="1" x14ac:dyDescent="0.3">
      <c r="A3" s="84" t="s">
        <v>363</v>
      </c>
      <c r="B3" s="84" t="s">
        <v>228</v>
      </c>
      <c r="C3" s="84" t="s">
        <v>305</v>
      </c>
      <c r="D3" s="84" t="s">
        <v>71</v>
      </c>
      <c r="E3" s="85">
        <v>18</v>
      </c>
      <c r="F3" s="85">
        <v>345</v>
      </c>
      <c r="G3" s="85" t="s">
        <v>261</v>
      </c>
      <c r="H3" s="85">
        <v>1700</v>
      </c>
      <c r="I3" cm="1">
        <f t="array" ref="I3">IF(OR(COUNTIF(H3,"*"&amp;Conductors!$B$2:$B$48&amp;"*")), 1, 0)</f>
        <v>0</v>
      </c>
      <c r="J3" s="85">
        <v>1.504</v>
      </c>
      <c r="K3" s="85">
        <v>1700</v>
      </c>
      <c r="L3" s="85" t="s">
        <v>420</v>
      </c>
      <c r="M3" s="84">
        <v>2</v>
      </c>
      <c r="N3" s="84">
        <v>18</v>
      </c>
      <c r="O3" s="84" t="s">
        <v>418</v>
      </c>
      <c r="P3" s="84">
        <v>0.34300000000000003</v>
      </c>
      <c r="Q3" s="84">
        <f t="shared" ref="Q3:Q35" si="0">(P3^2)*1000</f>
        <v>117.64900000000002</v>
      </c>
    </row>
    <row r="4" spans="1:18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386</v>
      </c>
      <c r="I4" cm="1">
        <f t="array" ref="I4">IF(OR(COUNTIF(H4,"*"&amp;Conductors!$B$2:$B$48&amp;"*")), 1, 0)</f>
        <v>1</v>
      </c>
      <c r="J4" s="79">
        <v>1.5449999999999999</v>
      </c>
      <c r="K4" s="79">
        <v>1590</v>
      </c>
      <c r="L4" s="79" t="s">
        <v>421</v>
      </c>
      <c r="M4">
        <v>2</v>
      </c>
      <c r="N4">
        <v>18</v>
      </c>
      <c r="O4" t="s">
        <v>418</v>
      </c>
      <c r="P4">
        <v>0.34300000000000003</v>
      </c>
      <c r="Q4" s="78">
        <f t="shared" si="0"/>
        <v>117.64900000000002</v>
      </c>
    </row>
    <row r="5" spans="1:18" s="81" customFormat="1" x14ac:dyDescent="0.3">
      <c r="A5" s="81" t="s">
        <v>285</v>
      </c>
      <c r="B5" s="81" t="s">
        <v>361</v>
      </c>
      <c r="C5" s="81" t="s">
        <v>423</v>
      </c>
      <c r="D5" s="81" t="s">
        <v>65</v>
      </c>
      <c r="E5" s="81">
        <v>86.8</v>
      </c>
      <c r="F5">
        <v>345</v>
      </c>
      <c r="G5" s="81" t="s">
        <v>303</v>
      </c>
      <c r="H5" s="86" t="s">
        <v>450</v>
      </c>
      <c r="I5" cm="1">
        <f t="array" ref="I5">IF(OR(COUNTIF(H5,"*"&amp;Conductors!$B$2:$B$48&amp;"*")), 1, 0)</f>
        <v>0</v>
      </c>
      <c r="J5" s="87">
        <v>1.1000000000000001</v>
      </c>
      <c r="K5" s="86">
        <v>1192.5</v>
      </c>
      <c r="L5" s="87" t="s">
        <v>424</v>
      </c>
      <c r="M5" s="81">
        <v>2</v>
      </c>
      <c r="N5" s="81">
        <v>18</v>
      </c>
      <c r="O5" s="81" t="s">
        <v>418</v>
      </c>
      <c r="P5" s="81">
        <v>0.38500000000000001</v>
      </c>
      <c r="Q5" s="87">
        <f t="shared" si="0"/>
        <v>148.22499999999999</v>
      </c>
    </row>
    <row r="6" spans="1:18" x14ac:dyDescent="0.3">
      <c r="A6" t="s">
        <v>265</v>
      </c>
      <c r="B6" t="s">
        <v>263</v>
      </c>
      <c r="C6" t="s">
        <v>425</v>
      </c>
      <c r="D6" t="s">
        <v>112</v>
      </c>
      <c r="E6">
        <v>18</v>
      </c>
      <c r="F6">
        <v>345</v>
      </c>
      <c r="G6" t="s">
        <v>230</v>
      </c>
      <c r="H6" s="86" t="s">
        <v>381</v>
      </c>
      <c r="I6" cm="1">
        <f t="array" ref="I6">IF(OR(COUNTIF(H6,"*"&amp;Conductors!$B$2:$B$48&amp;"*")), 1, 0)</f>
        <v>1</v>
      </c>
      <c r="J6">
        <v>1.175</v>
      </c>
      <c r="K6" s="79">
        <v>954</v>
      </c>
      <c r="L6" s="82" t="s">
        <v>426</v>
      </c>
      <c r="M6">
        <v>2</v>
      </c>
      <c r="N6">
        <v>18</v>
      </c>
      <c r="O6" t="s">
        <v>418</v>
      </c>
      <c r="P6">
        <v>0.38500000000000001</v>
      </c>
      <c r="Q6" s="79">
        <f t="shared" si="0"/>
        <v>148.22499999999999</v>
      </c>
    </row>
    <row r="7" spans="1:18" x14ac:dyDescent="0.3">
      <c r="A7" t="s">
        <v>241</v>
      </c>
      <c r="B7" t="s">
        <v>228</v>
      </c>
      <c r="C7" t="s">
        <v>425</v>
      </c>
      <c r="D7" t="s">
        <v>112</v>
      </c>
      <c r="E7">
        <v>44</v>
      </c>
      <c r="F7">
        <v>345</v>
      </c>
      <c r="G7" t="s">
        <v>230</v>
      </c>
      <c r="H7" s="86" t="s">
        <v>381</v>
      </c>
      <c r="I7" cm="1">
        <f t="array" ref="I7">IF(OR(COUNTIF(H7,"*"&amp;Conductors!$B$2:$B$48&amp;"*")), 1, 0)</f>
        <v>1</v>
      </c>
      <c r="J7">
        <v>1.175</v>
      </c>
      <c r="K7" s="79">
        <v>957</v>
      </c>
      <c r="L7" s="82" t="s">
        <v>426</v>
      </c>
      <c r="M7">
        <v>2</v>
      </c>
      <c r="N7">
        <v>18</v>
      </c>
      <c r="O7" t="s">
        <v>418</v>
      </c>
      <c r="P7">
        <v>0.38500000000000001</v>
      </c>
      <c r="Q7" s="79">
        <f t="shared" si="0"/>
        <v>148.22499999999999</v>
      </c>
    </row>
    <row r="8" spans="1:18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s="81">
        <v>1277</v>
      </c>
      <c r="I8" cm="1">
        <f t="array" ref="I8">IF(OR(COUNTIF(H8,"*"&amp;Conductors!$B$2:$B$48&amp;"*")), 1, 0)</f>
        <v>0</v>
      </c>
      <c r="J8">
        <v>1.302</v>
      </c>
      <c r="K8" s="79">
        <v>1277</v>
      </c>
      <c r="L8" s="79" t="s">
        <v>427</v>
      </c>
      <c r="M8">
        <v>2</v>
      </c>
      <c r="N8">
        <v>18</v>
      </c>
      <c r="O8" t="s">
        <v>418</v>
      </c>
      <c r="P8">
        <v>0.34899999999999998</v>
      </c>
      <c r="Q8" s="79">
        <f t="shared" si="0"/>
        <v>121.80099999999997</v>
      </c>
    </row>
    <row r="9" spans="1:18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s="81">
        <v>1277</v>
      </c>
      <c r="I9" cm="1">
        <f t="array" ref="I9">IF(OR(COUNTIF(H9,"*"&amp;Conductors!$B$2:$B$48&amp;"*")), 1, 0)</f>
        <v>0</v>
      </c>
      <c r="J9">
        <v>1.302</v>
      </c>
      <c r="K9" s="79">
        <v>1277</v>
      </c>
      <c r="L9" s="79" t="s">
        <v>427</v>
      </c>
      <c r="M9">
        <v>2</v>
      </c>
      <c r="N9">
        <v>18</v>
      </c>
      <c r="O9" t="s">
        <v>418</v>
      </c>
      <c r="P9">
        <v>0.38500000000000001</v>
      </c>
      <c r="Q9" s="79">
        <f t="shared" si="0"/>
        <v>148.22499999999999</v>
      </c>
    </row>
    <row r="10" spans="1:18" x14ac:dyDescent="0.3">
      <c r="A10" t="s">
        <v>271</v>
      </c>
      <c r="B10" t="s">
        <v>263</v>
      </c>
      <c r="C10" t="s">
        <v>429</v>
      </c>
      <c r="D10" t="s">
        <v>103</v>
      </c>
      <c r="E10">
        <v>19</v>
      </c>
      <c r="F10">
        <v>345</v>
      </c>
      <c r="G10" t="s">
        <v>261</v>
      </c>
      <c r="H10" s="81">
        <v>2500</v>
      </c>
      <c r="I10" cm="1">
        <f t="array" ref="I10">IF(OR(COUNTIF(H10,"*"&amp;Conductors!$B$2:$B$48&amp;"*")), 1, 0)</f>
        <v>0</v>
      </c>
      <c r="J10">
        <v>1.821</v>
      </c>
      <c r="K10">
        <v>2500</v>
      </c>
      <c r="L10" s="79" t="s">
        <v>430</v>
      </c>
      <c r="M10">
        <v>2</v>
      </c>
      <c r="N10">
        <v>18</v>
      </c>
      <c r="O10" t="s">
        <v>418</v>
      </c>
      <c r="P10">
        <v>0.5625</v>
      </c>
      <c r="Q10" s="79">
        <f t="shared" si="0"/>
        <v>316.40625</v>
      </c>
    </row>
    <row r="11" spans="1:18" x14ac:dyDescent="0.3">
      <c r="A11" t="s">
        <v>363</v>
      </c>
      <c r="B11" t="s">
        <v>228</v>
      </c>
      <c r="C11" t="s">
        <v>429</v>
      </c>
      <c r="D11" t="s">
        <v>103</v>
      </c>
      <c r="E11">
        <v>25</v>
      </c>
      <c r="F11">
        <v>345</v>
      </c>
      <c r="G11" t="s">
        <v>261</v>
      </c>
      <c r="H11" s="81">
        <v>2500</v>
      </c>
      <c r="I11" cm="1">
        <f t="array" ref="I11">IF(OR(COUNTIF(H11,"*"&amp;Conductors!$B$2:$B$48&amp;"*")), 1, 0)</f>
        <v>0</v>
      </c>
      <c r="J11">
        <v>1.821</v>
      </c>
      <c r="K11">
        <v>2500</v>
      </c>
      <c r="L11" s="79" t="s">
        <v>430</v>
      </c>
      <c r="M11">
        <v>2</v>
      </c>
      <c r="N11">
        <v>18</v>
      </c>
      <c r="O11" t="s">
        <v>418</v>
      </c>
      <c r="P11">
        <v>0.5625</v>
      </c>
      <c r="Q11" s="79">
        <f t="shared" si="0"/>
        <v>316.40625</v>
      </c>
    </row>
    <row r="12" spans="1:18" x14ac:dyDescent="0.3">
      <c r="A12" t="s">
        <v>243</v>
      </c>
      <c r="B12" t="s">
        <v>228</v>
      </c>
      <c r="C12" t="s">
        <v>429</v>
      </c>
      <c r="D12" t="s">
        <v>103</v>
      </c>
      <c r="E12">
        <v>150</v>
      </c>
      <c r="F12">
        <v>345</v>
      </c>
      <c r="G12" t="s">
        <v>230</v>
      </c>
      <c r="H12" s="86" t="s">
        <v>458</v>
      </c>
      <c r="I12" cm="1">
        <f t="array" ref="I12">IF(OR(COUNTIF(H12,"*"&amp;Conductors!$B$2:$B$48&amp;"*")), 1, 0)</f>
        <v>0</v>
      </c>
      <c r="J12" s="82">
        <v>1.82</v>
      </c>
      <c r="K12" s="78">
        <v>2167</v>
      </c>
      <c r="L12" s="79" t="s">
        <v>431</v>
      </c>
      <c r="M12">
        <v>2</v>
      </c>
      <c r="N12">
        <v>18</v>
      </c>
      <c r="O12" t="s">
        <v>418</v>
      </c>
      <c r="P12">
        <v>0.5625</v>
      </c>
      <c r="Q12" s="79">
        <f t="shared" si="0"/>
        <v>316.40625</v>
      </c>
    </row>
    <row r="13" spans="1:18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87" t="s">
        <v>387</v>
      </c>
      <c r="I13" cm="1">
        <f t="array" ref="I13">IF(OR(COUNTIF(H13,"*"&amp;Conductors!$B$2:$B$48&amp;"*")), 1, 0)</f>
        <v>1</v>
      </c>
      <c r="J13" s="79">
        <v>1.762</v>
      </c>
      <c r="K13" s="79">
        <v>2156</v>
      </c>
      <c r="L13" s="79" t="s">
        <v>433</v>
      </c>
      <c r="M13">
        <v>1</v>
      </c>
      <c r="N13">
        <v>0</v>
      </c>
      <c r="O13" t="s">
        <v>435</v>
      </c>
      <c r="P13">
        <f>7/16</f>
        <v>0.4375</v>
      </c>
      <c r="Q13" s="79">
        <f t="shared" si="0"/>
        <v>191.40625</v>
      </c>
      <c r="R13" s="80" t="s">
        <v>436</v>
      </c>
    </row>
    <row r="14" spans="1:18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87" t="s">
        <v>387</v>
      </c>
      <c r="I14" cm="1">
        <f t="array" ref="I14">IF(OR(COUNTIF(H14,"*"&amp;Conductors!$B$2:$B$48&amp;"*")), 1, 0)</f>
        <v>1</v>
      </c>
      <c r="J14" s="79">
        <v>1.762</v>
      </c>
      <c r="K14" s="79">
        <v>2156</v>
      </c>
      <c r="L14" s="79" t="s">
        <v>433</v>
      </c>
      <c r="M14">
        <v>1</v>
      </c>
      <c r="N14">
        <v>0</v>
      </c>
      <c r="O14" t="s">
        <v>435</v>
      </c>
      <c r="P14">
        <f>7/16</f>
        <v>0.4375</v>
      </c>
      <c r="Q14" s="79">
        <f t="shared" si="0"/>
        <v>191.40625</v>
      </c>
      <c r="R14" s="80" t="s">
        <v>436</v>
      </c>
    </row>
    <row r="15" spans="1:18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87" t="s">
        <v>451</v>
      </c>
      <c r="I15" cm="1">
        <f t="array" ref="I15">IF(OR(COUNTIF(H15,"*"&amp;Conductors!$B$2:$B$48&amp;"*")), 1, 0)</f>
        <v>1</v>
      </c>
      <c r="J15" s="79">
        <v>1.427</v>
      </c>
      <c r="K15" s="79">
        <v>1431</v>
      </c>
      <c r="L15" s="79" t="s">
        <v>417</v>
      </c>
      <c r="M15">
        <v>2</v>
      </c>
      <c r="N15">
        <v>18</v>
      </c>
      <c r="O15" t="s">
        <v>435</v>
      </c>
      <c r="P15">
        <f>7/16</f>
        <v>0.4375</v>
      </c>
      <c r="Q15" s="79">
        <f t="shared" si="0"/>
        <v>191.40625</v>
      </c>
      <c r="R15" s="80" t="s">
        <v>436</v>
      </c>
    </row>
    <row r="16" spans="1:18" x14ac:dyDescent="0.3">
      <c r="A16" t="s">
        <v>276</v>
      </c>
      <c r="B16" t="s">
        <v>263</v>
      </c>
      <c r="C16" t="s">
        <v>432</v>
      </c>
      <c r="D16" t="s">
        <v>112</v>
      </c>
      <c r="E16">
        <v>24.5</v>
      </c>
      <c r="F16">
        <v>345</v>
      </c>
      <c r="G16" t="s">
        <v>261</v>
      </c>
      <c r="H16" s="81">
        <v>1024.5</v>
      </c>
      <c r="I16" cm="1">
        <f t="array" ref="I16">IF(OR(COUNTIF(H16,"*"&amp;Conductors!$B$2:$B$48&amp;"*")), 1, 0)</f>
        <v>0</v>
      </c>
      <c r="J16">
        <v>1.165</v>
      </c>
      <c r="K16">
        <v>1024.5</v>
      </c>
      <c r="L16" s="79" t="s">
        <v>434</v>
      </c>
      <c r="M16">
        <v>2</v>
      </c>
      <c r="N16">
        <v>18</v>
      </c>
      <c r="O16" t="s">
        <v>438</v>
      </c>
      <c r="P16">
        <f>3/8</f>
        <v>0.375</v>
      </c>
      <c r="Q16" s="79">
        <f t="shared" si="0"/>
        <v>140.625</v>
      </c>
      <c r="R16" s="80" t="s">
        <v>437</v>
      </c>
    </row>
    <row r="17" spans="1:18" x14ac:dyDescent="0.3">
      <c r="A17" t="s">
        <v>262</v>
      </c>
      <c r="B17" t="s">
        <v>263</v>
      </c>
      <c r="C17" t="s">
        <v>432</v>
      </c>
      <c r="D17" t="s">
        <v>112</v>
      </c>
      <c r="E17">
        <v>21.8</v>
      </c>
      <c r="F17">
        <v>345</v>
      </c>
      <c r="G17" t="s">
        <v>261</v>
      </c>
      <c r="H17" s="81">
        <v>1024.5</v>
      </c>
      <c r="I17" cm="1">
        <f t="array" ref="I17">IF(OR(COUNTIF(H17,"*"&amp;Conductors!$B$2:$B$48&amp;"*")), 1, 0)</f>
        <v>0</v>
      </c>
      <c r="J17">
        <v>1.165</v>
      </c>
      <c r="K17">
        <v>1024.5</v>
      </c>
      <c r="L17" s="79" t="s">
        <v>434</v>
      </c>
      <c r="M17">
        <v>2</v>
      </c>
      <c r="N17">
        <v>18</v>
      </c>
      <c r="O17" t="s">
        <v>438</v>
      </c>
      <c r="P17">
        <f>3/8</f>
        <v>0.375</v>
      </c>
      <c r="Q17" s="79">
        <f t="shared" si="0"/>
        <v>140.625</v>
      </c>
      <c r="R17" s="80" t="s">
        <v>437</v>
      </c>
    </row>
    <row r="18" spans="1:18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87" t="s">
        <v>451</v>
      </c>
      <c r="I18" cm="1">
        <f t="array" ref="I18">IF(OR(COUNTIF(H18,"*"&amp;Conductors!$B$2:$B$48&amp;"*")), 1, 0)</f>
        <v>1</v>
      </c>
      <c r="J18" s="79">
        <v>1.427</v>
      </c>
      <c r="K18" s="79">
        <v>1431</v>
      </c>
      <c r="L18" s="79" t="s">
        <v>417</v>
      </c>
      <c r="M18">
        <v>2</v>
      </c>
      <c r="N18">
        <v>18</v>
      </c>
      <c r="O18" t="s">
        <v>230</v>
      </c>
      <c r="P18">
        <v>0.57599999999999996</v>
      </c>
      <c r="Q18" s="79">
        <f t="shared" si="0"/>
        <v>331.77599999999995</v>
      </c>
    </row>
    <row r="19" spans="1:18" x14ac:dyDescent="0.3">
      <c r="A19" t="s">
        <v>291</v>
      </c>
      <c r="B19" t="s">
        <v>361</v>
      </c>
      <c r="C19" t="s">
        <v>439</v>
      </c>
      <c r="D19" t="s">
        <v>100</v>
      </c>
      <c r="E19">
        <v>230</v>
      </c>
      <c r="F19">
        <v>345</v>
      </c>
      <c r="G19" t="s">
        <v>230</v>
      </c>
      <c r="H19" s="81" t="s">
        <v>379</v>
      </c>
      <c r="I19" cm="1">
        <f t="array" ref="I19">IF(OR(COUNTIF(H19,"*"&amp;Conductors!$B$2:$B$48&amp;"*")), 1, 0)</f>
        <v>1</v>
      </c>
      <c r="J19">
        <v>1.0629999999999999</v>
      </c>
      <c r="K19" s="79">
        <v>795</v>
      </c>
      <c r="L19" s="79" t="s">
        <v>417</v>
      </c>
      <c r="M19">
        <v>2</v>
      </c>
      <c r="N19">
        <v>18</v>
      </c>
      <c r="O19" t="s">
        <v>442</v>
      </c>
      <c r="P19">
        <f>3/8</f>
        <v>0.375</v>
      </c>
      <c r="Q19" s="79">
        <f t="shared" si="0"/>
        <v>140.625</v>
      </c>
      <c r="R19" s="80" t="s">
        <v>437</v>
      </c>
    </row>
    <row r="20" spans="1:18" x14ac:dyDescent="0.3">
      <c r="A20" t="s">
        <v>271</v>
      </c>
      <c r="B20" t="s">
        <v>263</v>
      </c>
      <c r="C20" t="s">
        <v>440</v>
      </c>
      <c r="D20" t="s">
        <v>136</v>
      </c>
      <c r="E20">
        <v>1.6</v>
      </c>
      <c r="F20">
        <v>345</v>
      </c>
      <c r="G20" t="s">
        <v>230</v>
      </c>
      <c r="H20" s="87" t="s">
        <v>378</v>
      </c>
      <c r="I20" cm="1">
        <f t="array" ref="I20">IF(OR(COUNTIF(H20,"*"&amp;Conductors!$B$2:$B$48&amp;"*")), 1, 0)</f>
        <v>1</v>
      </c>
      <c r="J20" s="79">
        <v>1.1080000000000001</v>
      </c>
      <c r="K20" s="79">
        <v>795</v>
      </c>
      <c r="L20" s="79" t="s">
        <v>441</v>
      </c>
      <c r="M20" s="79">
        <v>2</v>
      </c>
      <c r="N20" s="79">
        <v>18</v>
      </c>
      <c r="O20" s="79" t="s">
        <v>438</v>
      </c>
      <c r="P20" s="79">
        <f>3/8</f>
        <v>0.375</v>
      </c>
      <c r="Q20" s="79">
        <f t="shared" si="0"/>
        <v>140.625</v>
      </c>
      <c r="R20" s="83" t="s">
        <v>437</v>
      </c>
    </row>
    <row r="21" spans="1:18" x14ac:dyDescent="0.3">
      <c r="A21" t="s">
        <v>363</v>
      </c>
      <c r="B21" t="s">
        <v>228</v>
      </c>
      <c r="C21" t="s">
        <v>440</v>
      </c>
      <c r="D21" t="s">
        <v>136</v>
      </c>
      <c r="E21">
        <v>18</v>
      </c>
      <c r="F21">
        <v>345</v>
      </c>
      <c r="G21" t="s">
        <v>230</v>
      </c>
      <c r="H21" s="81" t="s">
        <v>458</v>
      </c>
      <c r="I21" cm="1">
        <f t="array" ref="I21">IF(OR(COUNTIF(H21,"*"&amp;Conductors!$B$2:$B$48&amp;"*")), 1, 0)</f>
        <v>0</v>
      </c>
      <c r="J21">
        <v>1.7370000000000001</v>
      </c>
      <c r="K21" s="79">
        <v>2167</v>
      </c>
      <c r="L21" s="79" t="s">
        <v>431</v>
      </c>
      <c r="M21">
        <v>2</v>
      </c>
      <c r="N21">
        <v>18</v>
      </c>
      <c r="O21" t="s">
        <v>438</v>
      </c>
      <c r="P21">
        <f>3/8</f>
        <v>0.375</v>
      </c>
      <c r="Q21" s="79">
        <f t="shared" si="0"/>
        <v>140.625</v>
      </c>
      <c r="R21" s="80" t="s">
        <v>437</v>
      </c>
    </row>
    <row r="22" spans="1:18" x14ac:dyDescent="0.3">
      <c r="A22" t="s">
        <v>363</v>
      </c>
      <c r="B22" t="s">
        <v>228</v>
      </c>
      <c r="C22" t="s">
        <v>440</v>
      </c>
      <c r="D22" t="s">
        <v>136</v>
      </c>
      <c r="E22">
        <v>46</v>
      </c>
      <c r="F22">
        <v>345</v>
      </c>
      <c r="G22" t="s">
        <v>230</v>
      </c>
      <c r="H22" s="87" t="s">
        <v>378</v>
      </c>
      <c r="I22" cm="1">
        <f t="array" ref="I22">IF(OR(COUNTIF(H22,"*"&amp;Conductors!$B$2:$B$48&amp;"*")), 1, 0)</f>
        <v>1</v>
      </c>
      <c r="J22" s="79">
        <v>1.1080000000000001</v>
      </c>
      <c r="K22" s="79">
        <v>795</v>
      </c>
      <c r="L22" s="79" t="s">
        <v>441</v>
      </c>
      <c r="M22">
        <v>2</v>
      </c>
      <c r="N22">
        <v>18</v>
      </c>
      <c r="O22" t="s">
        <v>438</v>
      </c>
      <c r="P22">
        <f>3/8</f>
        <v>0.375</v>
      </c>
      <c r="Q22" s="79">
        <f t="shared" si="0"/>
        <v>140.625</v>
      </c>
      <c r="R22" s="80" t="s">
        <v>437</v>
      </c>
    </row>
    <row r="23" spans="1:18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87" t="s">
        <v>387</v>
      </c>
      <c r="I23" cm="1">
        <f t="array" ref="I23">IF(OR(COUNTIF(H23,"*"&amp;Conductors!$B$2:$B$48&amp;"*")), 1, 0)</f>
        <v>1</v>
      </c>
      <c r="J23" s="79">
        <v>1.762</v>
      </c>
      <c r="K23" s="79">
        <v>2156</v>
      </c>
      <c r="L23" s="79" t="s">
        <v>433</v>
      </c>
      <c r="M23">
        <v>1</v>
      </c>
      <c r="N23">
        <v>0</v>
      </c>
      <c r="O23" t="s">
        <v>418</v>
      </c>
      <c r="P23">
        <v>0.38500000000000001</v>
      </c>
      <c r="Q23" s="79">
        <f t="shared" si="0"/>
        <v>148.22499999999999</v>
      </c>
    </row>
    <row r="24" spans="1:18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87" t="s">
        <v>386</v>
      </c>
      <c r="I24" cm="1">
        <f t="array" ref="I24">IF(OR(COUNTIF(H24,"*"&amp;Conductors!$B$2:$B$48&amp;"*")), 1, 0)</f>
        <v>1</v>
      </c>
      <c r="J24">
        <v>1.2929999999999999</v>
      </c>
      <c r="K24" s="79">
        <v>1590</v>
      </c>
      <c r="L24" t="s">
        <v>421</v>
      </c>
      <c r="M24">
        <v>2</v>
      </c>
      <c r="N24">
        <v>18</v>
      </c>
      <c r="O24" t="s">
        <v>418</v>
      </c>
      <c r="P24">
        <v>0.433</v>
      </c>
      <c r="Q24" s="79">
        <f t="shared" si="0"/>
        <v>187.48899999999998</v>
      </c>
    </row>
    <row r="25" spans="1:18" x14ac:dyDescent="0.3">
      <c r="A25" t="s">
        <v>231</v>
      </c>
      <c r="B25" t="s">
        <v>228</v>
      </c>
      <c r="C25" t="s">
        <v>443</v>
      </c>
      <c r="D25" t="s">
        <v>50</v>
      </c>
      <c r="E25">
        <v>368</v>
      </c>
      <c r="F25">
        <v>345</v>
      </c>
      <c r="G25" t="s">
        <v>230</v>
      </c>
      <c r="H25" s="81" t="s">
        <v>380</v>
      </c>
      <c r="I25" cm="1">
        <f t="array" ref="I25">IF(OR(COUNTIF(H25,"*"&amp;Conductors!$B$2:$B$48&amp;"*")), 1, 0)</f>
        <v>1</v>
      </c>
      <c r="J25">
        <v>1.165</v>
      </c>
      <c r="K25">
        <v>954</v>
      </c>
      <c r="L25" t="s">
        <v>417</v>
      </c>
      <c r="M25">
        <v>2</v>
      </c>
      <c r="N25">
        <v>18</v>
      </c>
      <c r="O25" t="s">
        <v>418</v>
      </c>
      <c r="P25">
        <v>0.38500000000000001</v>
      </c>
      <c r="Q25" s="79">
        <f t="shared" si="0"/>
        <v>148.22499999999999</v>
      </c>
    </row>
    <row r="26" spans="1:18" x14ac:dyDescent="0.3">
      <c r="A26" t="s">
        <v>248</v>
      </c>
      <c r="B26" t="s">
        <v>228</v>
      </c>
      <c r="C26" t="s">
        <v>443</v>
      </c>
      <c r="D26" t="s">
        <v>50</v>
      </c>
      <c r="E26">
        <v>368</v>
      </c>
      <c r="F26">
        <v>345</v>
      </c>
      <c r="G26" t="s">
        <v>230</v>
      </c>
      <c r="H26" s="81" t="s">
        <v>380</v>
      </c>
      <c r="I26" cm="1">
        <f t="array" ref="I26">IF(OR(COUNTIF(H26,"*"&amp;Conductors!$B$2:$B$48&amp;"*")), 1, 0)</f>
        <v>1</v>
      </c>
      <c r="J26">
        <v>1.165</v>
      </c>
      <c r="K26">
        <v>954</v>
      </c>
      <c r="L26" t="s">
        <v>417</v>
      </c>
      <c r="M26">
        <v>2</v>
      </c>
      <c r="N26">
        <v>18</v>
      </c>
      <c r="O26" t="s">
        <v>418</v>
      </c>
      <c r="P26">
        <v>0.38500000000000001</v>
      </c>
      <c r="Q26" s="79">
        <f t="shared" si="0"/>
        <v>148.22499999999999</v>
      </c>
    </row>
    <row r="27" spans="1:18" x14ac:dyDescent="0.3">
      <c r="A27" t="s">
        <v>265</v>
      </c>
      <c r="B27" t="s">
        <v>263</v>
      </c>
      <c r="C27" t="s">
        <v>443</v>
      </c>
      <c r="D27" t="s">
        <v>50</v>
      </c>
      <c r="E27">
        <v>368</v>
      </c>
      <c r="F27">
        <v>345</v>
      </c>
      <c r="G27" t="s">
        <v>230</v>
      </c>
      <c r="H27" s="81" t="s">
        <v>380</v>
      </c>
      <c r="I27" cm="1">
        <f t="array" ref="I27">IF(OR(COUNTIF(H27,"*"&amp;Conductors!$B$2:$B$48&amp;"*")), 1, 0)</f>
        <v>1</v>
      </c>
      <c r="J27">
        <v>1.165</v>
      </c>
      <c r="K27">
        <v>954</v>
      </c>
      <c r="L27" t="s">
        <v>417</v>
      </c>
      <c r="M27">
        <v>2</v>
      </c>
      <c r="N27">
        <v>18</v>
      </c>
      <c r="O27" t="s">
        <v>418</v>
      </c>
      <c r="P27">
        <v>0.38500000000000001</v>
      </c>
      <c r="Q27" s="79">
        <f t="shared" si="0"/>
        <v>148.22499999999999</v>
      </c>
    </row>
    <row r="28" spans="1:18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87" t="s">
        <v>378</v>
      </c>
      <c r="I28" cm="1">
        <f t="array" ref="I28">IF(OR(COUNTIF(H28,"*"&amp;Conductors!$B$2:$B$48&amp;"*")), 1, 0)</f>
        <v>1</v>
      </c>
      <c r="J28" s="79">
        <v>1.1080000000000001</v>
      </c>
      <c r="K28" s="79">
        <v>795</v>
      </c>
      <c r="L28" s="79" t="s">
        <v>441</v>
      </c>
      <c r="M28">
        <v>2</v>
      </c>
      <c r="N28">
        <v>18</v>
      </c>
      <c r="O28" t="s">
        <v>438</v>
      </c>
      <c r="P28">
        <f>3/8</f>
        <v>0.375</v>
      </c>
      <c r="Q28" s="79">
        <f t="shared" si="0"/>
        <v>140.625</v>
      </c>
      <c r="R28" s="80" t="s">
        <v>437</v>
      </c>
    </row>
    <row r="29" spans="1:18" x14ac:dyDescent="0.3">
      <c r="A29" t="s">
        <v>294</v>
      </c>
      <c r="B29" t="s">
        <v>361</v>
      </c>
      <c r="C29" t="s">
        <v>445</v>
      </c>
      <c r="D29" t="s">
        <v>56</v>
      </c>
      <c r="E29">
        <v>600</v>
      </c>
      <c r="F29">
        <v>345</v>
      </c>
      <c r="G29" t="s">
        <v>230</v>
      </c>
      <c r="H29" s="81" t="s">
        <v>380</v>
      </c>
      <c r="I29" cm="1">
        <f t="array" ref="I29">IF(OR(COUNTIF(H29,"*"&amp;Conductors!$B$2:$B$48&amp;"*")), 1, 0)</f>
        <v>1</v>
      </c>
      <c r="J29">
        <v>1.165</v>
      </c>
      <c r="K29">
        <v>954</v>
      </c>
      <c r="L29" t="s">
        <v>417</v>
      </c>
      <c r="M29">
        <v>2</v>
      </c>
      <c r="N29">
        <v>18</v>
      </c>
      <c r="O29" t="s">
        <v>438</v>
      </c>
      <c r="P29">
        <f>3/8</f>
        <v>0.375</v>
      </c>
      <c r="Q29" s="79">
        <f t="shared" si="0"/>
        <v>140.625</v>
      </c>
      <c r="R29" s="80" t="s">
        <v>437</v>
      </c>
    </row>
    <row r="30" spans="1:18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87" t="s">
        <v>460</v>
      </c>
      <c r="I30" cm="1">
        <f t="array" ref="I30">IF(OR(COUNTIF(H30,"*"&amp;Conductors!$B$2:$B$48&amp;"*")), 1, 0)</f>
        <v>0</v>
      </c>
      <c r="J30">
        <v>1.216</v>
      </c>
      <c r="K30" s="79">
        <v>1113</v>
      </c>
      <c r="L30" t="s">
        <v>424</v>
      </c>
      <c r="M30">
        <v>2</v>
      </c>
      <c r="N30">
        <v>16</v>
      </c>
      <c r="O30" t="s">
        <v>418</v>
      </c>
      <c r="P30">
        <v>0.34300000000000003</v>
      </c>
      <c r="Q30" s="79">
        <f t="shared" si="0"/>
        <v>117.64900000000002</v>
      </c>
    </row>
    <row r="31" spans="1:18" x14ac:dyDescent="0.3">
      <c r="A31" t="s">
        <v>288</v>
      </c>
      <c r="B31" t="s">
        <v>361</v>
      </c>
      <c r="C31" t="s">
        <v>446</v>
      </c>
      <c r="D31" t="s">
        <v>103</v>
      </c>
      <c r="E31">
        <v>220</v>
      </c>
      <c r="F31">
        <v>345</v>
      </c>
      <c r="G31" t="s">
        <v>230</v>
      </c>
      <c r="H31" s="87" t="s">
        <v>387</v>
      </c>
      <c r="I31" cm="1">
        <f t="array" ref="I31">IF(OR(COUNTIF(H31,"*"&amp;Conductors!$B$2:$B$48&amp;"*")), 1, 0)</f>
        <v>1</v>
      </c>
      <c r="J31" s="79">
        <v>1.762</v>
      </c>
      <c r="K31" s="79">
        <v>2156</v>
      </c>
      <c r="L31" s="79" t="s">
        <v>433</v>
      </c>
      <c r="M31">
        <v>1</v>
      </c>
      <c r="N31">
        <v>0</v>
      </c>
      <c r="O31" t="s">
        <v>438</v>
      </c>
      <c r="P31">
        <f>7/16</f>
        <v>0.4375</v>
      </c>
      <c r="Q31" s="79">
        <f t="shared" si="0"/>
        <v>191.40625</v>
      </c>
      <c r="R31" s="80" t="s">
        <v>436</v>
      </c>
    </row>
    <row r="32" spans="1:18" x14ac:dyDescent="0.3">
      <c r="A32" t="s">
        <v>288</v>
      </c>
      <c r="B32" t="s">
        <v>361</v>
      </c>
      <c r="C32" t="s">
        <v>446</v>
      </c>
      <c r="D32" t="s">
        <v>103</v>
      </c>
      <c r="E32">
        <v>56.9</v>
      </c>
      <c r="F32">
        <v>345</v>
      </c>
      <c r="G32" t="s">
        <v>230</v>
      </c>
      <c r="H32" s="81" t="s">
        <v>459</v>
      </c>
      <c r="I32" cm="1">
        <f t="array" ref="I32">IF(OR(COUNTIF(H32,"*"&amp;Conductors!$B$2:$B$48&amp;"*")), 1, 0)</f>
        <v>1</v>
      </c>
      <c r="J32">
        <v>1.212</v>
      </c>
      <c r="K32" s="79">
        <v>1033.5</v>
      </c>
      <c r="L32" t="s">
        <v>417</v>
      </c>
      <c r="M32">
        <v>2</v>
      </c>
      <c r="N32">
        <v>18</v>
      </c>
      <c r="O32" t="s">
        <v>438</v>
      </c>
      <c r="P32">
        <f>7/16</f>
        <v>0.4375</v>
      </c>
      <c r="Q32" s="79">
        <f t="shared" si="0"/>
        <v>191.40625</v>
      </c>
      <c r="R32" s="80" t="s">
        <v>436</v>
      </c>
    </row>
    <row r="33" spans="1:18" x14ac:dyDescent="0.3">
      <c r="A33" t="s">
        <v>285</v>
      </c>
      <c r="B33" t="s">
        <v>361</v>
      </c>
      <c r="C33" t="s">
        <v>447</v>
      </c>
      <c r="D33" t="s">
        <v>103</v>
      </c>
      <c r="E33">
        <v>83</v>
      </c>
      <c r="F33">
        <v>345</v>
      </c>
      <c r="G33" s="79" t="s">
        <v>230</v>
      </c>
      <c r="H33" s="87" t="s">
        <v>444</v>
      </c>
      <c r="I33" cm="1">
        <f t="array" ref="I33">IF(OR(COUNTIF(H33,"*"&amp;Conductors!$B$2:$B$48&amp;"*")), 1, 0)</f>
        <v>0</v>
      </c>
      <c r="J33" s="79">
        <v>1.302</v>
      </c>
      <c r="K33" s="79">
        <v>1192.5</v>
      </c>
      <c r="L33" s="79" t="s">
        <v>417</v>
      </c>
      <c r="M33">
        <v>2</v>
      </c>
      <c r="N33">
        <v>18</v>
      </c>
      <c r="O33" t="s">
        <v>438</v>
      </c>
      <c r="P33">
        <f>7/16</f>
        <v>0.4375</v>
      </c>
      <c r="Q33" s="79">
        <f t="shared" si="0"/>
        <v>191.40625</v>
      </c>
      <c r="R33" s="80" t="s">
        <v>436</v>
      </c>
    </row>
    <row r="34" spans="1:18" x14ac:dyDescent="0.3">
      <c r="A34" t="s">
        <v>288</v>
      </c>
      <c r="B34" t="s">
        <v>361</v>
      </c>
      <c r="C34" t="s">
        <v>448</v>
      </c>
      <c r="D34" t="s">
        <v>30</v>
      </c>
      <c r="E34">
        <v>275</v>
      </c>
      <c r="F34">
        <v>345</v>
      </c>
      <c r="G34" t="s">
        <v>230</v>
      </c>
      <c r="H34" s="81" t="s">
        <v>380</v>
      </c>
      <c r="I34" cm="1">
        <f t="array" ref="I34">IF(OR(COUNTIF(H34,"*"&amp;Conductors!$B$2:$B$48&amp;"*")), 1, 0)</f>
        <v>1</v>
      </c>
      <c r="J34">
        <v>1.165</v>
      </c>
      <c r="K34">
        <v>954</v>
      </c>
      <c r="L34" t="s">
        <v>417</v>
      </c>
      <c r="M34">
        <v>2</v>
      </c>
      <c r="N34">
        <v>18</v>
      </c>
      <c r="O34" t="s">
        <v>418</v>
      </c>
      <c r="P34">
        <v>0.375</v>
      </c>
      <c r="Q34" s="79">
        <f t="shared" si="0"/>
        <v>140.625</v>
      </c>
    </row>
    <row r="35" spans="1:18" x14ac:dyDescent="0.3">
      <c r="A35" t="s">
        <v>265</v>
      </c>
      <c r="B35" t="s">
        <v>263</v>
      </c>
      <c r="C35" t="s">
        <v>448</v>
      </c>
      <c r="D35" t="s">
        <v>30</v>
      </c>
      <c r="E35">
        <v>11.8</v>
      </c>
      <c r="F35">
        <v>345</v>
      </c>
      <c r="G35" t="s">
        <v>230</v>
      </c>
      <c r="H35" s="87" t="s">
        <v>384</v>
      </c>
      <c r="I35" cm="1">
        <f t="array" ref="I35">IF(OR(COUNTIF(H35,"*"&amp;Conductors!$B$2:$B$48&amp;"*")), 1, 0)</f>
        <v>1</v>
      </c>
      <c r="J35" s="79">
        <v>1.345</v>
      </c>
      <c r="K35" s="79">
        <v>1272</v>
      </c>
      <c r="L35" s="79" t="s">
        <v>417</v>
      </c>
      <c r="M35">
        <v>2</v>
      </c>
      <c r="N35">
        <v>18</v>
      </c>
      <c r="O35" t="s">
        <v>418</v>
      </c>
      <c r="P35">
        <v>0.375</v>
      </c>
      <c r="Q35" s="79">
        <f t="shared" si="0"/>
        <v>140.625</v>
      </c>
    </row>
    <row r="36" spans="1:18" x14ac:dyDescent="0.3">
      <c r="A36" t="s">
        <v>239</v>
      </c>
      <c r="B36" t="s">
        <v>228</v>
      </c>
      <c r="C36" t="s">
        <v>449</v>
      </c>
      <c r="D36" t="s">
        <v>50</v>
      </c>
      <c r="E36">
        <v>19.45</v>
      </c>
      <c r="F36">
        <v>345</v>
      </c>
      <c r="G36" t="s">
        <v>230</v>
      </c>
      <c r="H36" s="81" t="s">
        <v>387</v>
      </c>
      <c r="I36" cm="1">
        <f t="array" ref="I36">IF(OR(COUNTIF(H36,"*"&amp;Conductors!$B$2:$B$48&amp;"*")), 1, 0)</f>
        <v>1</v>
      </c>
      <c r="J36">
        <v>1.762</v>
      </c>
      <c r="K36" s="79">
        <f t="shared" ref="K36" si="1">(J36^2)*1000</f>
        <v>3104.6439999999998</v>
      </c>
      <c r="L36" t="s">
        <v>433</v>
      </c>
      <c r="M36">
        <v>1</v>
      </c>
      <c r="N36">
        <v>0</v>
      </c>
      <c r="O36" t="s">
        <v>438</v>
      </c>
      <c r="P36">
        <f>7/16</f>
        <v>0.4375</v>
      </c>
      <c r="Q36" s="79">
        <f t="shared" ref="Q36:Q38" si="2">(P36^2)*1000</f>
        <v>191.40625</v>
      </c>
      <c r="R36" s="80" t="s">
        <v>436</v>
      </c>
    </row>
    <row r="37" spans="1:18" x14ac:dyDescent="0.3">
      <c r="A37" t="s">
        <v>294</v>
      </c>
      <c r="B37" t="s">
        <v>361</v>
      </c>
      <c r="C37" t="s">
        <v>452</v>
      </c>
      <c r="D37" s="81" t="s">
        <v>77</v>
      </c>
      <c r="E37">
        <v>336.5</v>
      </c>
      <c r="F37">
        <v>345</v>
      </c>
      <c r="G37" t="s">
        <v>230</v>
      </c>
      <c r="H37" s="87" t="s">
        <v>378</v>
      </c>
      <c r="I37" cm="1">
        <f t="array" ref="I37">IF(OR(COUNTIF(H37,"*"&amp;Conductors!$B$2:$B$48&amp;"*")), 1, 0)</f>
        <v>1</v>
      </c>
      <c r="J37" s="79">
        <v>1.1080000000000001</v>
      </c>
      <c r="K37" s="79">
        <v>795</v>
      </c>
      <c r="L37" s="79" t="s">
        <v>441</v>
      </c>
      <c r="M37">
        <v>2</v>
      </c>
      <c r="N37">
        <v>18</v>
      </c>
      <c r="O37" t="s">
        <v>438</v>
      </c>
      <c r="P37">
        <f>3/8</f>
        <v>0.375</v>
      </c>
      <c r="Q37" s="79">
        <f t="shared" si="2"/>
        <v>140.625</v>
      </c>
      <c r="R37" s="80" t="s">
        <v>437</v>
      </c>
    </row>
    <row r="38" spans="1:18" x14ac:dyDescent="0.3">
      <c r="A38" t="s">
        <v>268</v>
      </c>
      <c r="B38" t="s">
        <v>263</v>
      </c>
      <c r="C38" t="s">
        <v>452</v>
      </c>
      <c r="D38" s="81" t="s">
        <v>77</v>
      </c>
      <c r="E38">
        <v>96.4</v>
      </c>
      <c r="F38">
        <v>345</v>
      </c>
      <c r="G38" t="s">
        <v>230</v>
      </c>
      <c r="H38" s="87" t="s">
        <v>381</v>
      </c>
      <c r="I38" cm="1">
        <f t="array" ref="I38">IF(OR(COUNTIF(H38,"*"&amp;Conductors!$B$2:$B$48&amp;"*")), 1, 0)</f>
        <v>1</v>
      </c>
      <c r="J38" s="79">
        <v>1.196</v>
      </c>
      <c r="K38" s="79">
        <v>954</v>
      </c>
      <c r="L38" s="79" t="s">
        <v>427</v>
      </c>
      <c r="M38">
        <v>2</v>
      </c>
      <c r="N38">
        <v>18</v>
      </c>
      <c r="O38" t="s">
        <v>418</v>
      </c>
      <c r="P38">
        <v>0.38500000000000001</v>
      </c>
      <c r="Q38" s="79">
        <f t="shared" si="2"/>
        <v>148.22499999999999</v>
      </c>
    </row>
    <row r="39" spans="1:18" x14ac:dyDescent="0.3">
      <c r="A39" t="s">
        <v>245</v>
      </c>
      <c r="B39" t="s">
        <v>228</v>
      </c>
      <c r="C39" t="s">
        <v>453</v>
      </c>
      <c r="D39" s="81" t="s">
        <v>115</v>
      </c>
      <c r="E39">
        <v>230.9</v>
      </c>
      <c r="F39">
        <v>345</v>
      </c>
      <c r="G39" t="s">
        <v>230</v>
      </c>
      <c r="H39" s="87" t="s">
        <v>378</v>
      </c>
      <c r="I39" cm="1">
        <f t="array" ref="I39">IF(OR(COUNTIF(H39,"*"&amp;Conductors!$B$2:$B$48&amp;"*")), 1, 0)</f>
        <v>1</v>
      </c>
      <c r="J39" s="79">
        <v>1.1080000000000001</v>
      </c>
      <c r="K39" s="79">
        <v>795</v>
      </c>
      <c r="L39" s="79" t="s">
        <v>441</v>
      </c>
      <c r="M39">
        <v>2</v>
      </c>
      <c r="N39">
        <v>18</v>
      </c>
      <c r="O39" t="s">
        <v>438</v>
      </c>
      <c r="P39">
        <f>3/8</f>
        <v>0.375</v>
      </c>
      <c r="Q39" s="79">
        <f t="shared" ref="Q39:Q45" si="3">(P39^2)*1000</f>
        <v>140.625</v>
      </c>
      <c r="R39" s="80" t="s">
        <v>437</v>
      </c>
    </row>
    <row r="40" spans="1:18" x14ac:dyDescent="0.3">
      <c r="A40" t="s">
        <v>310</v>
      </c>
      <c r="B40" t="s">
        <v>308</v>
      </c>
      <c r="C40" t="s">
        <v>454</v>
      </c>
      <c r="D40" s="81" t="s">
        <v>157</v>
      </c>
      <c r="E40">
        <v>471.2</v>
      </c>
      <c r="F40">
        <v>345</v>
      </c>
      <c r="G40" t="s">
        <v>230</v>
      </c>
      <c r="H40" s="87" t="s">
        <v>462</v>
      </c>
      <c r="I40" cm="1">
        <f t="array" ref="I40">IF(OR(COUNTIF(H40,"*"&amp;Conductors!$B$2:$B$48&amp;"*")), 1, 0)</f>
        <v>0</v>
      </c>
      <c r="J40" s="79">
        <v>1.3160000000000001</v>
      </c>
      <c r="K40" s="79">
        <v>1272</v>
      </c>
      <c r="L40" s="79" t="s">
        <v>456</v>
      </c>
      <c r="M40">
        <v>2</v>
      </c>
      <c r="N40">
        <v>18</v>
      </c>
      <c r="O40" t="s">
        <v>438</v>
      </c>
      <c r="P40">
        <f>3/8</f>
        <v>0.375</v>
      </c>
      <c r="Q40" s="79">
        <f t="shared" si="3"/>
        <v>140.625</v>
      </c>
      <c r="R40" s="80" t="s">
        <v>437</v>
      </c>
    </row>
    <row r="41" spans="1:18" x14ac:dyDescent="0.3">
      <c r="A41" t="s">
        <v>236</v>
      </c>
      <c r="B41" t="s">
        <v>228</v>
      </c>
      <c r="C41" t="s">
        <v>455</v>
      </c>
      <c r="D41" s="81" t="s">
        <v>121</v>
      </c>
      <c r="E41">
        <v>27.3</v>
      </c>
      <c r="F41">
        <v>345</v>
      </c>
      <c r="G41" t="s">
        <v>230</v>
      </c>
      <c r="H41" s="87" t="s">
        <v>382</v>
      </c>
      <c r="I41" cm="1">
        <f t="array" ref="I41">IF(OR(COUNTIF(H41,"*"&amp;Conductors!$B$2:$B$48&amp;"*")), 1, 0)</f>
        <v>1</v>
      </c>
      <c r="J41" s="79">
        <v>1.246</v>
      </c>
      <c r="K41" s="79">
        <v>1033.5</v>
      </c>
      <c r="L41" s="79" t="s">
        <v>427</v>
      </c>
      <c r="M41">
        <v>2</v>
      </c>
      <c r="N41">
        <v>18</v>
      </c>
      <c r="O41" t="s">
        <v>438</v>
      </c>
      <c r="P41">
        <f>31/2</f>
        <v>15.5</v>
      </c>
      <c r="Q41" s="79">
        <f t="shared" si="3"/>
        <v>240250</v>
      </c>
      <c r="R41" s="80" t="s">
        <v>437</v>
      </c>
    </row>
    <row r="42" spans="1:18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87" t="s">
        <v>461</v>
      </c>
      <c r="I42" cm="1">
        <f t="array" ref="I42">IF(OR(COUNTIF(H42,"*"&amp;Conductors!$B$2:$B$48&amp;"*")), 1, 0)</f>
        <v>1</v>
      </c>
      <c r="J42" s="79">
        <v>1.2929999999999999</v>
      </c>
      <c r="K42" s="79">
        <v>1113</v>
      </c>
      <c r="L42" s="79" t="s">
        <v>421</v>
      </c>
      <c r="M42">
        <v>2</v>
      </c>
      <c r="N42">
        <v>18</v>
      </c>
      <c r="O42" t="s">
        <v>418</v>
      </c>
      <c r="P42">
        <v>0.38500000000000001</v>
      </c>
      <c r="Q42" s="79">
        <f t="shared" si="3"/>
        <v>148.22499999999999</v>
      </c>
    </row>
    <row r="43" spans="1:18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87" t="s">
        <v>461</v>
      </c>
      <c r="I43" cm="1">
        <f t="array" ref="I43">IF(OR(COUNTIF(H43,"*"&amp;Conductors!$B$2:$B$48&amp;"*")), 1, 0)</f>
        <v>1</v>
      </c>
      <c r="J43" s="79">
        <v>1.2929999999999999</v>
      </c>
      <c r="K43" s="79">
        <v>1113</v>
      </c>
      <c r="L43" s="79" t="s">
        <v>421</v>
      </c>
      <c r="M43">
        <v>2</v>
      </c>
      <c r="N43">
        <v>18</v>
      </c>
      <c r="O43" t="s">
        <v>418</v>
      </c>
      <c r="P43">
        <v>0.38500000000000001</v>
      </c>
      <c r="Q43" s="79">
        <f t="shared" si="3"/>
        <v>148.22499999999999</v>
      </c>
    </row>
    <row r="44" spans="1:18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87" t="s">
        <v>387</v>
      </c>
      <c r="I44" cm="1">
        <f t="array" ref="I44">IF(OR(COUNTIF(H44,"*"&amp;Conductors!$B$2:$B$48&amp;"*")), 1, 0)</f>
        <v>1</v>
      </c>
      <c r="J44" s="79">
        <v>1.762</v>
      </c>
      <c r="K44" s="79">
        <v>2156</v>
      </c>
      <c r="L44" s="79" t="s">
        <v>433</v>
      </c>
      <c r="M44">
        <v>2</v>
      </c>
      <c r="N44">
        <v>18</v>
      </c>
      <c r="O44" t="s">
        <v>418</v>
      </c>
      <c r="P44">
        <v>0.38500000000000001</v>
      </c>
      <c r="Q44" s="79">
        <f t="shared" si="3"/>
        <v>148.22499999999999</v>
      </c>
    </row>
    <row r="45" spans="1:18" x14ac:dyDescent="0.3">
      <c r="A45" t="s">
        <v>297</v>
      </c>
      <c r="B45" t="s">
        <v>361</v>
      </c>
      <c r="C45" t="s">
        <v>457</v>
      </c>
      <c r="D45" t="s">
        <v>100</v>
      </c>
      <c r="E45">
        <v>160</v>
      </c>
      <c r="F45">
        <v>345</v>
      </c>
      <c r="G45" t="s">
        <v>230</v>
      </c>
      <c r="H45" s="87" t="s">
        <v>378</v>
      </c>
      <c r="I45" cm="1">
        <f t="array" ref="I45">IF(OR(COUNTIF(H45,"*"&amp;Conductors!$B$2:$B$48&amp;"*")), 1, 0)</f>
        <v>1</v>
      </c>
      <c r="J45" s="79">
        <v>1.1080000000000001</v>
      </c>
      <c r="K45" s="79">
        <v>795</v>
      </c>
      <c r="L45" s="79" t="s">
        <v>441</v>
      </c>
      <c r="M45">
        <v>2</v>
      </c>
      <c r="N45">
        <v>18</v>
      </c>
      <c r="O45" t="s">
        <v>438</v>
      </c>
      <c r="P45">
        <f>3/8</f>
        <v>0.375</v>
      </c>
      <c r="Q45" s="79">
        <f t="shared" si="3"/>
        <v>140.625</v>
      </c>
      <c r="R45" s="80" t="s">
        <v>437</v>
      </c>
    </row>
    <row r="46" spans="1:18" x14ac:dyDescent="0.3">
      <c r="A46" t="s">
        <v>312</v>
      </c>
      <c r="B46" t="s">
        <v>308</v>
      </c>
      <c r="C46" t="s">
        <v>477</v>
      </c>
      <c r="D46" s="82" t="s">
        <v>62</v>
      </c>
      <c r="E46">
        <v>64.5</v>
      </c>
      <c r="F46">
        <v>345</v>
      </c>
      <c r="G46" t="s">
        <v>230</v>
      </c>
      <c r="H46" s="87" t="s">
        <v>378</v>
      </c>
      <c r="I46" cm="1">
        <f t="array" ref="I46">IF(OR(COUNTIF(H46,"*"&amp;Conductors!$B$2:$B$48&amp;"*")), 1, 0)</f>
        <v>1</v>
      </c>
      <c r="J46" s="79">
        <v>1.1080000000000001</v>
      </c>
      <c r="K46" s="79">
        <v>795</v>
      </c>
      <c r="L46" s="79" t="s">
        <v>441</v>
      </c>
      <c r="M46">
        <v>2</v>
      </c>
      <c r="N46">
        <v>18</v>
      </c>
      <c r="O46" t="s">
        <v>418</v>
      </c>
      <c r="P46">
        <v>0.433</v>
      </c>
      <c r="Q46" s="79">
        <f t="shared" ref="Q46:Q47" si="4">(P46^2)*1000</f>
        <v>187.48899999999998</v>
      </c>
      <c r="R46" s="80"/>
    </row>
    <row r="47" spans="1:18" x14ac:dyDescent="0.3">
      <c r="A47" t="s">
        <v>271</v>
      </c>
      <c r="B47" t="s">
        <v>263</v>
      </c>
      <c r="C47" t="s">
        <v>477</v>
      </c>
      <c r="D47" t="s">
        <v>62</v>
      </c>
      <c r="E47">
        <v>7.5</v>
      </c>
      <c r="F47">
        <v>345</v>
      </c>
      <c r="G47" t="s">
        <v>230</v>
      </c>
      <c r="H47" s="87" t="s">
        <v>378</v>
      </c>
      <c r="I47" cm="1">
        <f t="array" ref="I47">IF(OR(COUNTIF(H47,"*"&amp;Conductors!$B$2:$B$48&amp;"*")), 1, 0)</f>
        <v>1</v>
      </c>
      <c r="J47" s="79">
        <v>1.1080000000000001</v>
      </c>
      <c r="K47" s="79">
        <v>795</v>
      </c>
      <c r="L47" s="79" t="s">
        <v>441</v>
      </c>
      <c r="M47">
        <v>2</v>
      </c>
      <c r="N47">
        <v>18</v>
      </c>
      <c r="O47" t="s">
        <v>438</v>
      </c>
      <c r="P47">
        <f>3/8</f>
        <v>0.375</v>
      </c>
      <c r="Q47" s="79">
        <f t="shared" si="4"/>
        <v>140.625</v>
      </c>
      <c r="R47" s="80" t="s">
        <v>437</v>
      </c>
    </row>
    <row r="48" spans="1:18" x14ac:dyDescent="0.3">
      <c r="A48" t="s">
        <v>312</v>
      </c>
      <c r="B48" t="s">
        <v>308</v>
      </c>
      <c r="C48" t="s">
        <v>477</v>
      </c>
      <c r="D48" t="s">
        <v>62</v>
      </c>
      <c r="E48">
        <v>73.400000000000006</v>
      </c>
      <c r="F48">
        <v>345</v>
      </c>
      <c r="G48" t="s">
        <v>230</v>
      </c>
      <c r="H48" s="86" t="s">
        <v>387</v>
      </c>
      <c r="I48" cm="1">
        <f t="array" ref="I48">IF(OR(COUNTIF(H48,"*"&amp;Conductors!$B$2:$B$48&amp;"*")), 1, 0)</f>
        <v>1</v>
      </c>
      <c r="J48" s="79">
        <v>1.762</v>
      </c>
      <c r="K48" s="79">
        <v>2156</v>
      </c>
      <c r="L48" s="82" t="s">
        <v>421</v>
      </c>
      <c r="M48">
        <v>1</v>
      </c>
      <c r="N48">
        <v>0</v>
      </c>
      <c r="O48" t="s">
        <v>418</v>
      </c>
      <c r="P48">
        <v>0.433</v>
      </c>
      <c r="Q48" s="79">
        <f t="shared" ref="Q48:Q50" si="5">(P48^2)*1000</f>
        <v>187.48899999999998</v>
      </c>
    </row>
    <row r="49" spans="1:18" x14ac:dyDescent="0.3">
      <c r="A49" t="s">
        <v>256</v>
      </c>
      <c r="B49" t="s">
        <v>228</v>
      </c>
      <c r="C49" t="s">
        <v>478</v>
      </c>
      <c r="D49" t="s">
        <v>136</v>
      </c>
      <c r="E49">
        <v>240.5</v>
      </c>
      <c r="F49">
        <v>345</v>
      </c>
      <c r="G49" t="s">
        <v>230</v>
      </c>
      <c r="H49" s="87" t="s">
        <v>378</v>
      </c>
      <c r="I49" cm="1">
        <f t="array" ref="I49">IF(OR(COUNTIF(H49,"*"&amp;Conductors!$B$2:$B$48&amp;"*")), 1, 0)</f>
        <v>1</v>
      </c>
      <c r="J49" s="79">
        <v>1.1080000000000001</v>
      </c>
      <c r="K49" s="79">
        <v>795</v>
      </c>
      <c r="L49" s="79" t="s">
        <v>441</v>
      </c>
      <c r="M49">
        <v>2</v>
      </c>
      <c r="N49" s="79">
        <v>18</v>
      </c>
      <c r="O49" t="s">
        <v>438</v>
      </c>
      <c r="P49">
        <f>3/8</f>
        <v>0.375</v>
      </c>
      <c r="Q49" s="79">
        <f t="shared" si="5"/>
        <v>140.625</v>
      </c>
      <c r="R49" s="80" t="s">
        <v>437</v>
      </c>
    </row>
    <row r="50" spans="1:18" x14ac:dyDescent="0.3">
      <c r="A50" t="s">
        <v>256</v>
      </c>
      <c r="B50" t="s">
        <v>228</v>
      </c>
      <c r="C50" t="s">
        <v>479</v>
      </c>
      <c r="D50" t="s">
        <v>136</v>
      </c>
      <c r="E50">
        <v>68.8</v>
      </c>
      <c r="F50">
        <v>345</v>
      </c>
      <c r="G50" t="s">
        <v>230</v>
      </c>
      <c r="H50" s="87" t="s">
        <v>378</v>
      </c>
      <c r="I50" cm="1">
        <f t="array" ref="I50">IF(OR(COUNTIF(H50,"*"&amp;Conductors!$B$2:$B$48&amp;"*")), 1, 0)</f>
        <v>1</v>
      </c>
      <c r="J50" s="79">
        <v>1.1080000000000001</v>
      </c>
      <c r="K50" s="79">
        <v>795</v>
      </c>
      <c r="L50" s="79" t="s">
        <v>441</v>
      </c>
      <c r="M50">
        <v>2</v>
      </c>
      <c r="N50" s="79">
        <v>18</v>
      </c>
      <c r="O50" t="s">
        <v>438</v>
      </c>
      <c r="P50">
        <f>7/16</f>
        <v>0.4375</v>
      </c>
      <c r="Q50" s="79">
        <f t="shared" si="5"/>
        <v>191.40625</v>
      </c>
      <c r="R50" s="80" t="s">
        <v>436</v>
      </c>
    </row>
    <row r="51" spans="1:18" x14ac:dyDescent="0.3">
      <c r="A51" t="s">
        <v>307</v>
      </c>
      <c r="B51" t="s">
        <v>308</v>
      </c>
      <c r="C51" t="s">
        <v>480</v>
      </c>
      <c r="D51" t="s">
        <v>18</v>
      </c>
      <c r="E51">
        <v>413</v>
      </c>
      <c r="F51">
        <v>345</v>
      </c>
      <c r="G51" t="s">
        <v>230</v>
      </c>
      <c r="H51" s="87" t="s">
        <v>380</v>
      </c>
      <c r="I51" cm="1">
        <f t="array" ref="I51">IF(OR(COUNTIF(H51,"*"&amp;Conductors!$B$2:$B$48&amp;"*")), 1, 0)</f>
        <v>1</v>
      </c>
      <c r="J51" s="79">
        <v>1.165</v>
      </c>
      <c r="K51" s="79">
        <v>954</v>
      </c>
      <c r="L51" s="79" t="s">
        <v>417</v>
      </c>
      <c r="M51">
        <v>2</v>
      </c>
      <c r="N51" s="79">
        <v>18</v>
      </c>
      <c r="O51" t="s">
        <v>438</v>
      </c>
      <c r="P51">
        <f>3/8</f>
        <v>0.375</v>
      </c>
      <c r="Q51" s="79">
        <f t="shared" ref="Q51:Q53" si="6">(P51^2)*1000</f>
        <v>140.625</v>
      </c>
      <c r="R51" s="80" t="s">
        <v>437</v>
      </c>
    </row>
    <row r="52" spans="1:18" x14ac:dyDescent="0.3">
      <c r="A52" t="s">
        <v>299</v>
      </c>
      <c r="B52" t="s">
        <v>361</v>
      </c>
      <c r="C52" t="s">
        <v>481</v>
      </c>
      <c r="D52" t="s">
        <v>83</v>
      </c>
      <c r="E52">
        <v>186</v>
      </c>
      <c r="F52">
        <v>345</v>
      </c>
      <c r="G52" t="s">
        <v>230</v>
      </c>
      <c r="H52" s="81" t="s">
        <v>379</v>
      </c>
      <c r="I52" cm="1">
        <f t="array" ref="I52">IF(OR(COUNTIF(H52,"*"&amp;Conductors!$B$2:$B$48&amp;"*")), 1, 0)</f>
        <v>1</v>
      </c>
      <c r="J52">
        <v>1.0629999999999999</v>
      </c>
      <c r="K52" s="79">
        <v>795</v>
      </c>
      <c r="L52" s="79" t="s">
        <v>417</v>
      </c>
      <c r="M52">
        <v>2</v>
      </c>
      <c r="N52" s="79">
        <v>18</v>
      </c>
      <c r="O52" t="s">
        <v>438</v>
      </c>
      <c r="P52">
        <f>7/16</f>
        <v>0.4375</v>
      </c>
      <c r="Q52" s="79">
        <f t="shared" si="6"/>
        <v>191.40625</v>
      </c>
      <c r="R52" s="80" t="s">
        <v>436</v>
      </c>
    </row>
    <row r="53" spans="1:18" x14ac:dyDescent="0.3">
      <c r="A53" t="s">
        <v>253</v>
      </c>
      <c r="B53" t="s">
        <v>228</v>
      </c>
      <c r="C53" t="s">
        <v>481</v>
      </c>
      <c r="D53" t="s">
        <v>83</v>
      </c>
      <c r="E53">
        <v>23</v>
      </c>
      <c r="F53">
        <v>345</v>
      </c>
      <c r="G53" t="s">
        <v>230</v>
      </c>
      <c r="H53" s="87" t="s">
        <v>385</v>
      </c>
      <c r="I53" cm="1">
        <f t="array" ref="I53">IF(OR(COUNTIF(H53,"*"&amp;Conductors!$B$2:$B$48&amp;"*")), 1, 0)</f>
        <v>1</v>
      </c>
      <c r="J53" s="79">
        <v>1.504</v>
      </c>
      <c r="K53" s="79">
        <v>1590</v>
      </c>
      <c r="L53" s="79" t="s">
        <v>417</v>
      </c>
      <c r="M53">
        <v>2</v>
      </c>
      <c r="N53" s="79">
        <v>18</v>
      </c>
      <c r="O53" t="s">
        <v>438</v>
      </c>
      <c r="P53">
        <f>7/16</f>
        <v>0.4375</v>
      </c>
      <c r="Q53" s="79">
        <f t="shared" si="6"/>
        <v>191.40625</v>
      </c>
      <c r="R53" s="80" t="s">
        <v>436</v>
      </c>
    </row>
    <row r="54" spans="1:18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87" t="s">
        <v>384</v>
      </c>
      <c r="I54" cm="1">
        <f t="array" ref="I54">IF(OR(COUNTIF(H54,"*"&amp;Conductors!$B$2:$B$48&amp;"*")), 1, 0)</f>
        <v>1</v>
      </c>
      <c r="J54" s="79">
        <v>1.345</v>
      </c>
      <c r="K54" s="79">
        <v>1272</v>
      </c>
      <c r="L54" s="79" t="s">
        <v>417</v>
      </c>
      <c r="M54">
        <v>2</v>
      </c>
      <c r="N54" s="79">
        <v>18</v>
      </c>
      <c r="O54" t="s">
        <v>438</v>
      </c>
      <c r="P54">
        <f>1/2</f>
        <v>0.5</v>
      </c>
      <c r="Q54" s="79">
        <f t="shared" ref="Q54" si="7">(P54^2)*1000</f>
        <v>250</v>
      </c>
      <c r="R54" s="80" t="s">
        <v>483</v>
      </c>
    </row>
    <row r="55" spans="1:18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87" t="s">
        <v>384</v>
      </c>
      <c r="I55" cm="1">
        <f t="array" ref="I55">IF(OR(COUNTIF(H55,"*"&amp;Conductors!$B$2:$B$48&amp;"*")), 1, 0)</f>
        <v>1</v>
      </c>
      <c r="J55" s="79">
        <v>1.345</v>
      </c>
      <c r="K55" s="79">
        <v>1272</v>
      </c>
      <c r="L55" s="79" t="s">
        <v>417</v>
      </c>
      <c r="M55">
        <v>2</v>
      </c>
      <c r="N55" s="79">
        <v>18</v>
      </c>
      <c r="O55" t="s">
        <v>438</v>
      </c>
      <c r="P55">
        <f>1/2</f>
        <v>0.5</v>
      </c>
      <c r="Q55" s="79">
        <f t="shared" ref="Q55:Q56" si="8">(P55^2)*1000</f>
        <v>250</v>
      </c>
      <c r="R55" s="80" t="s">
        <v>483</v>
      </c>
    </row>
    <row r="56" spans="1:18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87" t="s">
        <v>381</v>
      </c>
      <c r="I56" cm="1">
        <f t="array" ref="I56">IF(OR(COUNTIF(H56,"*"&amp;Conductors!$B$2:$B$48&amp;"*")), 1, 0)</f>
        <v>1</v>
      </c>
      <c r="J56" s="79">
        <v>1.196</v>
      </c>
      <c r="K56" s="79">
        <v>954</v>
      </c>
      <c r="L56" s="79" t="s">
        <v>427</v>
      </c>
      <c r="M56">
        <v>2</v>
      </c>
      <c r="N56" s="79">
        <v>18</v>
      </c>
      <c r="O56" t="s">
        <v>418</v>
      </c>
      <c r="P56">
        <v>0.47499999999999998</v>
      </c>
      <c r="Q56" s="79">
        <f t="shared" si="8"/>
        <v>225.625</v>
      </c>
    </row>
    <row r="57" spans="1:18" x14ac:dyDescent="0.3">
      <c r="A57" t="s">
        <v>288</v>
      </c>
      <c r="B57" t="s">
        <v>361</v>
      </c>
      <c r="C57" t="s">
        <v>482</v>
      </c>
      <c r="D57" t="s">
        <v>142</v>
      </c>
      <c r="E57">
        <v>51.3</v>
      </c>
      <c r="F57">
        <v>345</v>
      </c>
      <c r="G57" t="s">
        <v>261</v>
      </c>
      <c r="H57">
        <v>927.2</v>
      </c>
      <c r="I57" cm="1">
        <f t="array" ref="I57">IF(OR(COUNTIF(H57,"*"&amp;Conductors!$B$2:$B$48&amp;"*")), 1, 0)</f>
        <v>0</v>
      </c>
      <c r="J57" s="79">
        <v>1.1080000000000001</v>
      </c>
      <c r="K57" s="79">
        <v>927.2</v>
      </c>
      <c r="L57" s="79" t="s">
        <v>441</v>
      </c>
      <c r="M57">
        <v>2</v>
      </c>
      <c r="N57" s="79">
        <v>18</v>
      </c>
      <c r="O57" t="s">
        <v>438</v>
      </c>
      <c r="P57">
        <f>3/8</f>
        <v>0.375</v>
      </c>
      <c r="Q57" s="79">
        <f t="shared" ref="Q57:Q58" si="9">(P57^2)*1000</f>
        <v>140.625</v>
      </c>
      <c r="R57" s="80" t="s">
        <v>437</v>
      </c>
    </row>
    <row r="58" spans="1:18" x14ac:dyDescent="0.3">
      <c r="A58" t="s">
        <v>231</v>
      </c>
      <c r="B58" t="s">
        <v>228</v>
      </c>
      <c r="C58" t="s">
        <v>484</v>
      </c>
      <c r="D58" t="s">
        <v>27</v>
      </c>
      <c r="E58">
        <v>141</v>
      </c>
      <c r="F58">
        <v>345</v>
      </c>
      <c r="G58" t="s">
        <v>230</v>
      </c>
      <c r="H58" s="87" t="s">
        <v>384</v>
      </c>
      <c r="I58" cm="1">
        <f t="array" ref="I58">IF(OR(COUNTIF(H58,"*"&amp;Conductors!$B$2:$B$48&amp;"*")), 1, 0)</f>
        <v>1</v>
      </c>
      <c r="J58" s="79">
        <v>1.345</v>
      </c>
      <c r="K58" s="79">
        <v>1272</v>
      </c>
      <c r="L58" s="79" t="s">
        <v>417</v>
      </c>
      <c r="M58">
        <v>2</v>
      </c>
      <c r="N58" s="79">
        <v>18</v>
      </c>
      <c r="O58" t="s">
        <v>435</v>
      </c>
      <c r="P58" s="79">
        <v>0.5</v>
      </c>
      <c r="Q58" s="79">
        <f t="shared" si="9"/>
        <v>250</v>
      </c>
    </row>
    <row r="59" spans="1:18" x14ac:dyDescent="0.3">
      <c r="A59" t="s">
        <v>231</v>
      </c>
      <c r="B59" t="s">
        <v>228</v>
      </c>
      <c r="C59" t="s">
        <v>484</v>
      </c>
      <c r="D59" t="s">
        <v>27</v>
      </c>
      <c r="E59">
        <v>419</v>
      </c>
      <c r="F59">
        <v>345</v>
      </c>
      <c r="G59" t="s">
        <v>230</v>
      </c>
      <c r="H59" s="87" t="s">
        <v>381</v>
      </c>
      <c r="I59" cm="1">
        <f t="array" ref="I59">IF(OR(COUNTIF(H59,"*"&amp;Conductors!$B$2:$B$48&amp;"*")), 1, 0)</f>
        <v>1</v>
      </c>
      <c r="J59" s="79">
        <v>1.196</v>
      </c>
      <c r="K59" s="79">
        <v>954</v>
      </c>
      <c r="L59" s="79" t="s">
        <v>427</v>
      </c>
      <c r="M59">
        <v>2</v>
      </c>
      <c r="N59" s="79">
        <v>18</v>
      </c>
      <c r="O59" t="s">
        <v>438</v>
      </c>
      <c r="P59">
        <f>7/16</f>
        <v>0.4375</v>
      </c>
      <c r="Q59" s="79">
        <f t="shared" ref="Q59" si="10">(P59^2)*1000</f>
        <v>191.40625</v>
      </c>
      <c r="R59" s="80" t="s">
        <v>436</v>
      </c>
    </row>
    <row r="60" spans="1:18" x14ac:dyDescent="0.3">
      <c r="A60" t="s">
        <v>268</v>
      </c>
      <c r="B60" t="s">
        <v>263</v>
      </c>
      <c r="C60" t="s">
        <v>485</v>
      </c>
      <c r="D60" t="s">
        <v>154</v>
      </c>
      <c r="E60">
        <v>28</v>
      </c>
      <c r="F60">
        <v>345</v>
      </c>
      <c r="G60" t="s">
        <v>230</v>
      </c>
      <c r="H60" s="87" t="s">
        <v>387</v>
      </c>
      <c r="I60" cm="1">
        <f t="array" ref="I60">IF(OR(COUNTIF(H60,"*"&amp;Conductors!$B$2:$B$48&amp;"*")), 1, 0)</f>
        <v>1</v>
      </c>
      <c r="J60" s="79">
        <v>1.762</v>
      </c>
      <c r="K60" s="79">
        <v>2156</v>
      </c>
      <c r="L60" s="79" t="s">
        <v>433</v>
      </c>
      <c r="M60">
        <v>1</v>
      </c>
      <c r="N60" s="79">
        <v>0</v>
      </c>
      <c r="O60" t="s">
        <v>487</v>
      </c>
      <c r="P60" s="79">
        <v>0.57599999999999996</v>
      </c>
      <c r="Q60" s="79">
        <v>159</v>
      </c>
    </row>
    <row r="61" spans="1:18" x14ac:dyDescent="0.3">
      <c r="A61" t="s">
        <v>288</v>
      </c>
      <c r="B61" t="s">
        <v>361</v>
      </c>
      <c r="C61" t="s">
        <v>486</v>
      </c>
      <c r="D61" t="s">
        <v>154</v>
      </c>
      <c r="E61">
        <v>28.8</v>
      </c>
      <c r="F61">
        <v>345</v>
      </c>
      <c r="G61" t="s">
        <v>230</v>
      </c>
      <c r="H61" s="87" t="s">
        <v>378</v>
      </c>
      <c r="I61" cm="1">
        <f t="array" ref="I61">IF(OR(COUNTIF(H61,"*"&amp;Conductors!$B$2:$B$48&amp;"*")), 1, 0)</f>
        <v>1</v>
      </c>
      <c r="J61" s="79">
        <v>1.1080000000000001</v>
      </c>
      <c r="K61" s="79">
        <v>795</v>
      </c>
      <c r="L61" s="79" t="s">
        <v>441</v>
      </c>
      <c r="M61">
        <v>2</v>
      </c>
      <c r="N61" s="79">
        <v>18</v>
      </c>
      <c r="O61" t="s">
        <v>438</v>
      </c>
      <c r="P61">
        <f>3/8</f>
        <v>0.375</v>
      </c>
      <c r="Q61" s="79">
        <f t="shared" ref="Q61" si="11">(P61^2)*1000</f>
        <v>140.625</v>
      </c>
      <c r="R61" s="80" t="s">
        <v>437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BBB64C7D-99D4-4719-9692-441EBBB143E8}">
          <x14:formula1>
            <xm:f>TL_Geometry!$A$2:$A$65</xm:f>
          </x14:formula1>
          <xm:sqref>A1:A1048576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R48"/>
  <sheetViews>
    <sheetView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E20" sqref="E20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5" width="5.5546875" style="75" customWidth="1"/>
    <col min="6" max="13" width="11.33203125" customWidth="1"/>
    <col min="14" max="14" width="12" bestFit="1" customWidth="1"/>
  </cols>
  <sheetData>
    <row r="1" spans="1:16" x14ac:dyDescent="0.3">
      <c r="A1" s="74" t="s">
        <v>164</v>
      </c>
      <c r="B1" s="74" t="s">
        <v>388</v>
      </c>
      <c r="C1" s="77" t="s">
        <v>389</v>
      </c>
      <c r="D1" s="77" t="s">
        <v>475</v>
      </c>
      <c r="E1" s="77" t="s">
        <v>474</v>
      </c>
      <c r="F1" s="74" t="s">
        <v>390</v>
      </c>
      <c r="G1" s="74" t="s">
        <v>392</v>
      </c>
      <c r="H1" s="74" t="s">
        <v>393</v>
      </c>
      <c r="I1" s="74" t="s">
        <v>391</v>
      </c>
      <c r="J1" s="74" t="s">
        <v>394</v>
      </c>
      <c r="K1" s="74" t="s">
        <v>395</v>
      </c>
      <c r="L1" s="74" t="s">
        <v>396</v>
      </c>
      <c r="M1" s="74" t="s">
        <v>397</v>
      </c>
      <c r="N1" s="74" t="s">
        <v>398</v>
      </c>
    </row>
    <row r="2" spans="1:16" x14ac:dyDescent="0.3">
      <c r="A2" t="s">
        <v>230</v>
      </c>
      <c r="B2" t="s">
        <v>366</v>
      </c>
      <c r="C2" s="75">
        <v>266.8</v>
      </c>
      <c r="D2" t="s">
        <v>468</v>
      </c>
      <c r="E2">
        <v>0.60899999999999999</v>
      </c>
      <c r="F2">
        <v>6.4399999999999999E-2</v>
      </c>
      <c r="G2">
        <v>6.5699999999999995E-2</v>
      </c>
      <c r="H2">
        <v>7.2300000000000003E-2</v>
      </c>
      <c r="I2">
        <v>7.8799999999999995E-2</v>
      </c>
      <c r="J2">
        <v>0.57599999999999996</v>
      </c>
      <c r="K2">
        <v>9.0300000000000005E-2</v>
      </c>
      <c r="L2">
        <v>9.0300000000000005E-2</v>
      </c>
      <c r="M2">
        <v>9.0300000000000005E-2</v>
      </c>
      <c r="N2">
        <v>445</v>
      </c>
      <c r="P2">
        <f>K2*(5.28/1)</f>
        <v>0.47678400000000004</v>
      </c>
    </row>
    <row r="3" spans="1:16" x14ac:dyDescent="0.3">
      <c r="A3" t="s">
        <v>230</v>
      </c>
      <c r="B3" t="s">
        <v>367</v>
      </c>
      <c r="C3">
        <v>266.8</v>
      </c>
      <c r="D3" t="s">
        <v>441</v>
      </c>
      <c r="E3">
        <v>0.64200000000000002</v>
      </c>
      <c r="F3">
        <v>6.3700000000000007E-2</v>
      </c>
      <c r="G3">
        <v>6.5199999999999994E-2</v>
      </c>
      <c r="H3">
        <v>7.1400000000000005E-2</v>
      </c>
      <c r="I3">
        <v>7.7799999999999994E-2</v>
      </c>
      <c r="J3">
        <v>0.56499999999999995</v>
      </c>
      <c r="K3">
        <v>8.8099999999999998E-2</v>
      </c>
      <c r="L3">
        <v>8.8099999999999998E-2</v>
      </c>
      <c r="M3">
        <v>8.8099999999999998E-2</v>
      </c>
      <c r="N3">
        <v>455</v>
      </c>
      <c r="P3">
        <f t="shared" ref="P3:P48" si="0">K3*(5.28/1)</f>
        <v>0.46516800000000003</v>
      </c>
    </row>
    <row r="4" spans="1:16" x14ac:dyDescent="0.3">
      <c r="A4" t="s">
        <v>230</v>
      </c>
      <c r="B4" t="s">
        <v>466</v>
      </c>
      <c r="C4">
        <v>336.4</v>
      </c>
      <c r="D4" t="s">
        <v>468</v>
      </c>
      <c r="E4">
        <v>0.68400000000000005</v>
      </c>
      <c r="F4">
        <v>5.0999999999999997E-2</v>
      </c>
      <c r="G4">
        <v>5.2299999999999999E-2</v>
      </c>
      <c r="H4">
        <v>5.74E-2</v>
      </c>
      <c r="I4">
        <v>6.25E-2</v>
      </c>
      <c r="J4">
        <v>0.56000000000000005</v>
      </c>
      <c r="K4">
        <v>8.2600000000000007E-2</v>
      </c>
      <c r="L4">
        <v>8.2600000000000007E-2</v>
      </c>
      <c r="M4">
        <v>8.2600000000000007E-2</v>
      </c>
      <c r="N4">
        <v>515</v>
      </c>
      <c r="P4">
        <f t="shared" si="0"/>
        <v>0.43612800000000007</v>
      </c>
    </row>
    <row r="5" spans="1:16" x14ac:dyDescent="0.3">
      <c r="A5" t="s">
        <v>230</v>
      </c>
      <c r="B5" t="s">
        <v>465</v>
      </c>
      <c r="C5">
        <v>336.4</v>
      </c>
      <c r="D5" t="s">
        <v>441</v>
      </c>
      <c r="E5">
        <v>0.72099999999999997</v>
      </c>
      <c r="F5">
        <v>5.0599999999999999E-2</v>
      </c>
      <c r="G5">
        <v>5.1700000000000003E-2</v>
      </c>
      <c r="H5">
        <v>5.6800000000000003E-2</v>
      </c>
      <c r="I5">
        <v>6.1899999999999997E-2</v>
      </c>
      <c r="J5">
        <v>0.54900000000000004</v>
      </c>
      <c r="K5">
        <v>8.5400000000000004E-2</v>
      </c>
      <c r="L5">
        <v>8.5400000000000004E-2</v>
      </c>
      <c r="M5">
        <v>8.5400000000000004E-2</v>
      </c>
      <c r="N5">
        <v>530</v>
      </c>
      <c r="P5">
        <f t="shared" si="0"/>
        <v>0.45091200000000004</v>
      </c>
    </row>
    <row r="6" spans="1:16" x14ac:dyDescent="0.3">
      <c r="A6" t="s">
        <v>230</v>
      </c>
      <c r="B6" t="s">
        <v>368</v>
      </c>
      <c r="C6" s="75">
        <v>336.4</v>
      </c>
      <c r="D6" t="s">
        <v>434</v>
      </c>
      <c r="E6">
        <v>0.74099999999999999</v>
      </c>
      <c r="F6">
        <v>5.0200000000000002E-2</v>
      </c>
      <c r="G6">
        <v>5.1299999999999998E-2</v>
      </c>
      <c r="H6">
        <v>5.6300000000000003E-2</v>
      </c>
      <c r="I6">
        <v>6.1400000000000003E-2</v>
      </c>
      <c r="J6">
        <v>0.54400000000000004</v>
      </c>
      <c r="K6">
        <v>8.43E-2</v>
      </c>
      <c r="L6">
        <v>8.43E-2</v>
      </c>
      <c r="M6">
        <v>8.43E-2</v>
      </c>
      <c r="N6">
        <v>530</v>
      </c>
      <c r="P6">
        <f t="shared" si="0"/>
        <v>0.445104</v>
      </c>
    </row>
    <row r="7" spans="1:16" x14ac:dyDescent="0.3">
      <c r="A7" t="s">
        <v>230</v>
      </c>
      <c r="B7" t="s">
        <v>369</v>
      </c>
      <c r="C7">
        <v>397.5</v>
      </c>
      <c r="D7" t="s">
        <v>468</v>
      </c>
      <c r="E7">
        <v>0.74299999999999999</v>
      </c>
      <c r="F7">
        <v>4.3200000000000002E-2</v>
      </c>
      <c r="G7">
        <v>4.4299999999999999E-2</v>
      </c>
      <c r="H7">
        <v>4.87E-2</v>
      </c>
      <c r="I7">
        <v>5.28E-2</v>
      </c>
      <c r="J7">
        <v>0.54400000000000004</v>
      </c>
      <c r="K7">
        <v>8.5599999999999996E-2</v>
      </c>
      <c r="L7">
        <v>8.5599999999999996E-2</v>
      </c>
      <c r="M7">
        <v>8.5599999999999996E-2</v>
      </c>
      <c r="N7">
        <v>575</v>
      </c>
      <c r="P7">
        <f t="shared" si="0"/>
        <v>0.45196799999999998</v>
      </c>
    </row>
    <row r="8" spans="1:16" x14ac:dyDescent="0.3">
      <c r="A8" t="s">
        <v>230</v>
      </c>
      <c r="B8" t="s">
        <v>370</v>
      </c>
      <c r="C8">
        <v>397.5</v>
      </c>
      <c r="D8" t="s">
        <v>441</v>
      </c>
      <c r="E8">
        <v>0.78300000000000003</v>
      </c>
      <c r="F8">
        <v>4.2799999999999998E-2</v>
      </c>
      <c r="G8">
        <v>4.3799999999999999E-2</v>
      </c>
      <c r="H8">
        <v>4.8099999999999997E-2</v>
      </c>
      <c r="I8">
        <v>5.2499999999999998E-2</v>
      </c>
      <c r="J8">
        <v>0.53900000000000003</v>
      </c>
      <c r="K8">
        <v>8.3500000000000005E-2</v>
      </c>
      <c r="L8">
        <v>8.3500000000000005E-2</v>
      </c>
      <c r="M8">
        <v>8.3500000000000005E-2</v>
      </c>
      <c r="N8">
        <v>590</v>
      </c>
      <c r="P8">
        <f t="shared" si="0"/>
        <v>0.44088000000000005</v>
      </c>
    </row>
    <row r="9" spans="1:16" x14ac:dyDescent="0.3">
      <c r="A9" t="s">
        <v>230</v>
      </c>
      <c r="B9" t="s">
        <v>464</v>
      </c>
      <c r="C9">
        <v>477</v>
      </c>
      <c r="D9" t="s">
        <v>468</v>
      </c>
      <c r="E9">
        <v>0.81399999999999995</v>
      </c>
      <c r="F9">
        <v>3.5999999999999997E-2</v>
      </c>
      <c r="G9">
        <v>3.6900000000000002E-2</v>
      </c>
      <c r="H9">
        <v>4.0500000000000001E-2</v>
      </c>
      <c r="I9">
        <v>4.41E-2</v>
      </c>
      <c r="J9">
        <v>0.52800000000000002</v>
      </c>
      <c r="K9">
        <v>8.3500000000000005E-2</v>
      </c>
      <c r="L9">
        <v>8.3500000000000005E-2</v>
      </c>
      <c r="M9">
        <v>8.3500000000000005E-2</v>
      </c>
      <c r="N9">
        <v>640</v>
      </c>
      <c r="P9">
        <f t="shared" si="0"/>
        <v>0.44088000000000005</v>
      </c>
    </row>
    <row r="10" spans="1:16" x14ac:dyDescent="0.3">
      <c r="A10" t="s">
        <v>230</v>
      </c>
      <c r="B10" t="s">
        <v>371</v>
      </c>
      <c r="C10">
        <v>477</v>
      </c>
      <c r="D10" t="s">
        <v>469</v>
      </c>
      <c r="E10">
        <v>0.84599999999999997</v>
      </c>
      <c r="F10">
        <v>3.5799999999999998E-2</v>
      </c>
      <c r="G10">
        <v>3.6700000000000003E-2</v>
      </c>
      <c r="H10">
        <v>4.0300000000000002E-2</v>
      </c>
      <c r="I10">
        <v>4.3900000000000002E-2</v>
      </c>
      <c r="J10">
        <v>0.52400000000000002</v>
      </c>
      <c r="K10">
        <v>8.1799999999999998E-2</v>
      </c>
      <c r="L10">
        <v>8.1799999999999998E-2</v>
      </c>
      <c r="M10">
        <v>8.1799999999999998E-2</v>
      </c>
      <c r="N10">
        <v>670</v>
      </c>
      <c r="P10">
        <f t="shared" si="0"/>
        <v>0.43190400000000001</v>
      </c>
    </row>
    <row r="11" spans="1:16" x14ac:dyDescent="0.3">
      <c r="A11" t="s">
        <v>230</v>
      </c>
      <c r="B11" t="s">
        <v>463</v>
      </c>
      <c r="C11">
        <v>477</v>
      </c>
      <c r="D11" t="s">
        <v>441</v>
      </c>
      <c r="E11">
        <v>0.85799999999999998</v>
      </c>
      <c r="F11">
        <v>3.5700000000000003E-2</v>
      </c>
      <c r="G11">
        <v>3.6600000000000001E-2</v>
      </c>
      <c r="H11">
        <v>4.02E-2</v>
      </c>
      <c r="I11">
        <v>4.3799999999999999E-2</v>
      </c>
      <c r="J11">
        <v>0.52200000000000002</v>
      </c>
      <c r="K11">
        <v>8.14E-2</v>
      </c>
      <c r="L11">
        <v>8.14E-2</v>
      </c>
      <c r="M11">
        <v>8.14E-2</v>
      </c>
      <c r="N11">
        <v>660</v>
      </c>
      <c r="P11">
        <f t="shared" si="0"/>
        <v>0.42979200000000001</v>
      </c>
    </row>
    <row r="12" spans="1:16" x14ac:dyDescent="0.3">
      <c r="A12" t="s">
        <v>230</v>
      </c>
      <c r="B12" t="s">
        <v>372</v>
      </c>
      <c r="C12">
        <v>477</v>
      </c>
      <c r="D12" t="s">
        <v>434</v>
      </c>
      <c r="E12">
        <v>0.88300000000000001</v>
      </c>
      <c r="F12">
        <v>3.5400000000000001E-2</v>
      </c>
      <c r="G12">
        <v>3.6200000000000003E-2</v>
      </c>
      <c r="H12">
        <v>3.9800000000000002E-2</v>
      </c>
      <c r="I12">
        <v>4.3400000000000001E-2</v>
      </c>
      <c r="J12">
        <v>0.51700000000000002</v>
      </c>
      <c r="K12">
        <v>8.0299999999999996E-2</v>
      </c>
      <c r="L12">
        <v>8.0299999999999996E-2</v>
      </c>
      <c r="M12">
        <v>8.0299999999999996E-2</v>
      </c>
      <c r="N12">
        <v>660</v>
      </c>
      <c r="P12">
        <f t="shared" si="0"/>
        <v>0.42398400000000003</v>
      </c>
    </row>
    <row r="13" spans="1:16" x14ac:dyDescent="0.3">
      <c r="A13" t="s">
        <v>230</v>
      </c>
      <c r="B13" t="s">
        <v>373</v>
      </c>
      <c r="C13">
        <v>556.5</v>
      </c>
      <c r="D13" t="s">
        <v>468</v>
      </c>
      <c r="E13">
        <v>0.879</v>
      </c>
      <c r="F13">
        <v>3.09E-2</v>
      </c>
      <c r="G13">
        <v>3.1800000000000002E-2</v>
      </c>
      <c r="H13">
        <v>3.4799999999999998E-2</v>
      </c>
      <c r="I13">
        <v>3.7900000000000003E-2</v>
      </c>
      <c r="J13">
        <v>0.51800000000000002</v>
      </c>
      <c r="K13">
        <v>8.1799999999999998E-2</v>
      </c>
      <c r="L13">
        <v>8.1799999999999998E-2</v>
      </c>
      <c r="M13">
        <v>8.1799999999999998E-2</v>
      </c>
      <c r="N13">
        <v>710</v>
      </c>
      <c r="P13">
        <f t="shared" si="0"/>
        <v>0.43190400000000001</v>
      </c>
    </row>
    <row r="14" spans="1:16" x14ac:dyDescent="0.3">
      <c r="A14" t="s">
        <v>230</v>
      </c>
      <c r="B14" t="s">
        <v>374</v>
      </c>
      <c r="C14">
        <v>556.5</v>
      </c>
      <c r="D14" t="s">
        <v>469</v>
      </c>
      <c r="E14">
        <v>0.91400000000000003</v>
      </c>
      <c r="F14">
        <v>3.0700000000000002E-2</v>
      </c>
      <c r="G14">
        <v>3.1399999999999997E-2</v>
      </c>
      <c r="H14">
        <v>3.4700000000000002E-2</v>
      </c>
      <c r="I14">
        <v>3.7699999999999997E-2</v>
      </c>
      <c r="J14">
        <v>0.51200000000000001</v>
      </c>
      <c r="K14">
        <v>8.0100000000000005E-2</v>
      </c>
      <c r="L14">
        <v>8.0100000000000005E-2</v>
      </c>
      <c r="M14">
        <v>8.0100000000000005E-2</v>
      </c>
      <c r="N14">
        <v>720</v>
      </c>
      <c r="P14">
        <f t="shared" si="0"/>
        <v>0.42292800000000003</v>
      </c>
    </row>
    <row r="15" spans="1:16" x14ac:dyDescent="0.3">
      <c r="A15" t="s">
        <v>230</v>
      </c>
      <c r="B15" t="s">
        <v>375</v>
      </c>
      <c r="C15">
        <v>556.5</v>
      </c>
      <c r="D15" t="s">
        <v>441</v>
      </c>
      <c r="E15">
        <v>0.92700000000000005</v>
      </c>
      <c r="F15">
        <v>3.0499999999999999E-2</v>
      </c>
      <c r="G15">
        <v>3.1399999999999997E-2</v>
      </c>
      <c r="H15">
        <v>3.4500000000000003E-2</v>
      </c>
      <c r="I15">
        <v>3.7499999999999999E-2</v>
      </c>
      <c r="J15">
        <v>0.51</v>
      </c>
      <c r="K15">
        <v>7.9500000000000001E-2</v>
      </c>
      <c r="L15">
        <v>7.9500000000000001E-2</v>
      </c>
      <c r="M15">
        <v>7.9500000000000001E-2</v>
      </c>
      <c r="N15">
        <v>730</v>
      </c>
      <c r="P15">
        <f t="shared" si="0"/>
        <v>0.41976000000000002</v>
      </c>
    </row>
    <row r="16" spans="1:16" x14ac:dyDescent="0.3">
      <c r="A16" t="s">
        <v>230</v>
      </c>
      <c r="B16" t="s">
        <v>376</v>
      </c>
      <c r="C16">
        <v>636</v>
      </c>
      <c r="D16" t="s">
        <v>469</v>
      </c>
      <c r="E16">
        <v>0.97699999999999998</v>
      </c>
      <c r="F16">
        <v>2.6800000000000001E-2</v>
      </c>
      <c r="G16">
        <v>2.7699999999999999E-2</v>
      </c>
      <c r="H16">
        <v>3.0300000000000001E-2</v>
      </c>
      <c r="I16">
        <v>3.3000000000000002E-2</v>
      </c>
      <c r="J16">
        <v>0.502</v>
      </c>
      <c r="K16">
        <v>7.8600000000000003E-2</v>
      </c>
      <c r="L16">
        <v>7.8600000000000003E-2</v>
      </c>
      <c r="M16">
        <v>7.8600000000000003E-2</v>
      </c>
      <c r="N16">
        <v>780</v>
      </c>
      <c r="P16">
        <f t="shared" si="0"/>
        <v>0.41500800000000004</v>
      </c>
    </row>
    <row r="17" spans="1:18" x14ac:dyDescent="0.3">
      <c r="A17" t="s">
        <v>230</v>
      </c>
      <c r="B17" t="s">
        <v>377</v>
      </c>
      <c r="C17">
        <v>636</v>
      </c>
      <c r="D17" t="s">
        <v>441</v>
      </c>
      <c r="E17">
        <v>0.99</v>
      </c>
      <c r="F17">
        <v>2.6700000000000002E-2</v>
      </c>
      <c r="G17">
        <v>2.75E-2</v>
      </c>
      <c r="H17">
        <v>3.0099999999999998E-2</v>
      </c>
      <c r="I17">
        <v>3.2800000000000003E-2</v>
      </c>
      <c r="J17">
        <v>0.499</v>
      </c>
      <c r="K17">
        <v>7.8E-2</v>
      </c>
      <c r="L17">
        <v>7.8E-2</v>
      </c>
      <c r="M17">
        <v>7.8E-2</v>
      </c>
      <c r="N17">
        <v>790</v>
      </c>
      <c r="P17">
        <f t="shared" si="0"/>
        <v>0.41184000000000004</v>
      </c>
    </row>
    <row r="18" spans="1:18" x14ac:dyDescent="0.3">
      <c r="A18" t="s">
        <v>230</v>
      </c>
      <c r="B18" t="s">
        <v>378</v>
      </c>
      <c r="C18">
        <v>795</v>
      </c>
      <c r="D18" t="s">
        <v>441</v>
      </c>
      <c r="E18">
        <v>1.1080000000000001</v>
      </c>
      <c r="F18">
        <v>2.1399999999999999E-2</v>
      </c>
      <c r="G18">
        <v>2.2200000000000001E-2</v>
      </c>
      <c r="H18">
        <v>2.4199999999999999E-2</v>
      </c>
      <c r="I18">
        <v>2.63E-2</v>
      </c>
      <c r="J18">
        <v>0.48199999999999998</v>
      </c>
      <c r="K18">
        <v>7.5600000000000001E-2</v>
      </c>
      <c r="L18">
        <v>7.5600000000000001E-2</v>
      </c>
      <c r="M18">
        <v>7.5600000000000001E-2</v>
      </c>
      <c r="N18">
        <v>910</v>
      </c>
      <c r="P18">
        <f t="shared" si="0"/>
        <v>0.39916800000000002</v>
      </c>
    </row>
    <row r="19" spans="1:18" x14ac:dyDescent="0.3">
      <c r="A19" t="s">
        <v>230</v>
      </c>
      <c r="B19" t="s">
        <v>379</v>
      </c>
      <c r="C19">
        <v>795</v>
      </c>
      <c r="D19" t="s">
        <v>417</v>
      </c>
      <c r="E19">
        <v>1.0629999999999999</v>
      </c>
      <c r="F19">
        <v>2.1600000000000001E-2</v>
      </c>
      <c r="G19">
        <v>2.2499999999999999E-2</v>
      </c>
      <c r="H19">
        <v>2.46E-2</v>
      </c>
      <c r="I19">
        <v>2.6700000000000002E-2</v>
      </c>
      <c r="J19">
        <v>0.48799999999999999</v>
      </c>
      <c r="K19">
        <v>7.6899999999999996E-2</v>
      </c>
      <c r="L19">
        <v>7.6899999999999996E-2</v>
      </c>
      <c r="M19">
        <v>7.6899999999999996E-2</v>
      </c>
      <c r="N19">
        <v>890</v>
      </c>
      <c r="P19">
        <f t="shared" si="0"/>
        <v>0.406032</v>
      </c>
    </row>
    <row r="20" spans="1:18" x14ac:dyDescent="0.3">
      <c r="A20" t="s">
        <v>230</v>
      </c>
      <c r="B20" t="s">
        <v>380</v>
      </c>
      <c r="C20">
        <v>954</v>
      </c>
      <c r="D20" t="s">
        <v>417</v>
      </c>
      <c r="E20">
        <v>1.165</v>
      </c>
      <c r="F20">
        <v>1.7999999999999999E-2</v>
      </c>
      <c r="G20">
        <v>1.8800000000000001E-2</v>
      </c>
      <c r="H20">
        <v>2.06E-2</v>
      </c>
      <c r="I20">
        <v>2.23E-2</v>
      </c>
      <c r="J20">
        <v>0.47399999999999998</v>
      </c>
      <c r="K20">
        <v>7.4800000000000005E-2</v>
      </c>
      <c r="L20">
        <v>7.4800000000000005E-2</v>
      </c>
      <c r="M20">
        <v>7.4800000000000005E-2</v>
      </c>
      <c r="N20">
        <v>970</v>
      </c>
      <c r="P20">
        <f t="shared" si="0"/>
        <v>0.39494400000000007</v>
      </c>
    </row>
    <row r="21" spans="1:18" x14ac:dyDescent="0.3">
      <c r="A21" t="s">
        <v>230</v>
      </c>
      <c r="B21" t="s">
        <v>381</v>
      </c>
      <c r="C21">
        <v>954</v>
      </c>
      <c r="D21" t="s">
        <v>427</v>
      </c>
      <c r="E21">
        <v>1.196</v>
      </c>
      <c r="F21">
        <v>1.7899999999999999E-2</v>
      </c>
      <c r="G21">
        <v>1.8599999999999998E-2</v>
      </c>
      <c r="H21">
        <v>2.0500000000000001E-2</v>
      </c>
      <c r="I21">
        <v>2.2200000000000001E-2</v>
      </c>
      <c r="J21">
        <v>0.47</v>
      </c>
      <c r="K21">
        <v>7.3700000000000002E-2</v>
      </c>
      <c r="L21">
        <v>7.3700000000000002E-2</v>
      </c>
      <c r="M21">
        <v>7.3700000000000002E-2</v>
      </c>
      <c r="N21">
        <v>990</v>
      </c>
      <c r="P21">
        <f>K21*(5.28/1)</f>
        <v>0.38913600000000004</v>
      </c>
    </row>
    <row r="22" spans="1:18" s="82" customFormat="1" x14ac:dyDescent="0.3">
      <c r="A22" s="82" t="s">
        <v>230</v>
      </c>
      <c r="B22" s="82" t="s">
        <v>459</v>
      </c>
      <c r="C22" s="82">
        <v>1033.5</v>
      </c>
      <c r="D22" s="82" t="s">
        <v>417</v>
      </c>
      <c r="E22" s="82">
        <v>1.2130000000000001</v>
      </c>
      <c r="F22" s="89">
        <f>0.0167</f>
        <v>1.67E-2</v>
      </c>
      <c r="G22" s="89">
        <f>0.0924/5.28</f>
        <v>1.7499999999999998E-2</v>
      </c>
      <c r="H22" s="89">
        <f>0.1011/5</f>
        <v>2.0219999999999998E-2</v>
      </c>
      <c r="I22" s="89"/>
      <c r="J22" s="89">
        <f>0.0885*5.28</f>
        <v>0.46727999999999997</v>
      </c>
      <c r="K22" s="89">
        <f>0.39*(1/5.28)</f>
        <v>7.3863636363636367E-2</v>
      </c>
      <c r="L22" s="89">
        <f>0.39*(1/5.28)</f>
        <v>7.3863636363636367E-2</v>
      </c>
      <c r="M22" s="89">
        <f>0.39*(1/5.28)</f>
        <v>7.3863636363636367E-2</v>
      </c>
      <c r="N22" s="82">
        <v>1030</v>
      </c>
      <c r="P22" s="82">
        <f>K22*(5.28/1)</f>
        <v>0.39</v>
      </c>
      <c r="R22" s="82" t="s">
        <v>470</v>
      </c>
    </row>
    <row r="23" spans="1:18" s="88" customFormat="1" x14ac:dyDescent="0.3">
      <c r="A23" s="88" t="s">
        <v>230</v>
      </c>
      <c r="B23" s="88" t="s">
        <v>382</v>
      </c>
      <c r="C23" s="88">
        <v>1033.5</v>
      </c>
      <c r="D23" s="88" t="s">
        <v>427</v>
      </c>
      <c r="E23" s="88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8">
        <v>7.2900000000000006E-2</v>
      </c>
      <c r="M23" s="88">
        <v>7.2900000000000006E-2</v>
      </c>
      <c r="N23" s="88">
        <v>1040</v>
      </c>
      <c r="P23" s="88">
        <f t="shared" si="0"/>
        <v>0.38491200000000003</v>
      </c>
      <c r="R23" s="88" t="s">
        <v>471</v>
      </c>
    </row>
    <row r="24" spans="1:18" x14ac:dyDescent="0.3">
      <c r="A24" t="s">
        <v>230</v>
      </c>
      <c r="B24" t="s">
        <v>383</v>
      </c>
      <c r="C24">
        <v>1113</v>
      </c>
      <c r="D24" t="s">
        <v>417</v>
      </c>
      <c r="E24" s="79">
        <v>1.2589999999999999</v>
      </c>
      <c r="F24">
        <v>1.55E-2</v>
      </c>
      <c r="G24">
        <v>1.6299999999999999E-2</v>
      </c>
      <c r="H24">
        <v>1.78E-2</v>
      </c>
      <c r="I24">
        <v>1.9300000000000001E-2</v>
      </c>
      <c r="J24">
        <v>0.46100000000000002</v>
      </c>
      <c r="K24">
        <v>7.3099999999999998E-2</v>
      </c>
      <c r="L24">
        <v>7.3099999999999998E-2</v>
      </c>
      <c r="M24">
        <v>7.3099999999999998E-2</v>
      </c>
      <c r="N24">
        <v>1070</v>
      </c>
      <c r="P24">
        <f t="shared" si="0"/>
        <v>0.38596800000000003</v>
      </c>
    </row>
    <row r="25" spans="1:18" s="82" customFormat="1" x14ac:dyDescent="0.3">
      <c r="A25" s="82" t="s">
        <v>230</v>
      </c>
      <c r="B25" s="82" t="s">
        <v>461</v>
      </c>
      <c r="C25" s="82">
        <v>1113</v>
      </c>
      <c r="D25" s="82" t="s">
        <v>421</v>
      </c>
      <c r="E25" s="82">
        <v>1.2929999999999999</v>
      </c>
      <c r="F25" s="89">
        <v>1.55E-2</v>
      </c>
      <c r="G25" s="89">
        <f>0.0856/5.28</f>
        <v>1.6212121212121209E-2</v>
      </c>
      <c r="H25" s="89">
        <f>0.0937/5.28</f>
        <v>1.7746212121212121E-2</v>
      </c>
      <c r="I25" s="89"/>
      <c r="J25" s="89">
        <f>0.0866*5.28</f>
        <v>0.45724799999999999</v>
      </c>
      <c r="K25" s="89">
        <f>0.38*(1/5.28)</f>
        <v>7.1969696969696975E-2</v>
      </c>
      <c r="L25" s="89">
        <f>0.38*(1/5.28)</f>
        <v>7.1969696969696975E-2</v>
      </c>
      <c r="M25" s="89">
        <f>0.38*(1/5.28)</f>
        <v>7.1969696969696975E-2</v>
      </c>
      <c r="N25">
        <v>1070</v>
      </c>
      <c r="P25" s="82">
        <f>K25*(5.28/1)</f>
        <v>0.38000000000000006</v>
      </c>
      <c r="R25" s="82" t="s">
        <v>470</v>
      </c>
    </row>
    <row r="26" spans="1:18" x14ac:dyDescent="0.3">
      <c r="A26" t="s">
        <v>230</v>
      </c>
      <c r="B26" t="s">
        <v>384</v>
      </c>
      <c r="C26">
        <v>1272</v>
      </c>
      <c r="D26" t="s">
        <v>417</v>
      </c>
      <c r="E26">
        <v>1.345</v>
      </c>
      <c r="F26">
        <v>1.35E-2</v>
      </c>
      <c r="G26">
        <v>1.44E-2</v>
      </c>
      <c r="H26">
        <v>1.5699999999999999E-2</v>
      </c>
      <c r="I26">
        <v>1.7000000000000001E-2</v>
      </c>
      <c r="J26">
        <v>0.45100000000000001</v>
      </c>
      <c r="K26">
        <v>7.1599999999999997E-2</v>
      </c>
      <c r="L26">
        <v>7.1599999999999997E-2</v>
      </c>
      <c r="M26">
        <v>7.1599999999999997E-2</v>
      </c>
      <c r="N26">
        <v>1160</v>
      </c>
      <c r="P26">
        <f t="shared" si="0"/>
        <v>0.378048</v>
      </c>
    </row>
    <row r="27" spans="1:18" s="82" customFormat="1" x14ac:dyDescent="0.3">
      <c r="A27" s="82" t="s">
        <v>230</v>
      </c>
      <c r="B27" s="82" t="s">
        <v>472</v>
      </c>
      <c r="C27" s="82">
        <v>1272</v>
      </c>
      <c r="D27" s="82" t="s">
        <v>421</v>
      </c>
      <c r="E27" s="82">
        <v>1.3819999999999999</v>
      </c>
      <c r="F27" s="89">
        <v>1.35E-2</v>
      </c>
      <c r="G27" s="89">
        <f>0.0751/5.28</f>
        <v>1.4223484848484848E-2</v>
      </c>
      <c r="H27" s="89">
        <f>0.0821/5.28</f>
        <v>1.5549242424242425E-2</v>
      </c>
      <c r="I27" s="89"/>
      <c r="J27" s="89">
        <f>0.0847*5.28</f>
        <v>0.447216</v>
      </c>
      <c r="K27" s="89">
        <f>0.372*(1/5.28)</f>
        <v>7.045454545454545E-2</v>
      </c>
      <c r="L27" s="89">
        <f>0.372*(1/5.28)</f>
        <v>7.045454545454545E-2</v>
      </c>
      <c r="M27" s="89">
        <f>0.372*(1/5.28)</f>
        <v>7.045454545454545E-2</v>
      </c>
      <c r="N27" s="82">
        <v>1160</v>
      </c>
      <c r="P27">
        <f t="shared" si="0"/>
        <v>0.372</v>
      </c>
      <c r="R27" s="82" t="s">
        <v>470</v>
      </c>
    </row>
    <row r="28" spans="1:18" s="82" customFormat="1" x14ac:dyDescent="0.3">
      <c r="A28" s="82" t="s">
        <v>230</v>
      </c>
      <c r="B28" s="82" t="s">
        <v>451</v>
      </c>
      <c r="C28" s="82">
        <v>1431</v>
      </c>
      <c r="D28" s="82" t="s">
        <v>417</v>
      </c>
      <c r="E28" s="82">
        <v>1.427</v>
      </c>
      <c r="F28" s="89">
        <v>1.21E-2</v>
      </c>
      <c r="G28" s="89">
        <f>0.0684/5.28</f>
        <v>1.2954545454545455E-2</v>
      </c>
      <c r="H28" s="89">
        <f>0.0746/5.28</f>
        <v>1.4128787878787878E-2</v>
      </c>
      <c r="I28" s="89"/>
      <c r="J28" s="89">
        <f>0.0837*5.28</f>
        <v>0.441936</v>
      </c>
      <c r="K28" s="89">
        <f>0.371*(1/5.28)</f>
        <v>7.0265151515151517E-2</v>
      </c>
      <c r="L28" s="89">
        <f>0.371*(1/5.28)</f>
        <v>7.0265151515151517E-2</v>
      </c>
      <c r="M28" s="89">
        <f>0.371*(1/5.28)</f>
        <v>7.0265151515151517E-2</v>
      </c>
      <c r="N28" s="82">
        <v>1200</v>
      </c>
      <c r="P28">
        <f t="shared" si="0"/>
        <v>0.37100000000000005</v>
      </c>
      <c r="R28" s="82" t="s">
        <v>470</v>
      </c>
    </row>
    <row r="29" spans="1:18" s="82" customFormat="1" x14ac:dyDescent="0.3">
      <c r="A29" s="82" t="s">
        <v>230</v>
      </c>
      <c r="B29" s="82" t="s">
        <v>473</v>
      </c>
      <c r="C29" s="82">
        <v>1431</v>
      </c>
      <c r="D29" s="82" t="s">
        <v>421</v>
      </c>
      <c r="E29" s="82">
        <v>1.4650000000000001</v>
      </c>
      <c r="F29" s="89">
        <v>1.2E-2</v>
      </c>
      <c r="G29" s="89">
        <f>0.0673/5.28</f>
        <v>1.274621212121212E-2</v>
      </c>
      <c r="H29" s="89">
        <f>0.0735/5.28</f>
        <v>1.3920454545454545E-2</v>
      </c>
      <c r="I29" s="89"/>
      <c r="J29" s="89">
        <f>0.0829*5.28</f>
        <v>0.43771200000000005</v>
      </c>
      <c r="K29" s="89">
        <f>0.365*(1/5.28)</f>
        <v>6.9128787878787873E-2</v>
      </c>
      <c r="L29" s="89">
        <f>0.365*(1/5.28)</f>
        <v>6.9128787878787873E-2</v>
      </c>
      <c r="M29" s="89">
        <f>0.365*(1/5.28)</f>
        <v>6.9128787878787873E-2</v>
      </c>
      <c r="N29" s="82">
        <v>1250</v>
      </c>
      <c r="P29">
        <f t="shared" si="0"/>
        <v>0.36499999999999999</v>
      </c>
      <c r="R29" s="82" t="s">
        <v>470</v>
      </c>
    </row>
    <row r="30" spans="1:18" x14ac:dyDescent="0.3">
      <c r="A30" t="s">
        <v>230</v>
      </c>
      <c r="B30" t="s">
        <v>385</v>
      </c>
      <c r="C30">
        <v>1590</v>
      </c>
      <c r="D30" s="79" t="s">
        <v>417</v>
      </c>
      <c r="E30" s="79">
        <v>1.502</v>
      </c>
      <c r="F30">
        <v>1.0800000000000001E-2</v>
      </c>
      <c r="G30">
        <v>1.17E-2</v>
      </c>
      <c r="H30">
        <v>1.2800000000000001E-2</v>
      </c>
      <c r="I30">
        <v>1.38E-2</v>
      </c>
      <c r="J30">
        <v>0.434</v>
      </c>
      <c r="K30">
        <v>6.8900000000000003E-2</v>
      </c>
      <c r="L30">
        <v>6.8900000000000003E-2</v>
      </c>
      <c r="M30">
        <v>6.8900000000000003E-2</v>
      </c>
      <c r="N30">
        <v>1340</v>
      </c>
      <c r="P30">
        <f t="shared" si="0"/>
        <v>0.36379200000000006</v>
      </c>
    </row>
    <row r="31" spans="1:18" x14ac:dyDescent="0.3">
      <c r="A31" t="s">
        <v>230</v>
      </c>
      <c r="B31" t="s">
        <v>386</v>
      </c>
      <c r="C31">
        <v>1590</v>
      </c>
      <c r="D31" s="79" t="s">
        <v>421</v>
      </c>
      <c r="E31" s="79">
        <v>1.5449999999999999</v>
      </c>
      <c r="F31">
        <v>1.0800000000000001E-2</v>
      </c>
      <c r="G31">
        <v>1.1599999999999999E-2</v>
      </c>
      <c r="H31">
        <v>1.29E-2</v>
      </c>
      <c r="I31">
        <v>1.4E-2</v>
      </c>
      <c r="J31">
        <v>0.43</v>
      </c>
      <c r="K31">
        <v>6.7799999999999999E-2</v>
      </c>
      <c r="L31">
        <v>6.7799999999999999E-2</v>
      </c>
      <c r="M31">
        <v>6.7799999999999999E-2</v>
      </c>
      <c r="N31">
        <v>1360</v>
      </c>
      <c r="P31">
        <f t="shared" si="0"/>
        <v>0.35798400000000002</v>
      </c>
    </row>
    <row r="32" spans="1:18" x14ac:dyDescent="0.3">
      <c r="A32" t="s">
        <v>230</v>
      </c>
      <c r="B32" t="s">
        <v>387</v>
      </c>
      <c r="C32">
        <v>2156</v>
      </c>
      <c r="D32" s="79" t="s">
        <v>433</v>
      </c>
      <c r="E32" s="79">
        <v>1.762</v>
      </c>
      <c r="F32">
        <v>8.0099999999999998E-3</v>
      </c>
      <c r="G32">
        <v>9.0299999999999998E-3</v>
      </c>
      <c r="H32">
        <v>9.7699999999999992E-3</v>
      </c>
      <c r="I32">
        <v>1.0500000000000001E-2</v>
      </c>
      <c r="J32">
        <v>0.40899999999999997</v>
      </c>
      <c r="K32">
        <v>6.5199999999999994E-2</v>
      </c>
      <c r="L32">
        <v>6.5199999999999994E-2</v>
      </c>
      <c r="M32">
        <v>6.5199999999999994E-2</v>
      </c>
      <c r="N32">
        <v>1610</v>
      </c>
      <c r="P32">
        <f t="shared" si="0"/>
        <v>0.34425600000000001</v>
      </c>
    </row>
    <row r="33" spans="1:16" x14ac:dyDescent="0.3">
      <c r="A33" t="s">
        <v>303</v>
      </c>
      <c r="B33" t="s">
        <v>399</v>
      </c>
      <c r="C33">
        <v>266.8</v>
      </c>
      <c r="D33"/>
      <c r="E33"/>
      <c r="F33">
        <v>6.4699999999999994E-2</v>
      </c>
      <c r="G33">
        <v>6.6299999999999998E-2</v>
      </c>
      <c r="H33">
        <v>7.2700000000000001E-2</v>
      </c>
      <c r="I33">
        <v>7.9399999999999998E-2</v>
      </c>
      <c r="J33">
        <v>0.58099999999999996</v>
      </c>
      <c r="K33">
        <v>6.4699999999999994E-2</v>
      </c>
      <c r="N33" s="76">
        <v>440</v>
      </c>
      <c r="P33">
        <f t="shared" si="0"/>
        <v>0.34161599999999998</v>
      </c>
    </row>
    <row r="34" spans="1:16" x14ac:dyDescent="0.3">
      <c r="A34" t="s">
        <v>303</v>
      </c>
      <c r="B34" t="s">
        <v>400</v>
      </c>
      <c r="C34">
        <v>266.8</v>
      </c>
      <c r="D34"/>
      <c r="E34"/>
      <c r="F34">
        <v>6.4799999999999996E-2</v>
      </c>
      <c r="G34">
        <v>6.6299999999999998E-2</v>
      </c>
      <c r="H34">
        <v>7.2700000000000001E-2</v>
      </c>
      <c r="I34">
        <v>7.9399999999999998E-2</v>
      </c>
      <c r="J34">
        <v>0.58099999999999996</v>
      </c>
      <c r="K34">
        <v>6.4799999999999996E-2</v>
      </c>
      <c r="N34" s="76">
        <v>445</v>
      </c>
      <c r="P34">
        <f t="shared" si="0"/>
        <v>0.342144</v>
      </c>
    </row>
    <row r="35" spans="1:16" x14ac:dyDescent="0.3">
      <c r="A35" t="s">
        <v>303</v>
      </c>
      <c r="B35" t="s">
        <v>401</v>
      </c>
      <c r="C35">
        <v>336.4</v>
      </c>
      <c r="D35"/>
      <c r="E35"/>
      <c r="F35">
        <v>5.1299999999999998E-2</v>
      </c>
      <c r="G35">
        <v>5.2699999999999997E-2</v>
      </c>
      <c r="H35">
        <v>5.7799999999999997E-2</v>
      </c>
      <c r="I35">
        <v>6.2899999999999998E-2</v>
      </c>
      <c r="J35">
        <v>0.56000000000000005</v>
      </c>
      <c r="K35">
        <v>5.1299999999999998E-2</v>
      </c>
      <c r="N35" s="76">
        <v>510</v>
      </c>
      <c r="P35">
        <f t="shared" si="0"/>
        <v>0.27086399999999999</v>
      </c>
    </row>
    <row r="36" spans="1:16" x14ac:dyDescent="0.3">
      <c r="A36" t="s">
        <v>303</v>
      </c>
      <c r="B36" t="s">
        <v>402</v>
      </c>
      <c r="C36">
        <v>477</v>
      </c>
      <c r="D36"/>
      <c r="E36"/>
      <c r="F36">
        <v>3.6299999999999999E-2</v>
      </c>
      <c r="G36">
        <v>3.73E-2</v>
      </c>
      <c r="H36">
        <v>4.0899999999999999E-2</v>
      </c>
      <c r="I36">
        <v>4.4499999999999998E-2</v>
      </c>
      <c r="J36">
        <v>0.53300000000000003</v>
      </c>
      <c r="K36">
        <v>3.6299999999999999E-2</v>
      </c>
      <c r="N36" s="76">
        <v>640</v>
      </c>
      <c r="P36">
        <f t="shared" si="0"/>
        <v>0.191664</v>
      </c>
    </row>
    <row r="37" spans="1:16" x14ac:dyDescent="0.3">
      <c r="A37" t="s">
        <v>303</v>
      </c>
      <c r="B37" t="s">
        <v>403</v>
      </c>
      <c r="C37">
        <v>477</v>
      </c>
      <c r="D37"/>
      <c r="E37"/>
      <c r="F37">
        <v>3.6299999999999999E-2</v>
      </c>
      <c r="G37">
        <v>3.73E-2</v>
      </c>
      <c r="H37">
        <v>4.0899999999999999E-2</v>
      </c>
      <c r="I37">
        <v>4.4499999999999998E-2</v>
      </c>
      <c r="J37">
        <v>0.53300000000000003</v>
      </c>
      <c r="K37">
        <v>3.6299999999999999E-2</v>
      </c>
      <c r="N37" s="76">
        <v>640</v>
      </c>
      <c r="P37">
        <f t="shared" si="0"/>
        <v>0.191664</v>
      </c>
    </row>
    <row r="38" spans="1:16" x14ac:dyDescent="0.3">
      <c r="A38" t="s">
        <v>303</v>
      </c>
      <c r="B38" t="s">
        <v>404</v>
      </c>
      <c r="C38">
        <v>500</v>
      </c>
      <c r="D38"/>
      <c r="E38"/>
      <c r="F38">
        <v>3.4599999999999999E-2</v>
      </c>
      <c r="G38">
        <v>3.56E-2</v>
      </c>
      <c r="H38">
        <v>3.9E-2</v>
      </c>
      <c r="I38">
        <v>4.2599999999999999E-2</v>
      </c>
      <c r="J38">
        <v>0.53300000000000003</v>
      </c>
      <c r="K38">
        <v>3.4599999999999999E-2</v>
      </c>
      <c r="N38" s="76">
        <v>660</v>
      </c>
      <c r="P38">
        <f t="shared" si="0"/>
        <v>0.18268799999999999</v>
      </c>
    </row>
    <row r="39" spans="1:16" x14ac:dyDescent="0.3">
      <c r="A39" t="s">
        <v>303</v>
      </c>
      <c r="B39" t="s">
        <v>405</v>
      </c>
      <c r="C39">
        <v>556.5</v>
      </c>
      <c r="D39"/>
      <c r="E39"/>
      <c r="F39">
        <v>3.1099999999999999E-2</v>
      </c>
      <c r="G39">
        <v>3.2000000000000001E-2</v>
      </c>
      <c r="H39">
        <v>3.5200000000000002E-2</v>
      </c>
      <c r="I39">
        <v>3.8300000000000001E-2</v>
      </c>
      <c r="J39">
        <v>0.52200000000000002</v>
      </c>
      <c r="K39">
        <v>3.1099999999999999E-2</v>
      </c>
      <c r="N39" s="76">
        <v>700</v>
      </c>
      <c r="P39">
        <f t="shared" si="0"/>
        <v>0.16420799999999999</v>
      </c>
    </row>
    <row r="40" spans="1:16" x14ac:dyDescent="0.3">
      <c r="A40" t="s">
        <v>303</v>
      </c>
      <c r="B40" t="s">
        <v>406</v>
      </c>
      <c r="C40">
        <v>636</v>
      </c>
      <c r="D40"/>
      <c r="E40"/>
      <c r="F40">
        <v>2.7199999999999998E-2</v>
      </c>
      <c r="G40">
        <v>2.8199999999999999E-2</v>
      </c>
      <c r="H40">
        <v>3.09E-2</v>
      </c>
      <c r="I40">
        <v>3.3500000000000002E-2</v>
      </c>
      <c r="J40">
        <v>0.51100000000000001</v>
      </c>
      <c r="K40">
        <v>2.7199999999999998E-2</v>
      </c>
      <c r="N40" s="76">
        <v>760</v>
      </c>
      <c r="P40">
        <f t="shared" si="0"/>
        <v>0.14361599999999999</v>
      </c>
    </row>
    <row r="41" spans="1:16" x14ac:dyDescent="0.3">
      <c r="A41" t="s">
        <v>303</v>
      </c>
      <c r="B41" t="s">
        <v>407</v>
      </c>
      <c r="C41">
        <v>715</v>
      </c>
      <c r="D41"/>
      <c r="E41"/>
      <c r="F41">
        <v>2.41E-2</v>
      </c>
      <c r="G41">
        <v>2.5000000000000001E-2</v>
      </c>
      <c r="H41">
        <v>2.75E-2</v>
      </c>
      <c r="I41">
        <v>2.9899999999999999E-2</v>
      </c>
      <c r="J41">
        <v>0.502</v>
      </c>
      <c r="K41">
        <v>2.41E-2</v>
      </c>
      <c r="N41" s="76">
        <v>820</v>
      </c>
      <c r="P41">
        <f t="shared" si="0"/>
        <v>0.127248</v>
      </c>
    </row>
    <row r="42" spans="1:16" x14ac:dyDescent="0.3">
      <c r="A42" t="s">
        <v>303</v>
      </c>
      <c r="B42" t="s">
        <v>467</v>
      </c>
      <c r="C42">
        <v>795</v>
      </c>
      <c r="D42"/>
      <c r="E42"/>
      <c r="F42">
        <v>2.1700000000000001E-2</v>
      </c>
      <c r="G42">
        <v>2.2700000000000001E-2</v>
      </c>
      <c r="H42">
        <v>2.4799999999999999E-2</v>
      </c>
      <c r="I42">
        <v>2.69E-2</v>
      </c>
      <c r="J42">
        <v>0.49399999999999999</v>
      </c>
      <c r="K42">
        <v>2.1700000000000001E-2</v>
      </c>
      <c r="N42" s="76">
        <v>880</v>
      </c>
      <c r="P42">
        <f t="shared" si="0"/>
        <v>0.11457600000000001</v>
      </c>
    </row>
    <row r="43" spans="1:16" x14ac:dyDescent="0.3">
      <c r="A43" t="s">
        <v>303</v>
      </c>
      <c r="B43" t="s">
        <v>408</v>
      </c>
      <c r="C43">
        <v>954</v>
      </c>
      <c r="D43"/>
      <c r="E43"/>
      <c r="F43">
        <v>1.8100000000000002E-2</v>
      </c>
      <c r="G43">
        <v>1.9099999999999999E-2</v>
      </c>
      <c r="H43">
        <v>2.0799999999999999E-2</v>
      </c>
      <c r="I43">
        <v>2.2700000000000001E-2</v>
      </c>
      <c r="J43">
        <v>0.47899999999999998</v>
      </c>
      <c r="K43">
        <v>1.8100000000000002E-2</v>
      </c>
      <c r="N43" s="76">
        <v>980</v>
      </c>
      <c r="P43">
        <f t="shared" si="0"/>
        <v>9.5568000000000014E-2</v>
      </c>
    </row>
    <row r="44" spans="1:16" x14ac:dyDescent="0.3">
      <c r="A44" t="s">
        <v>303</v>
      </c>
      <c r="B44" t="s">
        <v>409</v>
      </c>
      <c r="C44">
        <v>1033.5</v>
      </c>
      <c r="D44"/>
      <c r="E44"/>
      <c r="F44">
        <v>1.67E-2</v>
      </c>
      <c r="G44">
        <v>1.77E-2</v>
      </c>
      <c r="H44">
        <v>1.9300000000000001E-2</v>
      </c>
      <c r="I44">
        <v>2.1000000000000001E-2</v>
      </c>
      <c r="J44">
        <v>0.47299999999999998</v>
      </c>
      <c r="K44">
        <v>1.67E-2</v>
      </c>
      <c r="N44" s="76">
        <v>1030</v>
      </c>
      <c r="P44">
        <f t="shared" si="0"/>
        <v>8.8176000000000004E-2</v>
      </c>
    </row>
    <row r="45" spans="1:16" x14ac:dyDescent="0.3">
      <c r="A45" t="s">
        <v>303</v>
      </c>
      <c r="B45" t="s">
        <v>410</v>
      </c>
      <c r="C45">
        <v>1351.5</v>
      </c>
      <c r="D45"/>
      <c r="E45"/>
      <c r="F45">
        <v>1.2800000000000001E-2</v>
      </c>
      <c r="G45">
        <v>1.38E-2</v>
      </c>
      <c r="H45">
        <v>1.5100000000000001E-2</v>
      </c>
      <c r="I45">
        <v>1.6299999999999999E-2</v>
      </c>
      <c r="J45">
        <v>0.45200000000000001</v>
      </c>
      <c r="K45">
        <v>1.2800000000000001E-2</v>
      </c>
      <c r="N45" s="76">
        <v>1210</v>
      </c>
      <c r="P45">
        <f t="shared" si="0"/>
        <v>6.7584000000000005E-2</v>
      </c>
    </row>
    <row r="46" spans="1:16" x14ac:dyDescent="0.3">
      <c r="A46" t="s">
        <v>303</v>
      </c>
      <c r="B46" t="s">
        <v>411</v>
      </c>
      <c r="C46">
        <v>1590</v>
      </c>
      <c r="D46"/>
      <c r="E46"/>
      <c r="F46">
        <v>1.2800000000000001E-2</v>
      </c>
      <c r="G46">
        <v>1.2E-2</v>
      </c>
      <c r="H46">
        <v>1.2999999999999999E-2</v>
      </c>
      <c r="I46">
        <v>1.41E-2</v>
      </c>
      <c r="J46">
        <v>0.439</v>
      </c>
      <c r="K46">
        <v>1.2800000000000001E-2</v>
      </c>
      <c r="N46" s="76">
        <v>1230</v>
      </c>
      <c r="P46">
        <f t="shared" si="0"/>
        <v>6.7584000000000005E-2</v>
      </c>
    </row>
    <row r="47" spans="1:16" x14ac:dyDescent="0.3">
      <c r="A47" t="s">
        <v>303</v>
      </c>
      <c r="B47" t="s">
        <v>412</v>
      </c>
      <c r="C47">
        <v>2000</v>
      </c>
      <c r="D47"/>
      <c r="E47"/>
      <c r="F47">
        <v>8.6499999999999997E-3</v>
      </c>
      <c r="G47">
        <v>9.9399999999999992E-3</v>
      </c>
      <c r="H47">
        <v>1.0699999999999999E-2</v>
      </c>
      <c r="I47">
        <v>1.15E-2</v>
      </c>
      <c r="J47">
        <v>0.42099999999999999</v>
      </c>
      <c r="K47">
        <v>8.6499999999999997E-3</v>
      </c>
      <c r="N47" s="76">
        <v>1520</v>
      </c>
      <c r="P47">
        <f t="shared" si="0"/>
        <v>4.5671999999999997E-2</v>
      </c>
    </row>
    <row r="48" spans="1:16" x14ac:dyDescent="0.3">
      <c r="A48" t="s">
        <v>303</v>
      </c>
      <c r="B48" t="s">
        <v>413</v>
      </c>
      <c r="C48">
        <v>2500</v>
      </c>
      <c r="D48"/>
      <c r="E48"/>
      <c r="F48">
        <v>6.9899999999999997E-3</v>
      </c>
      <c r="G48">
        <v>8.4499999999999992E-3</v>
      </c>
      <c r="H48">
        <v>9.0699999999999999E-3</v>
      </c>
      <c r="I48">
        <v>9.7000000000000003E-3</v>
      </c>
      <c r="J48">
        <v>0.40400000000000003</v>
      </c>
      <c r="K48">
        <v>6.9899999999999997E-3</v>
      </c>
      <c r="N48" s="76">
        <v>1700</v>
      </c>
      <c r="P48">
        <f t="shared" si="0"/>
        <v>3.6907200000000001E-2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TL_data_set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2024-09-11T23:32:47Z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