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smachado\repositories\TL_parameter_computation\src\data\"/>
    </mc:Choice>
  </mc:AlternateContent>
  <xr:revisionPtr revIDLastSave="0" documentId="13_ncr:1_{B5DE6580-740C-4E06-922C-D8341FB6D1F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definedNames>
    <definedName name="_xlnm._FilterDatabase" localSheetId="2" hidden="1">TL_dataset!$A$1:$Q$241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2" i="1" l="1"/>
  <c r="AP2" i="1"/>
  <c r="T2" i="1"/>
  <c r="R2" i="1"/>
  <c r="AA2" i="1"/>
  <c r="Z2" i="1"/>
  <c r="Y2" i="1"/>
  <c r="S2" i="1"/>
  <c r="Q2" i="1"/>
  <c r="P2" i="1"/>
  <c r="O2" i="1"/>
  <c r="V2" i="1"/>
  <c r="AA67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Q5" i="7"/>
  <c r="Y117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39" i="7"/>
  <c r="Y22" i="7"/>
  <c r="Y23" i="7"/>
  <c r="Y24" i="7"/>
  <c r="Y25" i="7"/>
  <c r="Y26" i="7"/>
  <c r="Y27" i="7"/>
  <c r="Y28" i="7"/>
  <c r="Y29" i="7"/>
  <c r="Y30" i="7"/>
  <c r="Y31" i="7"/>
  <c r="Y32" i="7"/>
  <c r="Y34" i="7"/>
  <c r="Y35" i="7"/>
  <c r="Y36" i="7"/>
  <c r="Y37" i="7"/>
  <c r="Y38" i="7"/>
  <c r="Y33" i="7"/>
  <c r="Q69" i="1"/>
  <c r="O68" i="1"/>
  <c r="P68" i="1"/>
  <c r="Q68" i="1"/>
  <c r="R68" i="1"/>
  <c r="S68" i="1"/>
  <c r="T68" i="1"/>
  <c r="U68" i="1"/>
  <c r="Y68" i="1"/>
  <c r="Z68" i="1"/>
  <c r="AA68" i="1"/>
  <c r="O69" i="1"/>
  <c r="P69" i="1"/>
  <c r="R69" i="1"/>
  <c r="S69" i="1"/>
  <c r="T69" i="1"/>
  <c r="U69" i="1"/>
  <c r="Y69" i="1"/>
  <c r="Z69" i="1"/>
  <c r="AA69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P104" i="2"/>
  <c r="P103" i="2"/>
  <c r="P102" i="2"/>
  <c r="P101" i="2"/>
  <c r="P85" i="2"/>
  <c r="P82" i="2"/>
  <c r="P81" i="2"/>
  <c r="P80" i="2"/>
  <c r="P74" i="2"/>
  <c r="P69" i="2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Q162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1" i="7"/>
  <c r="I52" i="7"/>
  <c r="I53" i="7"/>
  <c r="I54" i="7"/>
  <c r="I55" i="7"/>
  <c r="I56" i="7"/>
  <c r="I57" i="7"/>
  <c r="I58" i="7"/>
  <c r="I59" i="7"/>
  <c r="I60" i="7"/>
  <c r="I61" i="7"/>
  <c r="I50" i="7"/>
  <c r="H51" i="7"/>
  <c r="H52" i="7"/>
  <c r="H53" i="7"/>
  <c r="H54" i="7"/>
  <c r="H55" i="7"/>
  <c r="H56" i="7"/>
  <c r="H57" i="7"/>
  <c r="H58" i="7"/>
  <c r="H59" i="7"/>
  <c r="H60" i="7"/>
  <c r="H61" i="7"/>
  <c r="H50" i="7"/>
  <c r="G51" i="7"/>
  <c r="G52" i="7"/>
  <c r="G53" i="7"/>
  <c r="G54" i="7"/>
  <c r="G55" i="7"/>
  <c r="G56" i="7"/>
  <c r="G57" i="7"/>
  <c r="G58" i="7"/>
  <c r="G59" i="7"/>
  <c r="G60" i="7"/>
  <c r="G61" i="7"/>
  <c r="G50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62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201" i="7"/>
  <c r="Q3" i="7"/>
  <c r="Q4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17" i="7"/>
  <c r="Q163" i="7"/>
  <c r="Q164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H23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30" i="7"/>
  <c r="J30" i="7"/>
  <c r="H30" i="7"/>
  <c r="G30" i="7"/>
  <c r="K29" i="7"/>
  <c r="J29" i="7"/>
  <c r="H29" i="7"/>
  <c r="G29" i="7"/>
  <c r="K28" i="7"/>
  <c r="J28" i="7"/>
  <c r="H28" i="7"/>
  <c r="G28" i="7"/>
  <c r="K26" i="7"/>
  <c r="J26" i="7"/>
  <c r="H26" i="7"/>
  <c r="G26" i="7"/>
  <c r="G23" i="7"/>
  <c r="J23" i="7"/>
  <c r="K23" i="7"/>
  <c r="F23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4" i="1"/>
  <c r="AY14" i="1"/>
  <c r="AG14" i="1"/>
  <c r="AE14" i="1"/>
  <c r="AY13" i="1"/>
  <c r="BA13" i="1"/>
  <c r="AT13" i="1"/>
  <c r="T13" i="1" s="1"/>
  <c r="AP13" i="1"/>
  <c r="R13" i="1"/>
  <c r="AG13" i="1"/>
  <c r="AE13" i="1"/>
  <c r="AA13" i="1"/>
  <c r="Z13" i="1"/>
  <c r="Y13" i="1"/>
  <c r="U13" i="1"/>
  <c r="S13" i="1"/>
  <c r="Q13" i="1"/>
  <c r="P13" i="1"/>
  <c r="O13" i="1"/>
  <c r="K13" i="1"/>
  <c r="L13" i="1" s="1"/>
  <c r="T14" i="1"/>
  <c r="R14" i="1"/>
  <c r="AA14" i="1"/>
  <c r="Z14" i="1"/>
  <c r="Y14" i="1"/>
  <c r="U14" i="1"/>
  <c r="S14" i="1"/>
  <c r="Q14" i="1"/>
  <c r="P14" i="1"/>
  <c r="O14" i="1"/>
  <c r="K14" i="1"/>
  <c r="X14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9" i="1"/>
  <c r="V69" i="1" s="1"/>
  <c r="K68" i="1"/>
  <c r="L68" i="1" s="1"/>
  <c r="AA65" i="1"/>
  <c r="Z65" i="1"/>
  <c r="Y65" i="1"/>
  <c r="U65" i="1"/>
  <c r="T65" i="1"/>
  <c r="S65" i="1"/>
  <c r="R65" i="1"/>
  <c r="Q65" i="1"/>
  <c r="P65" i="1"/>
  <c r="O65" i="1"/>
  <c r="K65" i="1"/>
  <c r="AG65" i="1" s="1"/>
  <c r="N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C63" i="1"/>
  <c r="AA63" i="1"/>
  <c r="Z63" i="1"/>
  <c r="Y63" i="1"/>
  <c r="U63" i="1"/>
  <c r="T63" i="1"/>
  <c r="S63" i="1"/>
  <c r="R63" i="1"/>
  <c r="Q63" i="1"/>
  <c r="P63" i="1"/>
  <c r="O63" i="1"/>
  <c r="K63" i="1"/>
  <c r="N63" i="1" s="1"/>
  <c r="AP62" i="1"/>
  <c r="R62" i="1" s="1"/>
  <c r="AE62" i="1"/>
  <c r="M62" i="1" s="1"/>
  <c r="AA62" i="1"/>
  <c r="Z62" i="1"/>
  <c r="Y62" i="1"/>
  <c r="U62" i="1"/>
  <c r="T62" i="1"/>
  <c r="S62" i="1"/>
  <c r="Q62" i="1"/>
  <c r="P62" i="1"/>
  <c r="O62" i="1"/>
  <c r="K62" i="1"/>
  <c r="W62" i="1" s="1"/>
  <c r="AP61" i="1"/>
  <c r="R61" i="1" s="1"/>
  <c r="AA61" i="1"/>
  <c r="Z61" i="1"/>
  <c r="Y61" i="1"/>
  <c r="U61" i="1"/>
  <c r="T61" i="1"/>
  <c r="S61" i="1"/>
  <c r="Q61" i="1"/>
  <c r="P61" i="1"/>
  <c r="O61" i="1"/>
  <c r="K61" i="1"/>
  <c r="V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AG60" i="1" s="1"/>
  <c r="N60" i="1" s="1"/>
  <c r="AT59" i="1"/>
  <c r="T59" i="1" s="1"/>
  <c r="AP59" i="1"/>
  <c r="R59" i="1" s="1"/>
  <c r="AA59" i="1"/>
  <c r="Z59" i="1"/>
  <c r="Y59" i="1"/>
  <c r="U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K56" i="1"/>
  <c r="P56" i="1" s="1"/>
  <c r="AA56" i="1"/>
  <c r="Z56" i="1"/>
  <c r="Y56" i="1"/>
  <c r="U56" i="1"/>
  <c r="S56" i="1"/>
  <c r="Q56" i="1"/>
  <c r="O56" i="1"/>
  <c r="K56" i="1"/>
  <c r="AY56" i="1" s="1"/>
  <c r="V56" i="1" s="1"/>
  <c r="AT55" i="1"/>
  <c r="T55" i="1" s="1"/>
  <c r="AP55" i="1"/>
  <c r="R55" i="1" s="1"/>
  <c r="AA55" i="1"/>
  <c r="Z55" i="1"/>
  <c r="Y55" i="1"/>
  <c r="U55" i="1"/>
  <c r="S55" i="1"/>
  <c r="Q55" i="1"/>
  <c r="P55" i="1"/>
  <c r="O55" i="1"/>
  <c r="K55" i="1"/>
  <c r="V55" i="1" s="1"/>
  <c r="AG54" i="1"/>
  <c r="AF54" i="1"/>
  <c r="AE54" i="1"/>
  <c r="AC54" i="1"/>
  <c r="AA54" i="1"/>
  <c r="Z54" i="1"/>
  <c r="Y54" i="1"/>
  <c r="U54" i="1"/>
  <c r="T54" i="1"/>
  <c r="S54" i="1"/>
  <c r="R54" i="1"/>
  <c r="Q54" i="1"/>
  <c r="P54" i="1"/>
  <c r="O54" i="1"/>
  <c r="K54" i="1"/>
  <c r="W54" i="1" s="1"/>
  <c r="AP53" i="1"/>
  <c r="R53" i="1" s="1"/>
  <c r="AG53" i="1"/>
  <c r="AE53" i="1"/>
  <c r="AA53" i="1"/>
  <c r="Z53" i="1"/>
  <c r="Y53" i="1"/>
  <c r="U53" i="1"/>
  <c r="T53" i="1"/>
  <c r="S53" i="1"/>
  <c r="Q53" i="1"/>
  <c r="P53" i="1"/>
  <c r="O53" i="1"/>
  <c r="K53" i="1"/>
  <c r="L53" i="1" s="1"/>
  <c r="AP52" i="1"/>
  <c r="R52" i="1" s="1"/>
  <c r="AA52" i="1"/>
  <c r="Z52" i="1"/>
  <c r="Y52" i="1"/>
  <c r="U52" i="1"/>
  <c r="T52" i="1"/>
  <c r="S52" i="1"/>
  <c r="Q52" i="1"/>
  <c r="P52" i="1"/>
  <c r="O52" i="1"/>
  <c r="K52" i="1"/>
  <c r="X52" i="1" s="1"/>
  <c r="BI51" i="1"/>
  <c r="AA51" i="1" s="1"/>
  <c r="AY51" i="1"/>
  <c r="AP51" i="1"/>
  <c r="R51" i="1" s="1"/>
  <c r="AK51" i="1"/>
  <c r="P51" i="1" s="1"/>
  <c r="AC51" i="1"/>
  <c r="Z51" i="1"/>
  <c r="Y51" i="1"/>
  <c r="U51" i="1"/>
  <c r="T51" i="1"/>
  <c r="S51" i="1"/>
  <c r="Q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A49" i="1"/>
  <c r="AY49" i="1"/>
  <c r="AP49" i="1"/>
  <c r="R49" i="1" s="1"/>
  <c r="AG49" i="1"/>
  <c r="AE49" i="1"/>
  <c r="AA49" i="1"/>
  <c r="Z49" i="1"/>
  <c r="Y49" i="1"/>
  <c r="U49" i="1"/>
  <c r="T49" i="1"/>
  <c r="S49" i="1"/>
  <c r="Q49" i="1"/>
  <c r="P49" i="1"/>
  <c r="O49" i="1"/>
  <c r="K49" i="1"/>
  <c r="X49" i="1" s="1"/>
  <c r="AP48" i="1"/>
  <c r="R48" i="1" s="1"/>
  <c r="AA48" i="1"/>
  <c r="Z48" i="1"/>
  <c r="Y48" i="1"/>
  <c r="U48" i="1"/>
  <c r="T48" i="1"/>
  <c r="S48" i="1"/>
  <c r="Q48" i="1"/>
  <c r="P48" i="1"/>
  <c r="O48" i="1"/>
  <c r="K48" i="1"/>
  <c r="W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N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L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N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M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W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AC42" i="1" s="1"/>
  <c r="L42" i="1" s="1"/>
  <c r="AC41" i="1"/>
  <c r="AA41" i="1"/>
  <c r="Z41" i="1"/>
  <c r="Y41" i="1"/>
  <c r="U41" i="1"/>
  <c r="T41" i="1"/>
  <c r="S41" i="1"/>
  <c r="R41" i="1"/>
  <c r="Q41" i="1"/>
  <c r="P41" i="1"/>
  <c r="O41" i="1"/>
  <c r="K41" i="1"/>
  <c r="N41" i="1" s="1"/>
  <c r="AP40" i="1"/>
  <c r="R40" i="1" s="1"/>
  <c r="AC40" i="1"/>
  <c r="AA40" i="1"/>
  <c r="Z40" i="1"/>
  <c r="Y40" i="1"/>
  <c r="U40" i="1"/>
  <c r="T40" i="1"/>
  <c r="S40" i="1"/>
  <c r="Q40" i="1"/>
  <c r="P40" i="1"/>
  <c r="O40" i="1"/>
  <c r="K40" i="1"/>
  <c r="M40" i="1" s="1"/>
  <c r="AQ39" i="1"/>
  <c r="AP39" i="1"/>
  <c r="AC39" i="1"/>
  <c r="AA39" i="1"/>
  <c r="Z39" i="1"/>
  <c r="Y39" i="1"/>
  <c r="U39" i="1"/>
  <c r="T39" i="1"/>
  <c r="S39" i="1"/>
  <c r="Q39" i="1"/>
  <c r="P39" i="1"/>
  <c r="O39" i="1"/>
  <c r="K39" i="1"/>
  <c r="N39" i="1" s="1"/>
  <c r="AP38" i="1"/>
  <c r="R38" i="1" s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U36" i="1"/>
  <c r="AT36" i="1"/>
  <c r="AQ36" i="1"/>
  <c r="AP36" i="1"/>
  <c r="AD36" i="1"/>
  <c r="AC36" i="1"/>
  <c r="AA36" i="1"/>
  <c r="Z36" i="1"/>
  <c r="Y36" i="1"/>
  <c r="U36" i="1"/>
  <c r="S36" i="1"/>
  <c r="Q36" i="1"/>
  <c r="P36" i="1"/>
  <c r="O36" i="1"/>
  <c r="K36" i="1"/>
  <c r="M36" i="1" s="1"/>
  <c r="BI35" i="1"/>
  <c r="AA35" i="1" s="1"/>
  <c r="AT35" i="1"/>
  <c r="T35" i="1" s="1"/>
  <c r="AP35" i="1"/>
  <c r="R35" i="1" s="1"/>
  <c r="AK35" i="1"/>
  <c r="P35" i="1" s="1"/>
  <c r="Z35" i="1"/>
  <c r="Y35" i="1"/>
  <c r="U35" i="1"/>
  <c r="S35" i="1"/>
  <c r="Q35" i="1"/>
  <c r="O35" i="1"/>
  <c r="K35" i="1"/>
  <c r="BC35" i="1" s="1"/>
  <c r="X35" i="1" s="1"/>
  <c r="AP34" i="1"/>
  <c r="R34" i="1" s="1"/>
  <c r="AA34" i="1"/>
  <c r="Z34" i="1"/>
  <c r="Y34" i="1"/>
  <c r="U34" i="1"/>
  <c r="T34" i="1"/>
  <c r="S34" i="1"/>
  <c r="Q34" i="1"/>
  <c r="P34" i="1"/>
  <c r="O34" i="1"/>
  <c r="K34" i="1"/>
  <c r="N34" i="1" s="1"/>
  <c r="AT33" i="1"/>
  <c r="T33" i="1" s="1"/>
  <c r="AP33" i="1"/>
  <c r="R33" i="1" s="1"/>
  <c r="AA33" i="1"/>
  <c r="Z33" i="1"/>
  <c r="Y33" i="1"/>
  <c r="U33" i="1"/>
  <c r="S33" i="1"/>
  <c r="Q33" i="1"/>
  <c r="P33" i="1"/>
  <c r="O33" i="1"/>
  <c r="K33" i="1"/>
  <c r="M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W32" i="1" s="1"/>
  <c r="AQ31" i="1"/>
  <c r="AP31" i="1"/>
  <c r="AI31" i="1"/>
  <c r="O31" i="1" s="1"/>
  <c r="AF31" i="1"/>
  <c r="AE31" i="1"/>
  <c r="AA31" i="1"/>
  <c r="Z31" i="1"/>
  <c r="Y31" i="1"/>
  <c r="U31" i="1"/>
  <c r="T31" i="1"/>
  <c r="S31" i="1"/>
  <c r="Q31" i="1"/>
  <c r="P31" i="1"/>
  <c r="K31" i="1"/>
  <c r="W31" i="1" s="1"/>
  <c r="AQ30" i="1"/>
  <c r="AP30" i="1"/>
  <c r="AJ30" i="1"/>
  <c r="AI30" i="1"/>
  <c r="AF30" i="1"/>
  <c r="AE30" i="1"/>
  <c r="AA30" i="1"/>
  <c r="Z30" i="1"/>
  <c r="Y30" i="1"/>
  <c r="U30" i="1"/>
  <c r="T30" i="1"/>
  <c r="S30" i="1"/>
  <c r="Q30" i="1"/>
  <c r="P30" i="1"/>
  <c r="K30" i="1"/>
  <c r="X30" i="1" s="1"/>
  <c r="AP29" i="1"/>
  <c r="R29" i="1" s="1"/>
  <c r="AA29" i="1"/>
  <c r="Z29" i="1"/>
  <c r="Y29" i="1"/>
  <c r="U29" i="1"/>
  <c r="T29" i="1"/>
  <c r="S29" i="1"/>
  <c r="Q29" i="1"/>
  <c r="P29" i="1"/>
  <c r="O29" i="1"/>
  <c r="K29" i="1"/>
  <c r="W29" i="1" s="1"/>
  <c r="AQ28" i="1"/>
  <c r="AP28" i="1"/>
  <c r="AA28" i="1"/>
  <c r="Z28" i="1"/>
  <c r="Y28" i="1"/>
  <c r="U28" i="1"/>
  <c r="T28" i="1"/>
  <c r="S28" i="1"/>
  <c r="Q28" i="1"/>
  <c r="P28" i="1"/>
  <c r="O28" i="1"/>
  <c r="K28" i="1"/>
  <c r="N28" i="1" s="1"/>
  <c r="AA27" i="1"/>
  <c r="Z27" i="1"/>
  <c r="Y27" i="1"/>
  <c r="U27" i="1"/>
  <c r="T27" i="1"/>
  <c r="S27" i="1"/>
  <c r="R27" i="1"/>
  <c r="Q27" i="1"/>
  <c r="P27" i="1"/>
  <c r="O27" i="1"/>
  <c r="K27" i="1"/>
  <c r="L27" i="1" s="1"/>
  <c r="AS26" i="1"/>
  <c r="AR26" i="1"/>
  <c r="AP26" i="1"/>
  <c r="R26" i="1" s="1"/>
  <c r="AI26" i="1"/>
  <c r="O26" i="1" s="1"/>
  <c r="AA26" i="1"/>
  <c r="Z26" i="1"/>
  <c r="Y26" i="1"/>
  <c r="U26" i="1"/>
  <c r="T26" i="1"/>
  <c r="Q26" i="1"/>
  <c r="P26" i="1"/>
  <c r="K26" i="1"/>
  <c r="N26" i="1" s="1"/>
  <c r="BI25" i="1"/>
  <c r="AA25" i="1" s="1"/>
  <c r="BG25" i="1"/>
  <c r="Z25" i="1" s="1"/>
  <c r="AY25" i="1"/>
  <c r="AK25" i="1"/>
  <c r="P25" i="1" s="1"/>
  <c r="AC25" i="1"/>
  <c r="Y25" i="1"/>
  <c r="U25" i="1"/>
  <c r="T25" i="1"/>
  <c r="S25" i="1"/>
  <c r="R25" i="1"/>
  <c r="Q25" i="1"/>
  <c r="O25" i="1"/>
  <c r="K25" i="1"/>
  <c r="N25" i="1" s="1"/>
  <c r="BI24" i="1"/>
  <c r="AA24" i="1" s="1"/>
  <c r="AY24" i="1"/>
  <c r="AP24" i="1"/>
  <c r="R24" i="1" s="1"/>
  <c r="AK24" i="1"/>
  <c r="P24" i="1" s="1"/>
  <c r="AC24" i="1"/>
  <c r="Z24" i="1"/>
  <c r="Y24" i="1"/>
  <c r="U24" i="1"/>
  <c r="T24" i="1"/>
  <c r="S24" i="1"/>
  <c r="Q24" i="1"/>
  <c r="O24" i="1"/>
  <c r="K24" i="1"/>
  <c r="N24" i="1" s="1"/>
  <c r="BA23" i="1"/>
  <c r="AZ23" i="1"/>
  <c r="AY23" i="1"/>
  <c r="AQ23" i="1"/>
  <c r="AP23" i="1"/>
  <c r="AH23" i="1"/>
  <c r="AG23" i="1"/>
  <c r="AE23" i="1"/>
  <c r="AA23" i="1"/>
  <c r="Z23" i="1"/>
  <c r="Y23" i="1"/>
  <c r="U23" i="1"/>
  <c r="T23" i="1"/>
  <c r="S23" i="1"/>
  <c r="Q23" i="1"/>
  <c r="P23" i="1"/>
  <c r="O23" i="1"/>
  <c r="K23" i="1"/>
  <c r="X23" i="1" s="1"/>
  <c r="AA22" i="1"/>
  <c r="Z22" i="1"/>
  <c r="Y22" i="1"/>
  <c r="U22" i="1"/>
  <c r="T22" i="1"/>
  <c r="S22" i="1"/>
  <c r="R22" i="1"/>
  <c r="Q22" i="1"/>
  <c r="P22" i="1"/>
  <c r="O22" i="1"/>
  <c r="K22" i="1"/>
  <c r="AC22" i="1" s="1"/>
  <c r="L22" i="1" s="1"/>
  <c r="BA21" i="1"/>
  <c r="AY21" i="1"/>
  <c r="AT21" i="1"/>
  <c r="T21" i="1" s="1"/>
  <c r="AP21" i="1"/>
  <c r="R21" i="1" s="1"/>
  <c r="AG21" i="1"/>
  <c r="AE21" i="1"/>
  <c r="AA21" i="1"/>
  <c r="Z21" i="1"/>
  <c r="Y21" i="1"/>
  <c r="U21" i="1"/>
  <c r="S21" i="1"/>
  <c r="Q21" i="1"/>
  <c r="P21" i="1"/>
  <c r="O21" i="1"/>
  <c r="K21" i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C19" i="1"/>
  <c r="BA19" i="1"/>
  <c r="AY19" i="1"/>
  <c r="AG19" i="1"/>
  <c r="AE19" i="1"/>
  <c r="AC19" i="1"/>
  <c r="AA19" i="1"/>
  <c r="Z19" i="1"/>
  <c r="Y19" i="1"/>
  <c r="U19" i="1"/>
  <c r="T19" i="1"/>
  <c r="S19" i="1"/>
  <c r="R19" i="1"/>
  <c r="Q19" i="1"/>
  <c r="P19" i="1"/>
  <c r="O19" i="1"/>
  <c r="K19" i="1"/>
  <c r="AP18" i="1"/>
  <c r="R18" i="1" s="1"/>
  <c r="AG18" i="1"/>
  <c r="AE18" i="1"/>
  <c r="AA18" i="1"/>
  <c r="Z18" i="1"/>
  <c r="Y18" i="1"/>
  <c r="U18" i="1"/>
  <c r="T18" i="1"/>
  <c r="S18" i="1"/>
  <c r="Q18" i="1"/>
  <c r="P18" i="1"/>
  <c r="O18" i="1"/>
  <c r="K18" i="1"/>
  <c r="BG17" i="1"/>
  <c r="Z17" i="1" s="1"/>
  <c r="BE17" i="1"/>
  <c r="Y17" i="1" s="1"/>
  <c r="AY17" i="1"/>
  <c r="AV17" i="1"/>
  <c r="U17" i="1" s="1"/>
  <c r="AT17" i="1"/>
  <c r="T17" i="1" s="1"/>
  <c r="AR17" i="1"/>
  <c r="S17" i="1" s="1"/>
  <c r="AP17" i="1"/>
  <c r="R17" i="1" s="1"/>
  <c r="AI17" i="1"/>
  <c r="AM17" i="1" s="1"/>
  <c r="Q17" i="1" s="1"/>
  <c r="AC17" i="1"/>
  <c r="AA17" i="1"/>
  <c r="K17" i="1"/>
  <c r="M17" i="1" s="1"/>
  <c r="BJ16" i="1"/>
  <c r="BI16" i="1"/>
  <c r="AY16" i="1"/>
  <c r="AT16" i="1"/>
  <c r="T16" i="1" s="1"/>
  <c r="AP16" i="1"/>
  <c r="R16" i="1" s="1"/>
  <c r="AL16" i="1"/>
  <c r="AK16" i="1"/>
  <c r="AC16" i="1"/>
  <c r="Z16" i="1"/>
  <c r="Y16" i="1"/>
  <c r="U16" i="1"/>
  <c r="S16" i="1"/>
  <c r="Q16" i="1"/>
  <c r="O16" i="1"/>
  <c r="K16" i="1"/>
  <c r="M16" i="1" s="1"/>
  <c r="BI15" i="1"/>
  <c r="AA15" i="1" s="1"/>
  <c r="AY15" i="1"/>
  <c r="AT15" i="1"/>
  <c r="T15" i="1" s="1"/>
  <c r="AP15" i="1"/>
  <c r="R15" i="1" s="1"/>
  <c r="AK15" i="1"/>
  <c r="P15" i="1" s="1"/>
  <c r="AC15" i="1"/>
  <c r="Z15" i="1"/>
  <c r="Y15" i="1"/>
  <c r="U15" i="1"/>
  <c r="S15" i="1"/>
  <c r="Q15" i="1"/>
  <c r="O15" i="1"/>
  <c r="K15" i="1"/>
  <c r="M15" i="1" s="1"/>
  <c r="BA12" i="1"/>
  <c r="AY12" i="1"/>
  <c r="AT12" i="1"/>
  <c r="T12" i="1" s="1"/>
  <c r="AP12" i="1"/>
  <c r="R12" i="1" s="1"/>
  <c r="AG12" i="1"/>
  <c r="AE12" i="1"/>
  <c r="AA12" i="1"/>
  <c r="Z12" i="1"/>
  <c r="Y12" i="1"/>
  <c r="U12" i="1"/>
  <c r="S12" i="1"/>
  <c r="Q12" i="1"/>
  <c r="P12" i="1"/>
  <c r="O12" i="1"/>
  <c r="K12" i="1"/>
  <c r="L12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C10" i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D8" i="1"/>
  <c r="BC8" i="1"/>
  <c r="BB8" i="1"/>
  <c r="BA8" i="1"/>
  <c r="AZ8" i="1"/>
  <c r="AY8" i="1"/>
  <c r="AU8" i="1"/>
  <c r="AT8" i="1"/>
  <c r="AQ8" i="1"/>
  <c r="AP8" i="1"/>
  <c r="AA8" i="1"/>
  <c r="Z8" i="1"/>
  <c r="Y8" i="1"/>
  <c r="U8" i="1"/>
  <c r="S8" i="1"/>
  <c r="Q8" i="1"/>
  <c r="P8" i="1"/>
  <c r="O8" i="1"/>
  <c r="K8" i="1"/>
  <c r="N8" i="1" s="1"/>
  <c r="AV7" i="1"/>
  <c r="U7" i="1" s="1"/>
  <c r="AT7" i="1"/>
  <c r="T7" i="1" s="1"/>
  <c r="AR7" i="1"/>
  <c r="S7" i="1" s="1"/>
  <c r="AP7" i="1"/>
  <c r="R7" i="1" s="1"/>
  <c r="AA7" i="1"/>
  <c r="Z7" i="1"/>
  <c r="Y7" i="1"/>
  <c r="Q7" i="1"/>
  <c r="P7" i="1"/>
  <c r="O7" i="1"/>
  <c r="K7" i="1"/>
  <c r="M7" i="1" s="1"/>
  <c r="AT6" i="1"/>
  <c r="T6" i="1" s="1"/>
  <c r="AP6" i="1"/>
  <c r="R6" i="1" s="1"/>
  <c r="AA6" i="1"/>
  <c r="Z6" i="1"/>
  <c r="Y6" i="1"/>
  <c r="U6" i="1"/>
  <c r="S6" i="1"/>
  <c r="Q6" i="1"/>
  <c r="P6" i="1"/>
  <c r="O6" i="1"/>
  <c r="K6" i="1"/>
  <c r="W6" i="1" s="1"/>
  <c r="AA5" i="1"/>
  <c r="Z5" i="1"/>
  <c r="Y5" i="1"/>
  <c r="U5" i="1"/>
  <c r="T5" i="1"/>
  <c r="S5" i="1"/>
  <c r="R5" i="1"/>
  <c r="Q5" i="1"/>
  <c r="P5" i="1"/>
  <c r="O5" i="1"/>
  <c r="K5" i="1"/>
  <c r="N5" i="1" s="1"/>
  <c r="AT4" i="1"/>
  <c r="T4" i="1" s="1"/>
  <c r="AP4" i="1"/>
  <c r="R4" i="1" s="1"/>
  <c r="AA4" i="1"/>
  <c r="Z4" i="1"/>
  <c r="Y4" i="1"/>
  <c r="U4" i="1"/>
  <c r="S4" i="1"/>
  <c r="Q4" i="1"/>
  <c r="P4" i="1"/>
  <c r="O4" i="1"/>
  <c r="K4" i="1"/>
  <c r="L4" i="1" s="1"/>
  <c r="AW3" i="1"/>
  <c r="AV3" i="1"/>
  <c r="AT3" i="1"/>
  <c r="T3" i="1" s="1"/>
  <c r="AS3" i="1"/>
  <c r="AR3" i="1"/>
  <c r="AP3" i="1"/>
  <c r="R3" i="1" s="1"/>
  <c r="AA3" i="1"/>
  <c r="Z3" i="1"/>
  <c r="Y3" i="1"/>
  <c r="Q3" i="1"/>
  <c r="P3" i="1"/>
  <c r="O3" i="1"/>
  <c r="K3" i="1"/>
  <c r="L3" i="1" s="1"/>
  <c r="U2" i="1" l="1"/>
  <c r="L2" i="1"/>
  <c r="M2" i="1"/>
  <c r="N2" i="1"/>
  <c r="W2" i="1"/>
  <c r="X2" i="1"/>
  <c r="R8" i="1"/>
  <c r="W13" i="1"/>
  <c r="R36" i="1"/>
  <c r="S3" i="1"/>
  <c r="W49" i="1"/>
  <c r="N69" i="1"/>
  <c r="M69" i="1"/>
  <c r="L69" i="1"/>
  <c r="X68" i="1"/>
  <c r="W68" i="1"/>
  <c r="V68" i="1"/>
  <c r="X69" i="1"/>
  <c r="W69" i="1"/>
  <c r="X62" i="1"/>
  <c r="N68" i="1"/>
  <c r="M68" i="1"/>
  <c r="V49" i="1"/>
  <c r="AC62" i="1"/>
  <c r="L62" i="1" s="1"/>
  <c r="AN202" i="2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5" i="1"/>
  <c r="X13" i="1"/>
  <c r="L25" i="1"/>
  <c r="X60" i="1"/>
  <c r="V25" i="1"/>
  <c r="M13" i="1"/>
  <c r="AE60" i="1"/>
  <c r="M60" i="1" s="1"/>
  <c r="N13" i="1"/>
  <c r="AG62" i="1"/>
  <c r="N62" i="1" s="1"/>
  <c r="V16" i="1"/>
  <c r="V11" i="1"/>
  <c r="U3" i="1"/>
  <c r="W11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3" i="1"/>
  <c r="V65" i="1"/>
  <c r="W24" i="1"/>
  <c r="X10" i="1"/>
  <c r="X24" i="1"/>
  <c r="N10" i="1"/>
  <c r="V21" i="1"/>
  <c r="W21" i="1"/>
  <c r="V24" i="1"/>
  <c r="V10" i="1"/>
  <c r="R23" i="1"/>
  <c r="T8" i="1"/>
  <c r="O30" i="1"/>
  <c r="W10" i="1"/>
  <c r="V4" i="1"/>
  <c r="V48" i="1"/>
  <c r="V36" i="1"/>
  <c r="W4" i="1"/>
  <c r="X4" i="1"/>
  <c r="X48" i="1"/>
  <c r="M14" i="1"/>
  <c r="N3" i="1"/>
  <c r="V6" i="1"/>
  <c r="L15" i="1"/>
  <c r="V3" i="1"/>
  <c r="X6" i="1"/>
  <c r="N19" i="1"/>
  <c r="W3" i="1"/>
  <c r="X3" i="1"/>
  <c r="W55" i="1"/>
  <c r="V15" i="1"/>
  <c r="AC35" i="1"/>
  <c r="L35" i="1" s="1"/>
  <c r="X55" i="1"/>
  <c r="AE35" i="1"/>
  <c r="M35" i="1" s="1"/>
  <c r="T36" i="1"/>
  <c r="V50" i="1"/>
  <c r="N48" i="1"/>
  <c r="N14" i="1"/>
  <c r="X11" i="1"/>
  <c r="BA35" i="1"/>
  <c r="W35" i="1" s="1"/>
  <c r="W46" i="1"/>
  <c r="M49" i="1"/>
  <c r="X54" i="1"/>
  <c r="AA16" i="1"/>
  <c r="M12" i="1"/>
  <c r="V54" i="1"/>
  <c r="AY35" i="1"/>
  <c r="V35" i="1" s="1"/>
  <c r="V12" i="1"/>
  <c r="R30" i="1"/>
  <c r="X46" i="1"/>
  <c r="N49" i="1"/>
  <c r="V14" i="1"/>
  <c r="N43" i="1"/>
  <c r="M38" i="1"/>
  <c r="AG35" i="1"/>
  <c r="N35" i="1" s="1"/>
  <c r="M48" i="1"/>
  <c r="M30" i="1"/>
  <c r="N12" i="1"/>
  <c r="W12" i="1"/>
  <c r="W14" i="1"/>
  <c r="L29" i="1"/>
  <c r="N51" i="1"/>
  <c r="M29" i="1"/>
  <c r="L36" i="1"/>
  <c r="L14" i="1"/>
  <c r="V59" i="1"/>
  <c r="N42" i="1"/>
  <c r="W51" i="1"/>
  <c r="W59" i="1"/>
  <c r="V45" i="1"/>
  <c r="V26" i="1"/>
  <c r="W16" i="1"/>
  <c r="W26" i="1"/>
  <c r="V34" i="1"/>
  <c r="AC59" i="1"/>
  <c r="L59" i="1" s="1"/>
  <c r="X16" i="1"/>
  <c r="X26" i="1"/>
  <c r="L33" i="1"/>
  <c r="W34" i="1"/>
  <c r="V51" i="1"/>
  <c r="N54" i="1"/>
  <c r="V58" i="1"/>
  <c r="AE59" i="1"/>
  <c r="M59" i="1" s="1"/>
  <c r="M4" i="1"/>
  <c r="N33" i="1"/>
  <c r="X34" i="1"/>
  <c r="L40" i="1"/>
  <c r="V42" i="1"/>
  <c r="W50" i="1"/>
  <c r="W58" i="1"/>
  <c r="N4" i="1"/>
  <c r="X42" i="1"/>
  <c r="M46" i="1"/>
  <c r="X58" i="1"/>
  <c r="W15" i="1"/>
  <c r="W25" i="1"/>
  <c r="X15" i="1"/>
  <c r="P16" i="1"/>
  <c r="X25" i="1"/>
  <c r="M31" i="1"/>
  <c r="V39" i="1"/>
  <c r="L50" i="1"/>
  <c r="L26" i="1"/>
  <c r="V43" i="1"/>
  <c r="N15" i="1"/>
  <c r="X59" i="1"/>
  <c r="M20" i="1"/>
  <c r="V29" i="1"/>
  <c r="X29" i="1"/>
  <c r="L51" i="1"/>
  <c r="V17" i="1"/>
  <c r="X12" i="1"/>
  <c r="W39" i="1"/>
  <c r="M45" i="1"/>
  <c r="AK17" i="1"/>
  <c r="P17" i="1" s="1"/>
  <c r="M26" i="1"/>
  <c r="X43" i="1"/>
  <c r="S26" i="1"/>
  <c r="X39" i="1"/>
  <c r="AE58" i="1"/>
  <c r="M58" i="1" s="1"/>
  <c r="R28" i="1"/>
  <c r="R31" i="1"/>
  <c r="M27" i="1"/>
  <c r="M5" i="1"/>
  <c r="W9" i="1"/>
  <c r="N27" i="1"/>
  <c r="L30" i="1"/>
  <c r="M32" i="1"/>
  <c r="L52" i="1"/>
  <c r="X9" i="1"/>
  <c r="L24" i="1"/>
  <c r="N18" i="1"/>
  <c r="V20" i="1"/>
  <c r="M23" i="1"/>
  <c r="N30" i="1"/>
  <c r="N36" i="1"/>
  <c r="V38" i="1"/>
  <c r="L39" i="1"/>
  <c r="X45" i="1"/>
  <c r="N52" i="1"/>
  <c r="V53" i="1"/>
  <c r="V57" i="1"/>
  <c r="W61" i="1"/>
  <c r="M3" i="1"/>
  <c r="M11" i="1"/>
  <c r="W20" i="1"/>
  <c r="N23" i="1"/>
  <c r="V33" i="1"/>
  <c r="W38" i="1"/>
  <c r="R39" i="1"/>
  <c r="M43" i="1"/>
  <c r="M51" i="1"/>
  <c r="W53" i="1"/>
  <c r="L54" i="1"/>
  <c r="W57" i="1"/>
  <c r="AC58" i="1"/>
  <c r="L58" i="1" s="1"/>
  <c r="X61" i="1"/>
  <c r="L31" i="1"/>
  <c r="M37" i="1"/>
  <c r="W45" i="1"/>
  <c r="M52" i="1"/>
  <c r="M10" i="1"/>
  <c r="N11" i="1"/>
  <c r="M21" i="1"/>
  <c r="W33" i="1"/>
  <c r="X38" i="1"/>
  <c r="X53" i="1"/>
  <c r="M54" i="1"/>
  <c r="X57" i="1"/>
  <c r="N17" i="1"/>
  <c r="V23" i="1"/>
  <c r="M25" i="1"/>
  <c r="N29" i="1"/>
  <c r="W44" i="1"/>
  <c r="L49" i="1"/>
  <c r="N50" i="1"/>
  <c r="L44" i="1"/>
  <c r="L32" i="1"/>
  <c r="M9" i="1"/>
  <c r="M19" i="1"/>
  <c r="N9" i="1"/>
  <c r="L16" i="1"/>
  <c r="V44" i="1"/>
  <c r="M50" i="1"/>
  <c r="V5" i="1"/>
  <c r="N16" i="1"/>
  <c r="O17" i="1"/>
  <c r="W19" i="1"/>
  <c r="AE22" i="1"/>
  <c r="M22" i="1" s="1"/>
  <c r="V27" i="1"/>
  <c r="V32" i="1"/>
  <c r="V37" i="1"/>
  <c r="L38" i="1"/>
  <c r="X44" i="1"/>
  <c r="M53" i="1"/>
  <c r="AC57" i="1"/>
  <c r="L57" i="1" s="1"/>
  <c r="V60" i="1"/>
  <c r="W5" i="1"/>
  <c r="X7" i="1"/>
  <c r="V8" i="1"/>
  <c r="V9" i="1"/>
  <c r="X19" i="1"/>
  <c r="AG22" i="1"/>
  <c r="N22" i="1" s="1"/>
  <c r="W23" i="1"/>
  <c r="W27" i="1"/>
  <c r="X32" i="1"/>
  <c r="W37" i="1"/>
  <c r="M42" i="1"/>
  <c r="N46" i="1"/>
  <c r="N53" i="1"/>
  <c r="AC56" i="1"/>
  <c r="L56" i="1" s="1"/>
  <c r="AE57" i="1"/>
  <c r="M57" i="1" s="1"/>
  <c r="W60" i="1"/>
  <c r="L8" i="1"/>
  <c r="X33" i="1"/>
  <c r="N20" i="1"/>
  <c r="X27" i="1"/>
  <c r="V31" i="1"/>
  <c r="V52" i="1"/>
  <c r="AE56" i="1"/>
  <c r="M56" i="1" s="1"/>
  <c r="W8" i="1"/>
  <c r="BA22" i="1"/>
  <c r="W22" i="1" s="1"/>
  <c r="M24" i="1"/>
  <c r="W30" i="1"/>
  <c r="X31" i="1"/>
  <c r="W36" i="1"/>
  <c r="M39" i="1"/>
  <c r="W52" i="1"/>
  <c r="AG56" i="1"/>
  <c r="N56" i="1" s="1"/>
  <c r="X5" i="1"/>
  <c r="AY22" i="1"/>
  <c r="V22" i="1" s="1"/>
  <c r="V30" i="1"/>
  <c r="X37" i="1"/>
  <c r="BC22" i="1"/>
  <c r="X22" i="1" s="1"/>
  <c r="X36" i="1"/>
  <c r="X40" i="1"/>
  <c r="L48" i="1"/>
  <c r="L63" i="1"/>
  <c r="N44" i="1"/>
  <c r="X8" i="1"/>
  <c r="L23" i="1"/>
  <c r="L37" i="1"/>
  <c r="L45" i="1"/>
  <c r="AC60" i="1"/>
  <c r="L60" i="1" s="1"/>
  <c r="BA56" i="1"/>
  <c r="W56" i="1" s="1"/>
  <c r="BC56" i="1"/>
  <c r="X56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20" i="1"/>
  <c r="L28" i="1"/>
  <c r="W17" i="1"/>
  <c r="M6" i="1"/>
  <c r="W42" i="1"/>
  <c r="L55" i="1"/>
  <c r="L61" i="1"/>
  <c r="W65" i="1"/>
  <c r="N21" i="1"/>
  <c r="N7" i="1"/>
  <c r="V19" i="1"/>
  <c r="M55" i="1"/>
  <c r="V28" i="1"/>
  <c r="L34" i="1"/>
  <c r="AC43" i="1"/>
  <c r="L43" i="1" s="1"/>
  <c r="N55" i="1"/>
  <c r="N61" i="1"/>
  <c r="W64" i="1"/>
  <c r="M28" i="1"/>
  <c r="N40" i="1"/>
  <c r="N6" i="1"/>
  <c r="M61" i="1"/>
  <c r="V64" i="1"/>
  <c r="V18" i="1"/>
  <c r="W28" i="1"/>
  <c r="M34" i="1"/>
  <c r="V41" i="1"/>
  <c r="V47" i="1"/>
  <c r="X64" i="1"/>
  <c r="L18" i="1"/>
  <c r="L21" i="1"/>
  <c r="L5" i="1"/>
  <c r="W18" i="1"/>
  <c r="X20" i="1"/>
  <c r="X28" i="1"/>
  <c r="W41" i="1"/>
  <c r="W47" i="1"/>
  <c r="X21" i="1"/>
  <c r="X41" i="1"/>
  <c r="X47" i="1"/>
  <c r="V63" i="1"/>
  <c r="AC65" i="1"/>
  <c r="L65" i="1" s="1"/>
  <c r="L19" i="1"/>
  <c r="L6" i="1"/>
  <c r="X17" i="1"/>
  <c r="X18" i="1"/>
  <c r="V7" i="1"/>
  <c r="V40" i="1"/>
  <c r="V62" i="1"/>
  <c r="W63" i="1"/>
  <c r="AE65" i="1"/>
  <c r="M65" i="1" s="1"/>
  <c r="L47" i="1"/>
  <c r="W7" i="1"/>
  <c r="W40" i="1"/>
  <c r="V46" i="1"/>
  <c r="X63" i="1"/>
  <c r="AC64" i="1"/>
  <c r="L64" i="1" s="1"/>
  <c r="AE64" i="1"/>
  <c r="M64" i="1" s="1"/>
  <c r="L17" i="1"/>
  <c r="N31" i="1"/>
  <c r="N32" i="1"/>
  <c r="L41" i="1"/>
  <c r="M18" i="1"/>
  <c r="M41" i="1"/>
  <c r="M47" i="1"/>
  <c r="M63" i="1"/>
  <c r="L7" i="1"/>
  <c r="M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<sst xmlns="http://schemas.openxmlformats.org/spreadsheetml/2006/main" count="2266" uniqueCount="672">
  <si>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</si>
  <si>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</si>
  <si>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</si>
  <si>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</si>
  <si>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</si>
  <si>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</si>
  <si>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</si>
  <si>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</si>
  <si>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</si>
  <si>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</si>
  <si>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</si>
  <si>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</si>
  <si>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</si>
  <si>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</si>
  <si>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</si>
  <si>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</si>
  <si>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</si>
  <si>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</si>
  <si>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</si>
  <si>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</si>
  <si>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</si>
  <si>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</si>
  <si>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</si>
  <si>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</si>
  <si>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</si>
  <si>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</si>
  <si>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</si>
  <si>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</si>
  <si>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</si>
  <si>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</si>
  <si>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</si>
  <si>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</si>
  <si>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</si>
  <si>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</si>
  <si>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</si>
  <si>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</si>
  <si>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</si>
  <si>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</si>
  <si>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</si>
  <si>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</si>
  <si>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</si>
  <si>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</si>
  <si>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</si>
  <si>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</si>
  <si>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</si>
  <si>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</si>
  <si>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</si>
  <si>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</si>
  <si>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</si>
  <si>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</si>
  <si>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</si>
  <si>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</si>
  <si>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</si>
  <si>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</si>
  <si>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</si>
  <si>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</si>
  <si>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</si>
  <si>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</si>
  <si>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</si>
  <si>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</si>
  <si>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</si>
  <si>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</si>
  <si>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</si>
  <si>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</si>
  <si>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</si>
  <si>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</si>
  <si>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</si>
  <si>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</si>
  <si>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</si>
  <si>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</si>
  <si>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</si>
  <si>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</si>
  <si>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</si>
  <si>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</si>
  <si>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</si>
  <si>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</si>
  <si>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</si>
  <si>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</si>
  <si>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</si>
  <si>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</si>
  <si>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</si>
  <si>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</si>
  <si>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</si>
  <si>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</si>
  <si>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</si>
  <si>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</si>
  <si>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</si>
  <si>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</si>
  <si>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</si>
  <si>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</si>
  <si>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</si>
  <si>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</si>
  <si>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</si>
  <si>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</si>
  <si>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</si>
  <si>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</si>
  <si>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</si>
  <si>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</si>
  <si>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</si>
  <si>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</si>
  <si>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</si>
  <si>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</si>
  <si>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</si>
  <si>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</si>
  <si>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</si>
  <si>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</si>
  <si>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</si>
  <si>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</si>
  <si>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</si>
  <si>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</si>
  <si>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</si>
  <si>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</si>
  <si>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</si>
  <si>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</si>
  <si>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</si>
  <si>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</si>
  <si>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</si>
  <si>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</si>
  <si>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</si>
  <si>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</si>
  <si>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</si>
  <si>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</si>
  <si>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</si>
  <si>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</si>
  <si>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</si>
  <si>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</si>
  <si>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</si>
  <si>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</si>
  <si>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</si>
  <si>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</si>
  <si>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</si>
  <si>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</si>
  <si>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</si>
  <si>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</si>
  <si>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</si>
  <si>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</si>
  <si>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</si>
  <si>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</si>
  <si>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</si>
  <si>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</si>
  <si>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</si>
  <si>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</si>
  <si>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</si>
  <si>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</si>
  <si>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</si>
  <si>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</si>
  <si>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</si>
  <si>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</si>
  <si>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</si>
  <si>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</si>
  <si>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</si>
  <si>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</si>
  <si>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</si>
  <si>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</si>
  <si>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</si>
  <si>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</si>
  <si>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</si>
  <si>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</si>
  <si>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</si>
  <si>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</si>
  <si>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</si>
  <si>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</si>
  <si>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</si>
  <si>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</si>
  <si>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</si>
  <si>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</si>
  <si>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</si>
  <si>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</si>
  <si>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</si>
  <si>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</si>
  <si>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</si>
  <si>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</si>
  <si>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</si>
  <si>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</si>
  <si>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</si>
  <si>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</si>
  <si>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</si>
  <si>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</si>
  <si>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</si>
  <si>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</si>
  <si>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</si>
  <si>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</si>
  <si>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</si>
  <si>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</si>
  <si>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</si>
  <si>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</si>
  <si>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</si>
  <si>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</si>
  <si>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</si>
  <si>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</si>
  <si>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</si>
  <si>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</si>
  <si>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</si>
  <si>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</si>
  <si>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</si>
  <si>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</si>
  <si>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</si>
  <si>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</si>
  <si>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</si>
  <si>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</si>
  <si>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</si>
  <si>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</si>
  <si>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</si>
  <si>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</si>
  <si>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</si>
  <si>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</si>
  <si>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</si>
  <si>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</si>
  <si>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</si>
  <si>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</si>
  <si>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</si>
  <si>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</si>
  <si>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</si>
  <si>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</si>
  <si>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</si>
  <si>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</si>
  <si>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</si>
  <si>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</si>
  <si>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</si>
  <si>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</si>
  <si>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</si>
  <si>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</si>
  <si>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</si>
  <si>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</si>
  <si>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</si>
  <si>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</si>
  <si>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</si>
  <si>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</si>
  <si>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</si>
  <si>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</si>
  <si>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</si>
  <si>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</si>
  <si>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</si>
  <si>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</si>
  <si>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</si>
  <si>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</si>
  <si>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</si>
  <si>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</si>
  <si>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</si>
  <si>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</si>
  <si>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</si>
  <si>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</si>
  <si>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</si>
  <si>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</si>
  <si>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</si>
  <si>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</si>
  <si>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</si>
  <si>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</si>
  <si>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</si>
  <si>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</si>
  <si>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</si>
  <si>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</si>
  <si>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</si>
  <si>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</si>
  <si>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</si>
  <si>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</si>
  <si>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</si>
  <si>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</si>
  <si>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</si>
  <si>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</si>
  <si>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</si>
  <si>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</si>
  <si>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</si>
  <si>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</si>
  <si>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</si>
  <si>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</si>
  <si>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</si>
  <si>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</si>
  <si>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</si>
  <si>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</si>
  <si>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</si>
  <si>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</si>
  <si>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</si>
  <si>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</si>
  <si>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</si>
  <si>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</si>
  <si>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</si>
  <si>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</si>
  <si>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</si>
  <si>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</si>
  <si>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</si>
  <si>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</si>
  <si>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</si>
  <si>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</si>
  <si>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</si>
  <si>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</si>
  <si>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</si>
  <si>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</si>
  <si>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</si>
  <si>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</si>
  <si>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</si>
  <si>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</si>
  <si>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</si>
  <si>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</si>
  <si>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</si>
  <si>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</si>
  <si>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</si>
  <si>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</si>
  <si>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</si>
  <si>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</si>
  <si>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</si>
  <si>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</si>
  <si>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</si>
  <si>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</si>
  <si>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</si>
  <si>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</si>
  <si>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</si>
  <si>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</si>
  <si>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</si>
  <si>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</si>
  <si>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</si>
  <si>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</si>
  <si>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</si>
  <si>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</si>
  <si>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</si>
  <si>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</si>
  <si>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</si>
  <si>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</si>
  <si>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</si>
  <si>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</si>
  <si>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</si>
  <si>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</si>
  <si>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</si>
  <si>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</si>
  <si>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</si>
  <si>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</si>
  <si>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</si>
  <si>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</si>
  <si>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</si>
  <si>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</si>
  <si>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</si>
  <si>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</si>
  <si>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</si>
  <si>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</si>
  <si>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</si>
  <si>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</si>
  <si>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</si>
  <si>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</si>
  <si>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</si>
  <si>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</si>
  <si>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</si>
  <si>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</si>
  <si>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</si>
  <si>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</si>
  <si>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</si>
  <si>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</si>
  <si>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</si>
  <si>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</si>
  <si>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</si>
  <si>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</si>
  <si>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</si>
  <si>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</si>
  <si>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</si>
  <si>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</si>
  <si>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</si>
  <si>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</si>
  <si>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</si>
  <si>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</si>
  <si>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</si>
  <si>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</si>
  <si>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</si>
  <si>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</si>
  <si>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</si>
  <si>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</si>
  <si>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</si>
  <si>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</si>
  <si>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</si>
  <si>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</si>
  <si>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</si>
  <si>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</si>
  <si>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</si>
  <si>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</si>
  <si>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</si>
  <si>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</si>
  <si>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</si>
  <si>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</si>
  <si>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</si>
  <si>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</si>
  <si>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</si>
  <si>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</si>
  <si>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</si>
  <si>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</si>
  <si>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</si>
  <si>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</si>
  <si>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</si>
  <si>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</si>
  <si>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</si>
  <si>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</si>
  <si>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</si>
  <si>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</si>
  <si>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</si>
  <si>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</si>
  <si>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</si>
  <si>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</si>
  <si>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</si>
  <si>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</si>
  <si>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</si>
  <si>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</si>
  <si>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</si>
  <si>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</si>
  <si>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</si>
  <si>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</si>
  <si>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</si>
  <si>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</si>
  <si>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</si>
  <si>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</si>
  <si>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</si>
  <si>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</si>
  <si>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</si>
  <si>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</si>
  <si>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</si>
  <si>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</si>
  <si>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</si>
  <si>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</si>
  <si>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</si>
  <si>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</si>
  <si>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</si>
  <si>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</si>
  <si>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</si>
  <si>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</si>
  <si>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</si>
  <si>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</si>
  <si>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</si>
  <si>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</si>
  <si>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</si>
  <si>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</si>
  <si>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</si>
  <si>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</si>
  <si>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</si>
  <si>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</si>
  <si>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</si>
  <si>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</si>
  <si>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</si>
  <si>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</si>
  <si>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</si>
  <si>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</si>
  <si>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</si>
  <si>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</si>
  <si>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</si>
  <si>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</si>
  <si>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</si>
  <si>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</si>
  <si>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</si>
  <si>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</si>
  <si>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</si>
  <si>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</si>
  <si>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</si>
  <si>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</si>
  <si>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</si>
  <si>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</si>
  <si>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</si>
  <si>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</si>
  <si>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</si>
  <si>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</si>
  <si>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</si>
  <si>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</si>
  <si>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</si>
  <si>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</si>
  <si>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</si>
  <si>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</si>
  <si>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</si>
  <si>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</si>
  <si>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</si>
  <si>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</si>
  <si>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</si>
  <si>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</si>
  <si>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</si>
  <si>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</si>
  <si>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</si>
  <si>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</si>
  <si>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</si>
  <si>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</si>
  <si>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</si>
  <si>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</si>
  <si>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</si>
  <si>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</si>
  <si>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</si>
  <si>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</si>
  <si>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</si>
  <si>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</si>
  <si>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</si>
  <si>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</si>
  <si>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</si>
  <si>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</si>
  <si>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</si>
  <si>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</si>
  <si>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</si>
  <si>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</si>
  <si>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</si>
  <si>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</si>
  <si>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</si>
  <si>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</si>
  <si>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</si>
  <si>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</si>
  <si>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</si>
  <si>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</si>
  <si>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</si>
  <si>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</si>
  <si>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</si>
  <si>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</si>
  <si>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</si>
  <si>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</si>
  <si>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</si>
  <si>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</si>
  <si>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</si>
  <si>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</si>
  <si>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</si>
  <si>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</si>
  <si>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</si>
  <si>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</si>
  <si>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</si>
  <si>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</si>
  <si>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</si>
  <si>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</si>
  <si>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</si>
  <si>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</si>
  <si>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</si>
  <si>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</si>
  <si>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</si>
  <si>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</si>
  <si>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</si>
  <si>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</si>
  <si>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</si>
  <si>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</si>
  <si>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</si>
  <si>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</si>
  <si>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</si>
  <si>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</si>
  <si>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</si>
  <si>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</si>
  <si>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</si>
  <si>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</si>
  <si>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</si>
  <si>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</si>
  <si>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</si>
  <si>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</si>
  <si>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</si>
  <si>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</si>
  <si>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</si>
  <si>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</si>
  <si>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</si>
  <si>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</si>
  <si>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</si>
  <si>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</si>
  <si>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</si>
  <si>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</si>
  <si>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</si>
  <si>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</si>
  <si>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</si>
  <si>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</si>
  <si>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</si>
  <si>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</si>
  <si>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</si>
  <si>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</si>
  <si>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</si>
  <si>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</si>
  <si>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</si>
  <si>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</si>
  <si>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</si>
  <si>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</si>
  <si>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</si>
  <si>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</si>
  <si>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</si>
  <si>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</si>
  <si>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</si>
  <si>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</si>
  <si>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</si>
  <si>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</si>
  <si>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</si>
  <si>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</si>
  <si>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</si>
  <si>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</si>
  <si>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</si>
  <si>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</si>
  <si>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</si>
  <si>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</si>
  <si>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</si>
  <si>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</si>
  <si>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</si>
  <si>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</si>
  <si>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</si>
  <si>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</si>
  <si>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</si>
  <si>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</si>
  <si>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</si>
  <si>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</si>
  <si>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</si>
  <si>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</si>
  <si>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</si>
  <si>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</si>
  <si>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</si>
  <si>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</si>
  <si>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</si>
  <si>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</si>
  <si>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</si>
  <si>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</si>
  <si>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</si>
  <si>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</si>
  <si>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</si>
  <si>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</si>
  <si>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</si>
  <si>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</si>
  <si>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</si>
  <si>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</si>
  <si>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</si>
  <si>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</si>
  <si>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</si>
  <si>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</si>
  <si>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</si>
  <si>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</si>
  <si>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</si>
  <si>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</si>
  <si>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</si>
  <si>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</si>
  <si>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</si>
  <si>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</si>
  <si>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</si>
  <si>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</si>
  <si>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</si>
  <si>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</si>
  <si>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</si>
  <si>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</si>
  <si>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</si>
  <si>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</si>
  <si>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</si>
  <si>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</si>
  <si>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</si>
  <si>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</si>
  <si>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</si>
  <si>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</si>
  <si>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</si>
  <si>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</si>
  <si>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</si>
  <si>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</si>
  <si>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</si>
  <si>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</si>
  <si>
    <t>R_50AC_ohm_kft</t>
  </si>
  <si>
    <t>R_25AC_ohm_kft</t>
  </si>
  <si>
    <t>26/0</t>
  </si>
  <si>
    <t>26/1</t>
  </si>
  <si>
    <t>26/2</t>
  </si>
  <si>
    <t>26/3</t>
  </si>
  <si>
    <t>26/4</t>
  </si>
  <si>
    <t>26/5</t>
  </si>
  <si>
    <t>26/6</t>
  </si>
  <si>
    <t>26/8</t>
  </si>
  <si>
    <t>26/9</t>
  </si>
  <si>
    <t>26/10</t>
  </si>
  <si>
    <t>26/11</t>
  </si>
  <si>
    <t>26/12</t>
  </si>
  <si>
    <t>26/13</t>
  </si>
  <si>
    <t>26/14</t>
  </si>
  <si>
    <t>26/15</t>
  </si>
  <si>
    <t>26/16</t>
  </si>
  <si>
    <t>26/17</t>
  </si>
  <si>
    <t>26/18</t>
  </si>
  <si>
    <t>26/19</t>
  </si>
  <si>
    <t>26/20</t>
  </si>
  <si>
    <t>26/21</t>
  </si>
  <si>
    <t>26/22</t>
  </si>
  <si>
    <t>26/23</t>
  </si>
  <si>
    <t>26/24</t>
  </si>
  <si>
    <t>26/25</t>
  </si>
  <si>
    <t>26/26</t>
  </si>
  <si>
    <t>26/27</t>
  </si>
  <si>
    <t>4/0 6/1</t>
  </si>
  <si>
    <t>Linnet_EX_K4_1</t>
  </si>
  <si>
    <t>EX_ST4_14</t>
  </si>
  <si>
    <t>2H1_PVOGTLE</t>
  </si>
  <si>
    <t>Plant Vogtle</t>
  </si>
  <si>
    <t>Electrical Design Parameters of Typical 230kv and 500kv Transmission Lines Terminating into Plant Vogtle.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</si>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</sst>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7" fontId="0" fillId="7" borderId="0" xfId="0" applyNumberFormat="1" applyFill="1"/>
    <xf numFmtId="0" fontId="17" fillId="0" borderId="0" xfId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rc.gov/docs/ML0732/ML07324074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4"/>
  <sheetViews>
    <sheetView tabSelected="1" workbookViewId="0">
      <pane ySplit="1" topLeftCell="A55" activePane="bottomLeft" state="frozen"/>
      <selection pane="bottomLeft" activeCell="D68" sqref="D68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2" width="8.88671875" style="73" customWidth="1"/>
    <col min="13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6.21875" style="18" bestFit="1" customWidth="1"/>
    <col min="45" max="47" width="5.33203125" style="18" bestFit="1" customWidth="1"/>
    <col min="48" max="48" width="5.5546875" style="18" bestFit="1" customWidth="1"/>
    <col min="49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x14ac:dyDescent="0.3">
      <c r="A2" s="42" t="s">
        <v>668</v>
      </c>
      <c r="B2" t="s">
        <v>281</v>
      </c>
      <c r="D2" t="s">
        <v>39</v>
      </c>
      <c r="E2" s="44">
        <v>1</v>
      </c>
      <c r="F2" s="44">
        <v>2</v>
      </c>
      <c r="G2" s="45">
        <v>230</v>
      </c>
      <c r="H2" s="44">
        <v>0</v>
      </c>
      <c r="I2" s="44">
        <v>0</v>
      </c>
      <c r="J2" s="44">
        <v>0</v>
      </c>
      <c r="K2" s="43">
        <v>0</v>
      </c>
      <c r="L2" s="46">
        <f t="shared" ref="L2" si="0">AC2+(AD2*(1/12))-K2</f>
        <v>65</v>
      </c>
      <c r="M2" s="47">
        <f t="shared" ref="M2" si="1">AE2+(AF2*(1/12))-K2</f>
        <v>65</v>
      </c>
      <c r="N2" s="47">
        <f t="shared" ref="N2" si="2">AG2+(AH2*(1/12))-K2</f>
        <v>65</v>
      </c>
      <c r="O2" s="47">
        <f t="shared" ref="O2" si="3">AI2+(AJ2*(1/12))</f>
        <v>-20</v>
      </c>
      <c r="P2" s="48">
        <f t="shared" ref="P2" si="4">AK2+(AL2*(1/12))</f>
        <v>0</v>
      </c>
      <c r="Q2" s="49">
        <f t="shared" ref="Q2" si="5">AM2+(AN2*(1/12))</f>
        <v>20</v>
      </c>
      <c r="R2" s="50">
        <f t="shared" ref="R2" si="6">AP2+((1/12)*AQ2)</f>
        <v>84.08</v>
      </c>
      <c r="S2" s="51">
        <f t="shared" ref="S2" si="7">AR2+((1/12)*AS2)</f>
        <v>-10.79</v>
      </c>
      <c r="T2" s="51">
        <f t="shared" ref="T2" si="8">AT2+((1/12)*AU2)</f>
        <v>84.08</v>
      </c>
      <c r="U2" s="52">
        <f t="shared" ref="U2" si="9">AV2+((1/12)*AW2)</f>
        <v>10.79</v>
      </c>
      <c r="V2" s="53">
        <f t="shared" ref="V2" si="10">AY2+(AZ2*(1/12))-K2</f>
        <v>0</v>
      </c>
      <c r="W2" s="54">
        <f t="shared" ref="W2" si="11">BA2+(BB2*(1/12))-K2</f>
        <v>0</v>
      </c>
      <c r="X2" s="54">
        <f t="shared" ref="X2" si="12">BC2+(BD2*(1/12))-K2</f>
        <v>0</v>
      </c>
      <c r="Y2" s="55">
        <f t="shared" ref="Y2" si="13">BE2+(BF2*(1/12))</f>
        <v>0</v>
      </c>
      <c r="Z2" s="55">
        <f t="shared" ref="Z2" si="14">BG2+(BH2*(1/12))</f>
        <v>0</v>
      </c>
      <c r="AA2" s="56">
        <f t="shared" ref="AA2" si="15">BI2+(BJ2*(1/12))</f>
        <v>0</v>
      </c>
      <c r="AB2" s="9"/>
      <c r="AC2" s="57">
        <v>65</v>
      </c>
      <c r="AD2" s="48">
        <v>0</v>
      </c>
      <c r="AE2" s="48">
        <v>65</v>
      </c>
      <c r="AF2" s="48">
        <v>0</v>
      </c>
      <c r="AG2" s="48">
        <v>65</v>
      </c>
      <c r="AH2" s="48">
        <v>0</v>
      </c>
      <c r="AI2" s="48">
        <v>-20</v>
      </c>
      <c r="AJ2" s="48">
        <v>0</v>
      </c>
      <c r="AK2" s="48">
        <v>0</v>
      </c>
      <c r="AL2" s="48">
        <v>0</v>
      </c>
      <c r="AM2" s="48">
        <v>20</v>
      </c>
      <c r="AN2" s="58">
        <v>0</v>
      </c>
      <c r="AO2" s="9"/>
      <c r="AP2" s="59">
        <f>65+19.08</f>
        <v>84.08</v>
      </c>
      <c r="AQ2" s="60">
        <v>0</v>
      </c>
      <c r="AR2" s="51">
        <v>-10.79</v>
      </c>
      <c r="AS2" s="51">
        <v>0</v>
      </c>
      <c r="AT2" s="60">
        <f>65+19.08</f>
        <v>84.08</v>
      </c>
      <c r="AU2" s="60">
        <v>0</v>
      </c>
      <c r="AV2" s="51">
        <v>10.79</v>
      </c>
      <c r="AW2" s="52">
        <v>0</v>
      </c>
      <c r="AX2" s="9"/>
      <c r="AY2" s="61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6"/>
      <c r="BK2" s="7"/>
      <c r="BL2" s="7"/>
      <c r="BM2" s="7"/>
      <c r="BN2" s="7"/>
      <c r="BO2" s="7"/>
      <c r="BP2" s="7"/>
      <c r="BQ2" s="7"/>
      <c r="BR2" s="7"/>
      <c r="BS2" s="7"/>
    </row>
    <row r="3" spans="1:71" ht="18.75" customHeight="1" x14ac:dyDescent="0.3">
      <c r="A3" s="42" t="s">
        <v>227</v>
      </c>
      <c r="B3" t="s">
        <v>228</v>
      </c>
      <c r="C3" t="s">
        <v>229</v>
      </c>
      <c r="D3" t="s">
        <v>53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ref="K3:K36" si="16">((G3*H3)/I3)*J3*(1/304.8)</f>
        <v>10.840634357325053</v>
      </c>
      <c r="L3" s="46">
        <f t="shared" ref="L3:L36" si="17">AC3+(AD3*(1/12))-K3</f>
        <v>69.159365642674942</v>
      </c>
      <c r="M3" s="47">
        <f t="shared" ref="M3:M36" si="18">AE3+(AF3*(1/12))-K3</f>
        <v>69.159365642674942</v>
      </c>
      <c r="N3" s="47">
        <f t="shared" ref="N3:N36" si="19">AG3+(AH3*(1/12))-K3</f>
        <v>69.159365642674942</v>
      </c>
      <c r="O3" s="47">
        <f t="shared" ref="O3:O36" si="20">AI3+(AJ3*(1/12))</f>
        <v>-23.75</v>
      </c>
      <c r="P3" s="48">
        <f t="shared" ref="P3:P36" si="21">AK3+(AL3*(1/12))</f>
        <v>0</v>
      </c>
      <c r="Q3" s="49">
        <f t="shared" ref="Q3:Q36" si="22">AM3+(AN3*(1/12))</f>
        <v>23.75</v>
      </c>
      <c r="R3" s="50">
        <f t="shared" ref="R3:R36" si="23">AP3+((1/12)*AQ3)</f>
        <v>87.5</v>
      </c>
      <c r="S3" s="51">
        <f t="shared" ref="S3:S36" si="24">AR3+((1/12)*AS3)</f>
        <v>-17.8125</v>
      </c>
      <c r="T3" s="51">
        <f t="shared" ref="T3:T36" si="25">AT3+((1/12)*AU3)</f>
        <v>87.5</v>
      </c>
      <c r="U3" s="52">
        <f t="shared" ref="U3:U36" si="26">AV3+((1/12)*AW3)</f>
        <v>17.8125</v>
      </c>
      <c r="V3" s="53">
        <f t="shared" ref="V3:V36" si="27">AY3+(AZ3*(1/12))-K3</f>
        <v>-10.840634357325053</v>
      </c>
      <c r="W3" s="54">
        <f t="shared" ref="W3:W36" si="28">BA3+(BB3*(1/12))-K3</f>
        <v>-10.840634357325053</v>
      </c>
      <c r="X3" s="54">
        <f t="shared" ref="X3:X36" si="29">BC3+(BD3*(1/12))-K3</f>
        <v>-10.840634357325053</v>
      </c>
      <c r="Y3" s="55">
        <f t="shared" ref="Y3:Y36" si="30">BE3+(BF3*(1/12))</f>
        <v>0</v>
      </c>
      <c r="Z3" s="55">
        <f t="shared" ref="Z3:Z36" si="31">BG3+(BH3*(1/12))</f>
        <v>0</v>
      </c>
      <c r="AA3" s="56">
        <f t="shared" ref="AA3:AA36" si="32">BI3+(BJ3*(1/12))</f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-23</v>
      </c>
      <c r="AJ3" s="48">
        <v>-9</v>
      </c>
      <c r="AK3" s="48">
        <v>0</v>
      </c>
      <c r="AL3" s="48">
        <v>0</v>
      </c>
      <c r="AM3" s="48">
        <v>23</v>
      </c>
      <c r="AN3" s="58">
        <v>9</v>
      </c>
      <c r="AO3" s="9"/>
      <c r="AP3" s="59">
        <f>80+7</f>
        <v>87</v>
      </c>
      <c r="AQ3" s="60">
        <v>6</v>
      </c>
      <c r="AR3" s="51">
        <f>(3/4)*AI3</f>
        <v>-17.25</v>
      </c>
      <c r="AS3" s="51">
        <f>(3/4)*AJ3</f>
        <v>-6.75</v>
      </c>
      <c r="AT3" s="60">
        <f>80+7</f>
        <v>87</v>
      </c>
      <c r="AU3" s="60">
        <v>6</v>
      </c>
      <c r="AV3" s="51">
        <f>(3/4)*AM3</f>
        <v>17.25</v>
      </c>
      <c r="AW3" s="52">
        <f>(3/4)*AN3</f>
        <v>6.75</v>
      </c>
      <c r="AX3" s="9"/>
      <c r="AY3" s="61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6"/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231</v>
      </c>
      <c r="B4" t="s">
        <v>228</v>
      </c>
      <c r="C4" t="s">
        <v>232</v>
      </c>
      <c r="D4" t="s">
        <v>498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16"/>
        <v>10.840634357325053</v>
      </c>
      <c r="L4" s="46">
        <f t="shared" si="17"/>
        <v>69.159365642674942</v>
      </c>
      <c r="M4" s="47">
        <f t="shared" si="18"/>
        <v>69.159365642674942</v>
      </c>
      <c r="N4" s="47">
        <f t="shared" si="19"/>
        <v>69.159365642674942</v>
      </c>
      <c r="O4" s="48">
        <f t="shared" si="20"/>
        <v>-32</v>
      </c>
      <c r="P4" s="48">
        <f t="shared" si="21"/>
        <v>0</v>
      </c>
      <c r="Q4" s="58">
        <f t="shared" si="22"/>
        <v>32</v>
      </c>
      <c r="R4" s="50">
        <f t="shared" si="23"/>
        <v>96.5</v>
      </c>
      <c r="S4" s="51">
        <f t="shared" si="24"/>
        <v>-21.5</v>
      </c>
      <c r="T4" s="51">
        <f t="shared" si="25"/>
        <v>96.5</v>
      </c>
      <c r="U4" s="52">
        <f t="shared" si="26"/>
        <v>21.5</v>
      </c>
      <c r="V4" s="53">
        <f t="shared" si="27"/>
        <v>-10.840634357325053</v>
      </c>
      <c r="W4" s="54">
        <f t="shared" si="28"/>
        <v>-10.840634357325053</v>
      </c>
      <c r="X4" s="54">
        <f t="shared" si="29"/>
        <v>-10.840634357325053</v>
      </c>
      <c r="Y4" s="55">
        <f t="shared" si="30"/>
        <v>0</v>
      </c>
      <c r="Z4" s="55">
        <f t="shared" si="31"/>
        <v>0</v>
      </c>
      <c r="AA4" s="56">
        <f t="shared" si="32"/>
        <v>0</v>
      </c>
      <c r="AB4" s="9"/>
      <c r="AC4" s="57">
        <v>80</v>
      </c>
      <c r="AD4" s="48">
        <v>0</v>
      </c>
      <c r="AE4" s="48">
        <v>80</v>
      </c>
      <c r="AF4" s="48">
        <v>0</v>
      </c>
      <c r="AG4" s="48">
        <v>80</v>
      </c>
      <c r="AH4" s="48">
        <v>0</v>
      </c>
      <c r="AI4" s="48">
        <v>-32</v>
      </c>
      <c r="AJ4" s="48">
        <v>0</v>
      </c>
      <c r="AK4" s="48">
        <v>0</v>
      </c>
      <c r="AL4" s="48">
        <v>0</v>
      </c>
      <c r="AM4" s="48">
        <v>32</v>
      </c>
      <c r="AN4" s="58">
        <v>0</v>
      </c>
      <c r="AO4" s="9"/>
      <c r="AP4" s="59">
        <f>80+16</f>
        <v>96</v>
      </c>
      <c r="AQ4" s="60">
        <v>6</v>
      </c>
      <c r="AR4" s="59">
        <v>-21</v>
      </c>
      <c r="AS4" s="60">
        <v>-6</v>
      </c>
      <c r="AT4" s="59">
        <f>80+16</f>
        <v>96</v>
      </c>
      <c r="AU4" s="60">
        <v>6</v>
      </c>
      <c r="AV4" s="60">
        <v>21</v>
      </c>
      <c r="AW4" s="62">
        <v>6</v>
      </c>
      <c r="AX4" s="9"/>
      <c r="AY4" s="61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6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234</v>
      </c>
      <c r="B5" t="s">
        <v>228</v>
      </c>
      <c r="C5" t="s">
        <v>235</v>
      </c>
      <c r="D5" t="s">
        <v>74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16"/>
        <v>10.840634357325053</v>
      </c>
      <c r="L5" s="46">
        <f t="shared" si="17"/>
        <v>59.159365642674949</v>
      </c>
      <c r="M5" s="47">
        <f t="shared" si="18"/>
        <v>59.159365642674949</v>
      </c>
      <c r="N5" s="47">
        <f t="shared" si="19"/>
        <v>59.159365642674949</v>
      </c>
      <c r="O5" s="47">
        <f t="shared" si="20"/>
        <v>-24.5</v>
      </c>
      <c r="P5" s="48">
        <f t="shared" si="21"/>
        <v>0</v>
      </c>
      <c r="Q5" s="49">
        <f t="shared" si="22"/>
        <v>24.5</v>
      </c>
      <c r="R5" s="50">
        <f t="shared" si="23"/>
        <v>87.5</v>
      </c>
      <c r="S5" s="51">
        <f t="shared" si="24"/>
        <v>-16.5</v>
      </c>
      <c r="T5" s="51">
        <f t="shared" si="25"/>
        <v>87.5</v>
      </c>
      <c r="U5" s="52">
        <f t="shared" si="26"/>
        <v>16.5</v>
      </c>
      <c r="V5" s="53">
        <f t="shared" si="27"/>
        <v>-10.840634357325053</v>
      </c>
      <c r="W5" s="54">
        <f t="shared" si="28"/>
        <v>-10.840634357325053</v>
      </c>
      <c r="X5" s="54">
        <f t="shared" si="29"/>
        <v>-10.840634357325053</v>
      </c>
      <c r="Y5" s="55">
        <f t="shared" si="30"/>
        <v>0</v>
      </c>
      <c r="Z5" s="55">
        <f t="shared" si="31"/>
        <v>0</v>
      </c>
      <c r="AA5" s="56">
        <f t="shared" si="32"/>
        <v>0</v>
      </c>
      <c r="AB5" s="9"/>
      <c r="AC5" s="57">
        <v>70</v>
      </c>
      <c r="AD5" s="48">
        <v>0</v>
      </c>
      <c r="AE5" s="48">
        <v>70</v>
      </c>
      <c r="AF5" s="48">
        <v>0</v>
      </c>
      <c r="AG5" s="48">
        <v>70</v>
      </c>
      <c r="AH5" s="48">
        <v>0</v>
      </c>
      <c r="AI5" s="48">
        <v>-24</v>
      </c>
      <c r="AJ5" s="48">
        <v>-6</v>
      </c>
      <c r="AK5" s="48">
        <v>0</v>
      </c>
      <c r="AL5" s="48">
        <v>0</v>
      </c>
      <c r="AM5" s="48">
        <v>24</v>
      </c>
      <c r="AN5" s="58">
        <v>6</v>
      </c>
      <c r="AO5" s="9"/>
      <c r="AP5" s="59">
        <v>87</v>
      </c>
      <c r="AQ5" s="60">
        <v>6</v>
      </c>
      <c r="AR5" s="60">
        <v>-16</v>
      </c>
      <c r="AS5" s="60">
        <v>-6</v>
      </c>
      <c r="AT5" s="60">
        <v>87</v>
      </c>
      <c r="AU5" s="60">
        <v>6</v>
      </c>
      <c r="AV5" s="60">
        <v>16</v>
      </c>
      <c r="AW5" s="62">
        <v>6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236</v>
      </c>
      <c r="B6" t="s">
        <v>228</v>
      </c>
      <c r="C6" t="s">
        <v>237</v>
      </c>
      <c r="D6" t="s">
        <v>121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16"/>
        <v>10.840634357325053</v>
      </c>
      <c r="L6" s="46">
        <f t="shared" si="17"/>
        <v>44.159365642674949</v>
      </c>
      <c r="M6" s="47">
        <f t="shared" si="18"/>
        <v>44.159365642674949</v>
      </c>
      <c r="N6" s="47">
        <f t="shared" si="19"/>
        <v>44.159365642674949</v>
      </c>
      <c r="O6" s="47">
        <f t="shared" si="20"/>
        <v>-22.666666666666668</v>
      </c>
      <c r="P6" s="48">
        <f t="shared" si="21"/>
        <v>0</v>
      </c>
      <c r="Q6" s="49">
        <f t="shared" si="22"/>
        <v>22.666666666666668</v>
      </c>
      <c r="R6" s="59">
        <f t="shared" si="23"/>
        <v>73</v>
      </c>
      <c r="S6" s="51">
        <f t="shared" si="24"/>
        <v>-18.583333333333332</v>
      </c>
      <c r="T6" s="60">
        <f t="shared" si="25"/>
        <v>73</v>
      </c>
      <c r="U6" s="52">
        <f t="shared" si="26"/>
        <v>18.583333333333332</v>
      </c>
      <c r="V6" s="53">
        <f t="shared" si="27"/>
        <v>-10.840634357325053</v>
      </c>
      <c r="W6" s="54">
        <f t="shared" si="28"/>
        <v>-10.840634357325053</v>
      </c>
      <c r="X6" s="54">
        <f t="shared" si="29"/>
        <v>-10.840634357325053</v>
      </c>
      <c r="Y6" s="55">
        <f t="shared" si="30"/>
        <v>0</v>
      </c>
      <c r="Z6" s="55">
        <f t="shared" si="31"/>
        <v>0</v>
      </c>
      <c r="AA6" s="56">
        <f t="shared" si="32"/>
        <v>0</v>
      </c>
      <c r="AB6" s="9"/>
      <c r="AC6" s="57">
        <v>55</v>
      </c>
      <c r="AD6" s="48">
        <v>0</v>
      </c>
      <c r="AE6" s="48">
        <v>55</v>
      </c>
      <c r="AF6" s="48">
        <v>0</v>
      </c>
      <c r="AG6" s="48">
        <v>55</v>
      </c>
      <c r="AH6" s="48">
        <v>0</v>
      </c>
      <c r="AI6" s="48">
        <v>-22</v>
      </c>
      <c r="AJ6" s="48">
        <v>-8</v>
      </c>
      <c r="AK6" s="48">
        <v>0</v>
      </c>
      <c r="AL6" s="48">
        <v>0</v>
      </c>
      <c r="AM6" s="48">
        <v>22</v>
      </c>
      <c r="AN6" s="58">
        <v>8</v>
      </c>
      <c r="AO6" s="9"/>
      <c r="AP6" s="59">
        <f>55+9+7+2</f>
        <v>73</v>
      </c>
      <c r="AQ6" s="60">
        <v>0</v>
      </c>
      <c r="AR6" s="60">
        <v>-18</v>
      </c>
      <c r="AS6" s="60">
        <v>-7</v>
      </c>
      <c r="AT6" s="59">
        <f>55+9+7+2</f>
        <v>73</v>
      </c>
      <c r="AU6" s="60">
        <v>0</v>
      </c>
      <c r="AV6" s="60">
        <v>18</v>
      </c>
      <c r="AW6" s="62">
        <v>7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239</v>
      </c>
      <c r="B7" t="s">
        <v>228</v>
      </c>
      <c r="C7" t="s">
        <v>240</v>
      </c>
      <c r="D7" t="s">
        <v>50</v>
      </c>
      <c r="E7" s="44">
        <v>1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16"/>
        <v>10.840634357325053</v>
      </c>
      <c r="L7" s="46">
        <f t="shared" si="17"/>
        <v>79.159365642674942</v>
      </c>
      <c r="M7" s="47">
        <f t="shared" si="18"/>
        <v>79.159365642674942</v>
      </c>
      <c r="N7" s="47">
        <f t="shared" si="19"/>
        <v>79.159365642674942</v>
      </c>
      <c r="O7" s="48">
        <f t="shared" si="20"/>
        <v>-24</v>
      </c>
      <c r="P7" s="48">
        <f t="shared" si="21"/>
        <v>0</v>
      </c>
      <c r="Q7" s="58">
        <f t="shared" si="22"/>
        <v>24</v>
      </c>
      <c r="R7" s="59">
        <f t="shared" si="23"/>
        <v>102</v>
      </c>
      <c r="S7" s="51">
        <f t="shared" si="24"/>
        <v>-21.6</v>
      </c>
      <c r="T7" s="60">
        <f t="shared" si="25"/>
        <v>102</v>
      </c>
      <c r="U7" s="52">
        <f t="shared" si="26"/>
        <v>21.6</v>
      </c>
      <c r="V7" s="53">
        <f t="shared" si="27"/>
        <v>-10.840634357325053</v>
      </c>
      <c r="W7" s="54">
        <f t="shared" si="28"/>
        <v>-10.840634357325053</v>
      </c>
      <c r="X7" s="54">
        <f t="shared" si="29"/>
        <v>-10.840634357325053</v>
      </c>
      <c r="Y7" s="55">
        <f t="shared" si="30"/>
        <v>0</v>
      </c>
      <c r="Z7" s="55">
        <f t="shared" si="31"/>
        <v>0</v>
      </c>
      <c r="AA7" s="56">
        <f t="shared" si="32"/>
        <v>0</v>
      </c>
      <c r="AB7" s="9"/>
      <c r="AC7" s="57">
        <v>90</v>
      </c>
      <c r="AD7" s="48">
        <v>0</v>
      </c>
      <c r="AE7" s="48">
        <v>90</v>
      </c>
      <c r="AF7" s="48">
        <v>0</v>
      </c>
      <c r="AG7" s="48">
        <v>90</v>
      </c>
      <c r="AH7" s="48">
        <v>0</v>
      </c>
      <c r="AI7" s="48">
        <v>-24</v>
      </c>
      <c r="AJ7" s="48">
        <v>0</v>
      </c>
      <c r="AK7" s="48">
        <v>0</v>
      </c>
      <c r="AL7" s="48">
        <v>0</v>
      </c>
      <c r="AM7" s="48">
        <v>24</v>
      </c>
      <c r="AN7" s="58">
        <v>0</v>
      </c>
      <c r="AO7" s="9"/>
      <c r="AP7" s="59">
        <f>90+12</f>
        <v>102</v>
      </c>
      <c r="AQ7" s="60">
        <v>0</v>
      </c>
      <c r="AR7" s="51">
        <f>AI7*0.9</f>
        <v>-21.6</v>
      </c>
      <c r="AS7" s="60">
        <v>0</v>
      </c>
      <c r="AT7" s="59">
        <f>90+12</f>
        <v>102</v>
      </c>
      <c r="AU7" s="60">
        <v>0</v>
      </c>
      <c r="AV7" s="51">
        <f>AM7*0.9</f>
        <v>21.6</v>
      </c>
      <c r="AW7" s="62">
        <v>0</v>
      </c>
      <c r="AX7" s="9"/>
      <c r="AY7" s="63"/>
      <c r="AZ7" s="15"/>
      <c r="BA7" s="63"/>
      <c r="BB7" s="15"/>
      <c r="BC7" s="63"/>
      <c r="BD7" s="15"/>
      <c r="BE7" s="15"/>
      <c r="BF7" s="15"/>
      <c r="BG7" s="15"/>
      <c r="BH7" s="15"/>
      <c r="BI7" s="15"/>
      <c r="BJ7" s="15"/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241</v>
      </c>
      <c r="B8" t="s">
        <v>228</v>
      </c>
      <c r="C8" t="s">
        <v>242</v>
      </c>
      <c r="D8" t="s">
        <v>112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16"/>
        <v>10.840634357325053</v>
      </c>
      <c r="L8" s="46">
        <f t="shared" si="17"/>
        <v>43.659365642674949</v>
      </c>
      <c r="M8" s="47">
        <f t="shared" si="18"/>
        <v>43.659365642674949</v>
      </c>
      <c r="N8" s="47">
        <f t="shared" si="19"/>
        <v>43.659365642674949</v>
      </c>
      <c r="O8" s="48">
        <f t="shared" si="20"/>
        <v>-23</v>
      </c>
      <c r="P8" s="48">
        <f t="shared" si="21"/>
        <v>0</v>
      </c>
      <c r="Q8" s="58">
        <f t="shared" si="22"/>
        <v>23</v>
      </c>
      <c r="R8" s="50">
        <f t="shared" si="23"/>
        <v>94.5</v>
      </c>
      <c r="S8" s="51">
        <f t="shared" si="24"/>
        <v>-20.5</v>
      </c>
      <c r="T8" s="51">
        <f t="shared" si="25"/>
        <v>94.5</v>
      </c>
      <c r="U8" s="52">
        <f t="shared" si="26"/>
        <v>20.5</v>
      </c>
      <c r="V8" s="53">
        <f t="shared" si="27"/>
        <v>72.159365642674942</v>
      </c>
      <c r="W8" s="54">
        <f t="shared" si="28"/>
        <v>72.159365642674942</v>
      </c>
      <c r="X8" s="54">
        <f t="shared" si="29"/>
        <v>72.159365642674942</v>
      </c>
      <c r="Y8" s="55">
        <f t="shared" si="30"/>
        <v>23</v>
      </c>
      <c r="Z8" s="55">
        <f t="shared" si="31"/>
        <v>0</v>
      </c>
      <c r="AA8" s="56">
        <f t="shared" si="32"/>
        <v>-23</v>
      </c>
      <c r="AB8" s="9"/>
      <c r="AC8" s="57">
        <v>54</v>
      </c>
      <c r="AD8" s="48">
        <v>6</v>
      </c>
      <c r="AE8" s="48">
        <v>54</v>
      </c>
      <c r="AF8" s="48">
        <v>6</v>
      </c>
      <c r="AG8" s="48">
        <v>54</v>
      </c>
      <c r="AH8" s="48">
        <v>6</v>
      </c>
      <c r="AI8" s="48">
        <v>-23</v>
      </c>
      <c r="AJ8" s="48">
        <v>0</v>
      </c>
      <c r="AK8" s="48">
        <v>0</v>
      </c>
      <c r="AL8" s="48">
        <v>0</v>
      </c>
      <c r="AM8" s="48">
        <v>23</v>
      </c>
      <c r="AN8" s="58">
        <v>0</v>
      </c>
      <c r="AO8" s="9"/>
      <c r="AP8" s="59">
        <f>54+28+11</f>
        <v>93</v>
      </c>
      <c r="AQ8" s="60">
        <f>6+6+6</f>
        <v>18</v>
      </c>
      <c r="AR8" s="60">
        <v>-20</v>
      </c>
      <c r="AS8" s="60">
        <v>-6</v>
      </c>
      <c r="AT8" s="59">
        <f>54+28+11</f>
        <v>93</v>
      </c>
      <c r="AU8" s="60">
        <f>6+6+6</f>
        <v>18</v>
      </c>
      <c r="AV8" s="60">
        <v>20</v>
      </c>
      <c r="AW8" s="62">
        <v>6</v>
      </c>
      <c r="AX8" s="9"/>
      <c r="AY8" s="61">
        <f>54+28</f>
        <v>82</v>
      </c>
      <c r="AZ8" s="55">
        <f>6+6</f>
        <v>12</v>
      </c>
      <c r="BA8" s="61">
        <f>54+28</f>
        <v>82</v>
      </c>
      <c r="BB8" s="55">
        <f>6+6</f>
        <v>12</v>
      </c>
      <c r="BC8" s="61">
        <f>54+28</f>
        <v>82</v>
      </c>
      <c r="BD8" s="55">
        <f>6+6</f>
        <v>12</v>
      </c>
      <c r="BE8" s="55">
        <v>23</v>
      </c>
      <c r="BF8" s="55">
        <v>0</v>
      </c>
      <c r="BG8" s="55">
        <v>0</v>
      </c>
      <c r="BH8" s="55">
        <v>0</v>
      </c>
      <c r="BI8" s="55">
        <v>-23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243</v>
      </c>
      <c r="B9" t="s">
        <v>228</v>
      </c>
      <c r="C9" t="s">
        <v>244</v>
      </c>
      <c r="D9" t="s">
        <v>103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16"/>
        <v>10.840634357325053</v>
      </c>
      <c r="L9" s="46">
        <f t="shared" si="17"/>
        <v>41.826032309341613</v>
      </c>
      <c r="M9" s="47">
        <f t="shared" si="18"/>
        <v>64.826032309341613</v>
      </c>
      <c r="N9" s="47">
        <f t="shared" si="19"/>
        <v>87.826032309341613</v>
      </c>
      <c r="O9" s="48">
        <f t="shared" si="20"/>
        <v>-19</v>
      </c>
      <c r="P9" s="47">
        <f t="shared" si="21"/>
        <v>-17.5</v>
      </c>
      <c r="Q9" s="49">
        <f t="shared" si="22"/>
        <v>-15.333333333333334</v>
      </c>
      <c r="R9" s="50">
        <f t="shared" si="23"/>
        <v>104.66666666666667</v>
      </c>
      <c r="S9" s="60">
        <f t="shared" si="24"/>
        <v>-12</v>
      </c>
      <c r="T9" s="51">
        <f t="shared" si="25"/>
        <v>104.66666666666667</v>
      </c>
      <c r="U9" s="62">
        <f t="shared" si="26"/>
        <v>12</v>
      </c>
      <c r="V9" s="53">
        <f t="shared" si="27"/>
        <v>87.826032309341613</v>
      </c>
      <c r="W9" s="54">
        <f t="shared" si="28"/>
        <v>64.826032309341613</v>
      </c>
      <c r="X9" s="54">
        <f t="shared" si="29"/>
        <v>41.826032309341613</v>
      </c>
      <c r="Y9" s="54">
        <f t="shared" si="30"/>
        <v>15.333333333333334</v>
      </c>
      <c r="Z9" s="54">
        <f t="shared" si="31"/>
        <v>17.5</v>
      </c>
      <c r="AA9" s="56">
        <f t="shared" si="32"/>
        <v>19</v>
      </c>
      <c r="AB9" s="9"/>
      <c r="AC9" s="57">
        <v>52</v>
      </c>
      <c r="AD9" s="48">
        <v>8</v>
      </c>
      <c r="AE9" s="48">
        <f>52+23</f>
        <v>75</v>
      </c>
      <c r="AF9" s="48">
        <v>8</v>
      </c>
      <c r="AG9" s="48">
        <f>52+23+23</f>
        <v>98</v>
      </c>
      <c r="AH9" s="48">
        <v>8</v>
      </c>
      <c r="AI9" s="48">
        <v>-19</v>
      </c>
      <c r="AJ9" s="48">
        <v>0</v>
      </c>
      <c r="AK9" s="48">
        <v>-17</v>
      </c>
      <c r="AL9" s="48">
        <v>-6</v>
      </c>
      <c r="AM9" s="48">
        <v>-15</v>
      </c>
      <c r="AN9" s="58">
        <v>-4</v>
      </c>
      <c r="AO9" s="9"/>
      <c r="AP9" s="59">
        <f>52+23+23+6</f>
        <v>104</v>
      </c>
      <c r="AQ9" s="60">
        <v>8</v>
      </c>
      <c r="AR9" s="60">
        <v>-12</v>
      </c>
      <c r="AS9" s="60">
        <v>0</v>
      </c>
      <c r="AT9" s="60">
        <f>52+23+23+6</f>
        <v>104</v>
      </c>
      <c r="AU9" s="60">
        <v>8</v>
      </c>
      <c r="AV9" s="60">
        <v>12</v>
      </c>
      <c r="AW9" s="62">
        <v>0</v>
      </c>
      <c r="AX9" s="9"/>
      <c r="AY9" s="61">
        <f>52+23+23</f>
        <v>98</v>
      </c>
      <c r="AZ9" s="55">
        <v>8</v>
      </c>
      <c r="BA9" s="55">
        <f>52+23</f>
        <v>75</v>
      </c>
      <c r="BB9" s="55">
        <v>8</v>
      </c>
      <c r="BC9" s="55">
        <v>52</v>
      </c>
      <c r="BD9" s="55">
        <v>8</v>
      </c>
      <c r="BE9" s="55">
        <v>15</v>
      </c>
      <c r="BF9" s="55">
        <v>4</v>
      </c>
      <c r="BG9" s="55">
        <v>17</v>
      </c>
      <c r="BH9" s="55">
        <v>6</v>
      </c>
      <c r="BI9" s="55">
        <v>19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245</v>
      </c>
      <c r="B10" t="s">
        <v>228</v>
      </c>
      <c r="C10" t="s">
        <v>246</v>
      </c>
      <c r="D10" t="s">
        <v>499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16"/>
        <v>10.840634357325053</v>
      </c>
      <c r="L10" s="46">
        <f t="shared" si="17"/>
        <v>69.159365642674942</v>
      </c>
      <c r="M10" s="47">
        <f t="shared" si="18"/>
        <v>93.159365642674942</v>
      </c>
      <c r="N10" s="47">
        <f t="shared" si="19"/>
        <v>117.15936564267494</v>
      </c>
      <c r="O10" s="48">
        <f t="shared" si="20"/>
        <v>-22</v>
      </c>
      <c r="P10" s="48">
        <f t="shared" si="21"/>
        <v>-37</v>
      </c>
      <c r="Q10" s="58">
        <f t="shared" si="22"/>
        <v>-22</v>
      </c>
      <c r="R10" s="59">
        <f t="shared" si="23"/>
        <v>142</v>
      </c>
      <c r="S10" s="60">
        <f t="shared" si="24"/>
        <v>-11</v>
      </c>
      <c r="T10" s="60">
        <f t="shared" si="25"/>
        <v>142</v>
      </c>
      <c r="U10" s="62">
        <f t="shared" si="26"/>
        <v>11</v>
      </c>
      <c r="V10" s="53">
        <f t="shared" si="27"/>
        <v>117.15936564267494</v>
      </c>
      <c r="W10" s="54">
        <f t="shared" si="28"/>
        <v>93.159365642674942</v>
      </c>
      <c r="X10" s="54">
        <f t="shared" si="29"/>
        <v>69.159365642674942</v>
      </c>
      <c r="Y10" s="55">
        <f t="shared" si="30"/>
        <v>22</v>
      </c>
      <c r="Z10" s="55">
        <f t="shared" si="31"/>
        <v>37</v>
      </c>
      <c r="AA10" s="56">
        <f t="shared" si="32"/>
        <v>22</v>
      </c>
      <c r="AB10" s="9"/>
      <c r="AC10" s="57">
        <v>80</v>
      </c>
      <c r="AD10" s="48">
        <v>0</v>
      </c>
      <c r="AE10" s="48">
        <f>80+24</f>
        <v>104</v>
      </c>
      <c r="AF10" s="48">
        <v>0</v>
      </c>
      <c r="AG10" s="48">
        <f>80+24+24</f>
        <v>128</v>
      </c>
      <c r="AH10" s="48">
        <v>0</v>
      </c>
      <c r="AI10" s="48">
        <v>-22</v>
      </c>
      <c r="AJ10" s="48">
        <v>0</v>
      </c>
      <c r="AK10" s="48">
        <v>-37</v>
      </c>
      <c r="AL10" s="48">
        <v>0</v>
      </c>
      <c r="AM10" s="48">
        <v>-22</v>
      </c>
      <c r="AN10" s="58">
        <v>0</v>
      </c>
      <c r="AO10" s="9"/>
      <c r="AP10" s="59">
        <f>80+24+24+14</f>
        <v>142</v>
      </c>
      <c r="AQ10" s="60">
        <v>0</v>
      </c>
      <c r="AR10" s="60">
        <v>-11</v>
      </c>
      <c r="AS10" s="60">
        <v>0</v>
      </c>
      <c r="AT10" s="60">
        <f>80+24+24+14</f>
        <v>142</v>
      </c>
      <c r="AU10" s="60">
        <v>0</v>
      </c>
      <c r="AV10" s="60">
        <v>11</v>
      </c>
      <c r="AW10" s="62">
        <v>0</v>
      </c>
      <c r="AX10" s="9"/>
      <c r="AY10" s="61">
        <f>80+24+24</f>
        <v>128</v>
      </c>
      <c r="AZ10" s="55">
        <v>0</v>
      </c>
      <c r="BA10" s="55">
        <f>80+24</f>
        <v>104</v>
      </c>
      <c r="BB10" s="55">
        <v>0</v>
      </c>
      <c r="BC10" s="55">
        <f>80</f>
        <v>80</v>
      </c>
      <c r="BD10" s="55">
        <v>0</v>
      </c>
      <c r="BE10" s="55">
        <v>22</v>
      </c>
      <c r="BF10" s="55">
        <v>0</v>
      </c>
      <c r="BG10" s="55">
        <v>37</v>
      </c>
      <c r="BH10" s="55">
        <v>0</v>
      </c>
      <c r="BI10" s="55">
        <v>22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248</v>
      </c>
      <c r="B11" t="s">
        <v>228</v>
      </c>
      <c r="C11" t="s">
        <v>249</v>
      </c>
      <c r="D11" t="s">
        <v>500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16"/>
        <v>10.840634357325053</v>
      </c>
      <c r="L11" s="46">
        <f t="shared" si="17"/>
        <v>69.159365642674942</v>
      </c>
      <c r="M11" s="47">
        <f t="shared" si="18"/>
        <v>89.159365642674942</v>
      </c>
      <c r="N11" s="47">
        <f t="shared" si="19"/>
        <v>111.15936564267494</v>
      </c>
      <c r="O11" s="48">
        <f t="shared" si="20"/>
        <v>-18</v>
      </c>
      <c r="P11" s="48">
        <f t="shared" si="21"/>
        <v>-29</v>
      </c>
      <c r="Q11" s="58">
        <f t="shared" si="22"/>
        <v>-17</v>
      </c>
      <c r="R11" s="59">
        <f t="shared" si="23"/>
        <v>137</v>
      </c>
      <c r="S11" s="60">
        <f t="shared" si="24"/>
        <v>-24</v>
      </c>
      <c r="T11" s="60">
        <f t="shared" si="25"/>
        <v>137</v>
      </c>
      <c r="U11" s="62">
        <f t="shared" si="26"/>
        <v>24</v>
      </c>
      <c r="V11" s="53">
        <f t="shared" si="27"/>
        <v>111.15936564267494</v>
      </c>
      <c r="W11" s="54">
        <f t="shared" si="28"/>
        <v>89.159365642674942</v>
      </c>
      <c r="X11" s="54">
        <f t="shared" si="29"/>
        <v>69.159365642674942</v>
      </c>
      <c r="Y11" s="55">
        <f t="shared" si="30"/>
        <v>17</v>
      </c>
      <c r="Z11" s="55">
        <f t="shared" si="31"/>
        <v>29</v>
      </c>
      <c r="AA11" s="56">
        <f t="shared" si="32"/>
        <v>18</v>
      </c>
      <c r="AB11" s="9"/>
      <c r="AC11" s="57">
        <v>80</v>
      </c>
      <c r="AD11" s="48">
        <v>0</v>
      </c>
      <c r="AE11" s="48">
        <f>80+20</f>
        <v>100</v>
      </c>
      <c r="AF11" s="48">
        <v>0</v>
      </c>
      <c r="AG11" s="48">
        <f>80+20+22</f>
        <v>122</v>
      </c>
      <c r="AH11" s="48">
        <v>0</v>
      </c>
      <c r="AI11" s="48">
        <v>-18</v>
      </c>
      <c r="AJ11" s="48">
        <v>0</v>
      </c>
      <c r="AK11" s="48">
        <v>-29</v>
      </c>
      <c r="AL11" s="48">
        <v>0</v>
      </c>
      <c r="AM11" s="48">
        <v>-17</v>
      </c>
      <c r="AN11" s="58">
        <v>0</v>
      </c>
      <c r="AO11" s="9"/>
      <c r="AP11" s="59">
        <f>80+20+22+15</f>
        <v>137</v>
      </c>
      <c r="AQ11" s="60">
        <v>0</v>
      </c>
      <c r="AR11" s="60">
        <v>-24</v>
      </c>
      <c r="AS11" s="60">
        <v>0</v>
      </c>
      <c r="AT11" s="60">
        <f>80+20+22+15</f>
        <v>137</v>
      </c>
      <c r="AU11" s="60">
        <v>0</v>
      </c>
      <c r="AV11" s="60">
        <v>24</v>
      </c>
      <c r="AW11" s="62">
        <v>0</v>
      </c>
      <c r="AX11" s="9"/>
      <c r="AY11" s="61">
        <f>80+20+22</f>
        <v>122</v>
      </c>
      <c r="AZ11" s="55">
        <v>0</v>
      </c>
      <c r="BA11" s="55">
        <f>80+20</f>
        <v>100</v>
      </c>
      <c r="BB11" s="55">
        <v>0</v>
      </c>
      <c r="BC11" s="55">
        <v>80</v>
      </c>
      <c r="BD11" s="55">
        <v>0</v>
      </c>
      <c r="BE11" s="55">
        <v>17</v>
      </c>
      <c r="BF11" s="55">
        <v>0</v>
      </c>
      <c r="BG11" s="55">
        <v>29</v>
      </c>
      <c r="BH11" s="55">
        <v>0</v>
      </c>
      <c r="BI11" s="55">
        <v>18</v>
      </c>
      <c r="BJ11" s="56">
        <v>0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251</v>
      </c>
      <c r="B12" t="s">
        <v>228</v>
      </c>
      <c r="C12" t="s">
        <v>252</v>
      </c>
      <c r="D12" t="s">
        <v>74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16"/>
        <v>10.840634357325053</v>
      </c>
      <c r="L12" s="46">
        <f t="shared" si="17"/>
        <v>53.159365642674949</v>
      </c>
      <c r="M12" s="47">
        <f t="shared" si="18"/>
        <v>74.659365642674942</v>
      </c>
      <c r="N12" s="47">
        <f t="shared" si="19"/>
        <v>98.659365642674942</v>
      </c>
      <c r="O12" s="47">
        <f t="shared" si="20"/>
        <v>-20.5</v>
      </c>
      <c r="P12" s="48">
        <f t="shared" si="21"/>
        <v>-27</v>
      </c>
      <c r="Q12" s="49">
        <f t="shared" si="22"/>
        <v>-18.5</v>
      </c>
      <c r="R12" s="50">
        <f t="shared" si="23"/>
        <v>119.5</v>
      </c>
      <c r="S12" s="51">
        <f t="shared" si="24"/>
        <v>-25.75</v>
      </c>
      <c r="T12" s="51">
        <f t="shared" si="25"/>
        <v>119.5</v>
      </c>
      <c r="U12" s="52">
        <f t="shared" si="26"/>
        <v>25.75</v>
      </c>
      <c r="V12" s="53">
        <f t="shared" si="27"/>
        <v>98.659365642674942</v>
      </c>
      <c r="W12" s="54">
        <f t="shared" si="28"/>
        <v>74.659365642674942</v>
      </c>
      <c r="X12" s="54">
        <f t="shared" si="29"/>
        <v>53.159365642674949</v>
      </c>
      <c r="Y12" s="54">
        <f t="shared" si="30"/>
        <v>18.5</v>
      </c>
      <c r="Z12" s="55">
        <f t="shared" si="31"/>
        <v>27</v>
      </c>
      <c r="AA12" s="64">
        <f t="shared" si="32"/>
        <v>20.5</v>
      </c>
      <c r="AB12" s="9"/>
      <c r="AC12" s="57">
        <v>64</v>
      </c>
      <c r="AD12" s="48">
        <v>0</v>
      </c>
      <c r="AE12" s="48">
        <f>64+21</f>
        <v>85</v>
      </c>
      <c r="AF12" s="48">
        <v>6</v>
      </c>
      <c r="AG12" s="48">
        <f>64+21+24</f>
        <v>109</v>
      </c>
      <c r="AH12" s="48">
        <v>6</v>
      </c>
      <c r="AI12" s="48">
        <v>-20</v>
      </c>
      <c r="AJ12" s="48">
        <v>-6</v>
      </c>
      <c r="AK12" s="48">
        <v>-27</v>
      </c>
      <c r="AL12" s="48">
        <v>0</v>
      </c>
      <c r="AM12" s="48">
        <v>-18</v>
      </c>
      <c r="AN12" s="58">
        <v>-6</v>
      </c>
      <c r="AO12" s="9"/>
      <c r="AP12" s="59">
        <f>64+21+24+10</f>
        <v>119</v>
      </c>
      <c r="AQ12" s="60">
        <v>6</v>
      </c>
      <c r="AR12" s="60">
        <v>-25</v>
      </c>
      <c r="AS12" s="60">
        <v>-9</v>
      </c>
      <c r="AT12" s="60">
        <f>64+21+24+10</f>
        <v>119</v>
      </c>
      <c r="AU12" s="60">
        <v>6</v>
      </c>
      <c r="AV12" s="60">
        <v>25</v>
      </c>
      <c r="AW12" s="62">
        <v>9</v>
      </c>
      <c r="AX12" s="9"/>
      <c r="AY12" s="61">
        <f>64+21+24</f>
        <v>109</v>
      </c>
      <c r="AZ12" s="55">
        <v>6</v>
      </c>
      <c r="BA12" s="55">
        <f>64+21</f>
        <v>85</v>
      </c>
      <c r="BB12" s="55">
        <v>6</v>
      </c>
      <c r="BC12" s="55">
        <v>64</v>
      </c>
      <c r="BD12" s="55">
        <v>0</v>
      </c>
      <c r="BE12" s="55">
        <v>18</v>
      </c>
      <c r="BF12" s="55">
        <v>6</v>
      </c>
      <c r="BG12" s="55">
        <v>27</v>
      </c>
      <c r="BH12" s="55">
        <v>0</v>
      </c>
      <c r="BI12" s="55">
        <v>20</v>
      </c>
      <c r="BJ12" s="56">
        <v>6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363</v>
      </c>
      <c r="B13" t="s">
        <v>228</v>
      </c>
      <c r="C13" t="s">
        <v>404</v>
      </c>
      <c r="D13" t="s">
        <v>501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16"/>
        <v>10.840634357325053</v>
      </c>
      <c r="L13" s="46">
        <f>AC13+(AD13*(1/12))-K13</f>
        <v>39.159365642674949</v>
      </c>
      <c r="M13" s="47">
        <f t="shared" si="18"/>
        <v>61.159365642674949</v>
      </c>
      <c r="N13" s="47">
        <f t="shared" si="19"/>
        <v>83.159365642674942</v>
      </c>
      <c r="O13" s="47">
        <f t="shared" si="20"/>
        <v>-25</v>
      </c>
      <c r="P13" s="48">
        <f t="shared" si="21"/>
        <v>-25</v>
      </c>
      <c r="Q13" s="49">
        <f t="shared" si="22"/>
        <v>-25</v>
      </c>
      <c r="R13" s="50">
        <f t="shared" si="23"/>
        <v>98.5</v>
      </c>
      <c r="S13" s="51">
        <f t="shared" si="24"/>
        <v>-18</v>
      </c>
      <c r="T13" s="51">
        <f t="shared" si="25"/>
        <v>98.5</v>
      </c>
      <c r="U13" s="52">
        <f t="shared" si="26"/>
        <v>18</v>
      </c>
      <c r="V13" s="53">
        <f t="shared" si="27"/>
        <v>83.159365642674942</v>
      </c>
      <c r="W13" s="54">
        <f t="shared" si="28"/>
        <v>61.159365642674949</v>
      </c>
      <c r="X13" s="54">
        <f t="shared" si="29"/>
        <v>39.159365642674949</v>
      </c>
      <c r="Y13" s="54">
        <f t="shared" si="30"/>
        <v>-25</v>
      </c>
      <c r="Z13" s="55">
        <f t="shared" si="31"/>
        <v>-25</v>
      </c>
      <c r="AA13" s="64">
        <f t="shared" si="32"/>
        <v>-25</v>
      </c>
      <c r="AB13" s="9"/>
      <c r="AC13" s="57">
        <v>50</v>
      </c>
      <c r="AD13" s="48">
        <v>0</v>
      </c>
      <c r="AE13" s="48">
        <f>50+22</f>
        <v>72</v>
      </c>
      <c r="AF13" s="48">
        <v>0</v>
      </c>
      <c r="AG13" s="48">
        <f>50+22+22</f>
        <v>94</v>
      </c>
      <c r="AH13" s="48">
        <v>0</v>
      </c>
      <c r="AI13" s="48">
        <v>-25</v>
      </c>
      <c r="AJ13" s="48">
        <v>0</v>
      </c>
      <c r="AK13" s="48">
        <v>-25</v>
      </c>
      <c r="AL13" s="48">
        <v>0</v>
      </c>
      <c r="AM13" s="48">
        <v>-25</v>
      </c>
      <c r="AN13" s="58">
        <v>0</v>
      </c>
      <c r="AO13" s="9"/>
      <c r="AP13" s="59">
        <f>50+22+22+4</f>
        <v>98</v>
      </c>
      <c r="AQ13" s="60">
        <v>6</v>
      </c>
      <c r="AR13" s="60">
        <v>-18</v>
      </c>
      <c r="AS13" s="60">
        <v>0</v>
      </c>
      <c r="AT13" s="60">
        <f>50+22+22+4</f>
        <v>98</v>
      </c>
      <c r="AU13" s="60">
        <v>6</v>
      </c>
      <c r="AV13" s="60">
        <v>18</v>
      </c>
      <c r="AW13" s="62">
        <v>0</v>
      </c>
      <c r="AX13" s="9"/>
      <c r="AY13" s="61">
        <f>50+22+22</f>
        <v>94</v>
      </c>
      <c r="AZ13" s="55">
        <v>0</v>
      </c>
      <c r="BA13" s="55">
        <f>50+22</f>
        <v>72</v>
      </c>
      <c r="BB13" s="55">
        <v>0</v>
      </c>
      <c r="BC13" s="55">
        <v>50</v>
      </c>
      <c r="BD13" s="55">
        <v>0</v>
      </c>
      <c r="BE13" s="55">
        <v>-25</v>
      </c>
      <c r="BF13" s="55">
        <v>0</v>
      </c>
      <c r="BG13" s="55">
        <v>-25</v>
      </c>
      <c r="BH13" s="55">
        <v>0</v>
      </c>
      <c r="BI13" s="55">
        <v>-25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364</v>
      </c>
      <c r="B14" t="s">
        <v>228</v>
      </c>
      <c r="C14" t="s">
        <v>275</v>
      </c>
      <c r="D14" t="s">
        <v>139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ref="K14" si="33">((G14*H14)/I14)*J14*(1/304.8)</f>
        <v>10.840634357325053</v>
      </c>
      <c r="L14" s="46">
        <f t="shared" ref="L14" si="34">AC14+(AD14*(1/12))-K14</f>
        <v>61.659365642674949</v>
      </c>
      <c r="M14" s="47">
        <f t="shared" ref="M14" si="35">AE14+(AF14*(1/12))-K14</f>
        <v>89.659365642674942</v>
      </c>
      <c r="N14" s="47">
        <f t="shared" ref="N14" si="36">AG14+(AH14*(1/12))-K14</f>
        <v>117.65936564267494</v>
      </c>
      <c r="O14" s="47">
        <f t="shared" ref="O14" si="37">AI14+(AJ14*(1/12))</f>
        <v>-15</v>
      </c>
      <c r="P14" s="48">
        <f t="shared" ref="P14" si="38">AK14+(AL14*(1/12))</f>
        <v>-20</v>
      </c>
      <c r="Q14" s="49">
        <f t="shared" ref="Q14" si="39">AM14+(AN14*(1/12))</f>
        <v>-15</v>
      </c>
      <c r="R14" s="50">
        <f t="shared" ref="R14" si="40">AP14+((1/12)*AQ14)</f>
        <v>136</v>
      </c>
      <c r="S14" s="51">
        <f t="shared" ref="S14" si="41">AR14+((1/12)*AS14)</f>
        <v>-9</v>
      </c>
      <c r="T14" s="51">
        <f t="shared" ref="T14" si="42">AT14+((1/12)*AU14)</f>
        <v>136</v>
      </c>
      <c r="U14" s="52">
        <f t="shared" ref="U14" si="43">AV14+((1/12)*AW14)</f>
        <v>9</v>
      </c>
      <c r="V14" s="53">
        <f t="shared" ref="V14" si="44">AY14+(AZ14*(1/12))-K14</f>
        <v>117.65936564267494</v>
      </c>
      <c r="W14" s="54">
        <f t="shared" ref="W14" si="45">BA14+(BB14*(1/12))-K14</f>
        <v>89.659365642674942</v>
      </c>
      <c r="X14" s="54">
        <f t="shared" ref="X14" si="46">BC14+(BD14*(1/12))-K14</f>
        <v>61.659365642674949</v>
      </c>
      <c r="Y14" s="54">
        <f t="shared" ref="Y14" si="47">BE14+(BF14*(1/12))</f>
        <v>15</v>
      </c>
      <c r="Z14" s="55">
        <f t="shared" ref="Z14" si="48">BG14+(BH14*(1/12))</f>
        <v>20</v>
      </c>
      <c r="AA14" s="64">
        <f t="shared" ref="AA14" si="49">BI14+(BJ14*(1/12))</f>
        <v>15</v>
      </c>
      <c r="AB14" s="9"/>
      <c r="AC14" s="57">
        <v>72</v>
      </c>
      <c r="AD14" s="48">
        <v>6</v>
      </c>
      <c r="AE14" s="48">
        <f>72+28</f>
        <v>100</v>
      </c>
      <c r="AF14" s="48">
        <v>6</v>
      </c>
      <c r="AG14" s="48">
        <f>72+28+28</f>
        <v>128</v>
      </c>
      <c r="AH14" s="48">
        <v>6</v>
      </c>
      <c r="AI14" s="48">
        <v>-15</v>
      </c>
      <c r="AJ14" s="48">
        <v>0</v>
      </c>
      <c r="AK14" s="48">
        <v>-20</v>
      </c>
      <c r="AL14" s="48">
        <v>0</v>
      </c>
      <c r="AM14" s="48">
        <v>-15</v>
      </c>
      <c r="AN14" s="58">
        <v>0</v>
      </c>
      <c r="AO14" s="9"/>
      <c r="AP14" s="59">
        <v>136</v>
      </c>
      <c r="AQ14" s="60">
        <v>0</v>
      </c>
      <c r="AR14" s="60">
        <v>-9</v>
      </c>
      <c r="AS14" s="60">
        <v>0</v>
      </c>
      <c r="AT14" s="60">
        <v>136</v>
      </c>
      <c r="AU14" s="60">
        <v>0</v>
      </c>
      <c r="AV14" s="60">
        <v>9</v>
      </c>
      <c r="AW14" s="62">
        <v>0</v>
      </c>
      <c r="AX14" s="9"/>
      <c r="AY14" s="61">
        <f>72+28+28</f>
        <v>128</v>
      </c>
      <c r="AZ14" s="55">
        <v>6</v>
      </c>
      <c r="BA14" s="55">
        <f>72+28</f>
        <v>100</v>
      </c>
      <c r="BB14" s="55">
        <v>6</v>
      </c>
      <c r="BC14" s="55">
        <v>72</v>
      </c>
      <c r="BD14" s="55">
        <v>6</v>
      </c>
      <c r="BE14" s="55">
        <v>15</v>
      </c>
      <c r="BF14" s="55">
        <v>0</v>
      </c>
      <c r="BG14" s="55">
        <v>20</v>
      </c>
      <c r="BH14" s="55">
        <v>0</v>
      </c>
      <c r="BI14" s="55">
        <v>15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253</v>
      </c>
      <c r="B15" t="s">
        <v>228</v>
      </c>
      <c r="C15" t="s">
        <v>254</v>
      </c>
      <c r="D15" t="s">
        <v>83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16"/>
        <v>10.840634357325053</v>
      </c>
      <c r="L15" s="46">
        <f t="shared" si="17"/>
        <v>91.159365642674942</v>
      </c>
      <c r="M15" s="47">
        <f t="shared" si="18"/>
        <v>65.159365642674942</v>
      </c>
      <c r="N15" s="47">
        <f t="shared" si="19"/>
        <v>65.159365642674942</v>
      </c>
      <c r="O15" s="47">
        <f t="shared" si="20"/>
        <v>-17.666666666666668</v>
      </c>
      <c r="P15" s="48">
        <f t="shared" si="21"/>
        <v>-37</v>
      </c>
      <c r="Q15" s="58">
        <f t="shared" si="22"/>
        <v>-17</v>
      </c>
      <c r="R15" s="59">
        <f t="shared" si="23"/>
        <v>109</v>
      </c>
      <c r="S15" s="51">
        <f t="shared" si="24"/>
        <v>-23.333333333333332</v>
      </c>
      <c r="T15" s="60">
        <f t="shared" si="25"/>
        <v>109</v>
      </c>
      <c r="U15" s="52">
        <f t="shared" si="26"/>
        <v>23.333333333333332</v>
      </c>
      <c r="V15" s="53">
        <f t="shared" si="27"/>
        <v>91.159365642674942</v>
      </c>
      <c r="W15" s="54">
        <f t="shared" si="28"/>
        <v>65.159365642674942</v>
      </c>
      <c r="X15" s="54">
        <f t="shared" si="29"/>
        <v>65.159365642674942</v>
      </c>
      <c r="Y15" s="54">
        <f t="shared" si="30"/>
        <v>17.666666666666668</v>
      </c>
      <c r="Z15" s="55">
        <f t="shared" si="31"/>
        <v>17</v>
      </c>
      <c r="AA15" s="56">
        <f t="shared" si="32"/>
        <v>37</v>
      </c>
      <c r="AB15" s="9"/>
      <c r="AC15" s="57">
        <f>76+26</f>
        <v>102</v>
      </c>
      <c r="AD15" s="48">
        <v>0</v>
      </c>
      <c r="AE15" s="48">
        <v>76</v>
      </c>
      <c r="AF15" s="48">
        <v>0</v>
      </c>
      <c r="AG15" s="48">
        <v>76</v>
      </c>
      <c r="AH15" s="48">
        <v>0</v>
      </c>
      <c r="AI15" s="48">
        <v>-17</v>
      </c>
      <c r="AJ15" s="48">
        <v>-8</v>
      </c>
      <c r="AK15" s="48">
        <f>-17-20</f>
        <v>-37</v>
      </c>
      <c r="AL15" s="48">
        <v>0</v>
      </c>
      <c r="AM15" s="48">
        <v>-17</v>
      </c>
      <c r="AN15" s="58">
        <v>0</v>
      </c>
      <c r="AO15" s="9"/>
      <c r="AP15" s="59">
        <f>76+26+7</f>
        <v>109</v>
      </c>
      <c r="AQ15" s="60">
        <v>0</v>
      </c>
      <c r="AR15" s="60">
        <v>-23</v>
      </c>
      <c r="AS15" s="60">
        <v>-4</v>
      </c>
      <c r="AT15" s="60">
        <f>76+26+7</f>
        <v>109</v>
      </c>
      <c r="AU15" s="60">
        <v>0</v>
      </c>
      <c r="AV15" s="60">
        <v>23</v>
      </c>
      <c r="AW15" s="62">
        <v>4</v>
      </c>
      <c r="AX15" s="9"/>
      <c r="AY15" s="61">
        <f>76+26</f>
        <v>102</v>
      </c>
      <c r="AZ15" s="55">
        <v>0</v>
      </c>
      <c r="BA15" s="55">
        <v>76</v>
      </c>
      <c r="BB15" s="55">
        <v>0</v>
      </c>
      <c r="BC15" s="55">
        <v>76</v>
      </c>
      <c r="BD15" s="55">
        <v>0</v>
      </c>
      <c r="BE15" s="55">
        <v>17</v>
      </c>
      <c r="BF15" s="55">
        <v>8</v>
      </c>
      <c r="BG15" s="55">
        <v>17</v>
      </c>
      <c r="BH15" s="55">
        <v>0</v>
      </c>
      <c r="BI15" s="55">
        <f>17+20</f>
        <v>37</v>
      </c>
      <c r="BJ15" s="56">
        <v>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256</v>
      </c>
      <c r="B16" t="s">
        <v>228</v>
      </c>
      <c r="C16" t="s">
        <v>257</v>
      </c>
      <c r="D16" t="s">
        <v>502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16"/>
        <v>10.840634357325053</v>
      </c>
      <c r="L16" s="46">
        <f t="shared" si="17"/>
        <v>77.159365642674942</v>
      </c>
      <c r="M16" s="47">
        <f t="shared" si="18"/>
        <v>52.159365642674949</v>
      </c>
      <c r="N16" s="47">
        <f t="shared" si="19"/>
        <v>52.159365642674949</v>
      </c>
      <c r="O16" s="47">
        <f t="shared" si="20"/>
        <v>-25.583333333333332</v>
      </c>
      <c r="P16" s="47">
        <f t="shared" si="21"/>
        <v>-37.833333333333336</v>
      </c>
      <c r="Q16" s="49">
        <f t="shared" si="22"/>
        <v>-14.333333333333334</v>
      </c>
      <c r="R16" s="59">
        <f t="shared" si="23"/>
        <v>103</v>
      </c>
      <c r="S16" s="51">
        <f t="shared" si="24"/>
        <v>-15.666666666666666</v>
      </c>
      <c r="T16" s="60">
        <f t="shared" si="25"/>
        <v>103</v>
      </c>
      <c r="U16" s="52">
        <f t="shared" si="26"/>
        <v>15.666666666666666</v>
      </c>
      <c r="V16" s="53">
        <f t="shared" si="27"/>
        <v>77.159365642674942</v>
      </c>
      <c r="W16" s="54">
        <f t="shared" si="28"/>
        <v>52.159365642674949</v>
      </c>
      <c r="X16" s="54">
        <f t="shared" si="29"/>
        <v>52.159365642674949</v>
      </c>
      <c r="Y16" s="54">
        <f t="shared" si="30"/>
        <v>25.583333333333332</v>
      </c>
      <c r="Z16" s="54">
        <f t="shared" si="31"/>
        <v>14.333333333333334</v>
      </c>
      <c r="AA16" s="64">
        <f t="shared" si="32"/>
        <v>37.833333333333336</v>
      </c>
      <c r="AB16" s="9"/>
      <c r="AC16" s="57">
        <f>63+25</f>
        <v>88</v>
      </c>
      <c r="AD16" s="48">
        <v>0</v>
      </c>
      <c r="AE16" s="48">
        <v>63</v>
      </c>
      <c r="AF16" s="48">
        <v>0</v>
      </c>
      <c r="AG16" s="48">
        <v>63</v>
      </c>
      <c r="AH16" s="48">
        <v>0</v>
      </c>
      <c r="AI16" s="48">
        <v>-25</v>
      </c>
      <c r="AJ16" s="48">
        <v>-7</v>
      </c>
      <c r="AK16" s="48">
        <f>-14-23</f>
        <v>-37</v>
      </c>
      <c r="AL16" s="48">
        <f>-6-4</f>
        <v>-10</v>
      </c>
      <c r="AM16" s="48">
        <v>-14</v>
      </c>
      <c r="AN16" s="58">
        <v>-4</v>
      </c>
      <c r="AO16" s="9"/>
      <c r="AP16" s="59">
        <f>63+25+15</f>
        <v>103</v>
      </c>
      <c r="AQ16" s="60">
        <v>0</v>
      </c>
      <c r="AR16" s="60">
        <v>-15</v>
      </c>
      <c r="AS16" s="60">
        <v>-8</v>
      </c>
      <c r="AT16" s="60">
        <f>63+25+15</f>
        <v>103</v>
      </c>
      <c r="AU16" s="60">
        <v>0</v>
      </c>
      <c r="AV16" s="60">
        <v>15</v>
      </c>
      <c r="AW16" s="62">
        <v>8</v>
      </c>
      <c r="AX16" s="9"/>
      <c r="AY16" s="61">
        <f>63+25</f>
        <v>88</v>
      </c>
      <c r="AZ16" s="55">
        <v>0</v>
      </c>
      <c r="BA16" s="55">
        <v>63</v>
      </c>
      <c r="BB16" s="55">
        <v>0</v>
      </c>
      <c r="BC16" s="55">
        <v>63</v>
      </c>
      <c r="BD16" s="55">
        <v>0</v>
      </c>
      <c r="BE16" s="55">
        <v>25</v>
      </c>
      <c r="BF16" s="55">
        <v>7</v>
      </c>
      <c r="BG16" s="55">
        <v>14</v>
      </c>
      <c r="BH16" s="55">
        <v>4</v>
      </c>
      <c r="BI16" s="55">
        <f>14+23</f>
        <v>37</v>
      </c>
      <c r="BJ16" s="56">
        <f>4+6</f>
        <v>10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258</v>
      </c>
      <c r="B17" t="s">
        <v>228</v>
      </c>
      <c r="C17" t="s">
        <v>259</v>
      </c>
      <c r="D17" t="s">
        <v>47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16"/>
        <v>10.840634357325053</v>
      </c>
      <c r="L17" s="46">
        <f t="shared" si="17"/>
        <v>97.159365642674942</v>
      </c>
      <c r="M17" s="47">
        <f t="shared" si="18"/>
        <v>54.159365642674949</v>
      </c>
      <c r="N17" s="47">
        <f t="shared" si="19"/>
        <v>54.159365642674949</v>
      </c>
      <c r="O17" s="47">
        <f t="shared" si="20"/>
        <v>-28.5</v>
      </c>
      <c r="P17" s="47">
        <f t="shared" si="21"/>
        <v>-40.5</v>
      </c>
      <c r="Q17" s="49">
        <f t="shared" si="22"/>
        <v>-16.5</v>
      </c>
      <c r="R17" s="59">
        <f t="shared" si="23"/>
        <v>117</v>
      </c>
      <c r="S17" s="51">
        <f t="shared" si="24"/>
        <v>-40.5</v>
      </c>
      <c r="T17" s="60">
        <f t="shared" si="25"/>
        <v>117</v>
      </c>
      <c r="U17" s="52">
        <f t="shared" si="26"/>
        <v>40.5</v>
      </c>
      <c r="V17" s="53">
        <f t="shared" si="27"/>
        <v>97.159365642674942</v>
      </c>
      <c r="W17" s="54">
        <f t="shared" si="28"/>
        <v>54.159365642674949</v>
      </c>
      <c r="X17" s="54">
        <f t="shared" si="29"/>
        <v>54.159365642674949</v>
      </c>
      <c r="Y17" s="55">
        <f t="shared" si="30"/>
        <v>69</v>
      </c>
      <c r="Z17" s="54">
        <f t="shared" si="31"/>
        <v>16.5</v>
      </c>
      <c r="AA17" s="56">
        <f t="shared" si="32"/>
        <v>81</v>
      </c>
      <c r="AB17" s="9"/>
      <c r="AC17" s="57">
        <f>65+43</f>
        <v>108</v>
      </c>
      <c r="AD17" s="48">
        <v>0</v>
      </c>
      <c r="AE17" s="48">
        <v>65</v>
      </c>
      <c r="AF17" s="48">
        <v>0</v>
      </c>
      <c r="AG17" s="48">
        <v>65</v>
      </c>
      <c r="AH17" s="48">
        <v>0</v>
      </c>
      <c r="AI17" s="47">
        <f>(-81/2)+12</f>
        <v>-28.5</v>
      </c>
      <c r="AJ17" s="48">
        <v>0</v>
      </c>
      <c r="AK17" s="47">
        <f>AI17-12</f>
        <v>-40.5</v>
      </c>
      <c r="AL17" s="48">
        <v>0</v>
      </c>
      <c r="AM17" s="47">
        <f>AI17+12</f>
        <v>-16.5</v>
      </c>
      <c r="AN17" s="58">
        <v>0</v>
      </c>
      <c r="AO17" s="9"/>
      <c r="AP17" s="59">
        <f>65+43+9</f>
        <v>117</v>
      </c>
      <c r="AQ17" s="60">
        <v>0</v>
      </c>
      <c r="AR17" s="51">
        <f>-81/2</f>
        <v>-40.5</v>
      </c>
      <c r="AS17" s="60">
        <v>0</v>
      </c>
      <c r="AT17" s="60">
        <f>65+43+9</f>
        <v>117</v>
      </c>
      <c r="AU17" s="60">
        <v>0</v>
      </c>
      <c r="AV17" s="51">
        <f>81/2</f>
        <v>40.5</v>
      </c>
      <c r="AW17" s="62">
        <v>0</v>
      </c>
      <c r="AX17" s="9"/>
      <c r="AY17" s="61">
        <f>65+43</f>
        <v>108</v>
      </c>
      <c r="AZ17" s="55">
        <v>0</v>
      </c>
      <c r="BA17" s="55">
        <v>65</v>
      </c>
      <c r="BB17" s="55">
        <v>0</v>
      </c>
      <c r="BC17" s="55">
        <v>65</v>
      </c>
      <c r="BD17" s="55">
        <v>0</v>
      </c>
      <c r="BE17" s="55">
        <f>81-12</f>
        <v>69</v>
      </c>
      <c r="BF17" s="55">
        <v>0</v>
      </c>
      <c r="BG17" s="54">
        <f>(81/2)-24</f>
        <v>16.5</v>
      </c>
      <c r="BH17" s="55">
        <v>0</v>
      </c>
      <c r="BI17" s="55">
        <v>81</v>
      </c>
      <c r="BJ17" s="56">
        <v>0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262</v>
      </c>
      <c r="B18" t="s">
        <v>263</v>
      </c>
      <c r="C18" t="s">
        <v>264</v>
      </c>
      <c r="D18" t="s">
        <v>112</v>
      </c>
      <c r="E18" s="44">
        <v>1</v>
      </c>
      <c r="F18" s="44">
        <v>1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16"/>
        <v>10.840634357325053</v>
      </c>
      <c r="L18" s="46">
        <f t="shared" si="17"/>
        <v>64.159365642674942</v>
      </c>
      <c r="M18" s="47">
        <f t="shared" si="18"/>
        <v>75.659365642674942</v>
      </c>
      <c r="N18" s="47">
        <f t="shared" si="19"/>
        <v>87.159365642674942</v>
      </c>
      <c r="O18" s="48">
        <f t="shared" si="20"/>
        <v>9</v>
      </c>
      <c r="P18" s="48">
        <f t="shared" si="21"/>
        <v>-9</v>
      </c>
      <c r="Q18" s="58">
        <f t="shared" si="22"/>
        <v>9</v>
      </c>
      <c r="R18" s="50">
        <f t="shared" si="23"/>
        <v>131.5</v>
      </c>
      <c r="S18" s="60">
        <f t="shared" si="24"/>
        <v>0</v>
      </c>
      <c r="T18" s="60">
        <f t="shared" si="25"/>
        <v>0</v>
      </c>
      <c r="U18" s="62">
        <f t="shared" si="26"/>
        <v>0</v>
      </c>
      <c r="V18" s="53">
        <f t="shared" si="27"/>
        <v>-10.840634357325053</v>
      </c>
      <c r="W18" s="54">
        <f t="shared" si="28"/>
        <v>-10.840634357325053</v>
      </c>
      <c r="X18" s="54">
        <f t="shared" si="29"/>
        <v>-10.840634357325053</v>
      </c>
      <c r="Y18" s="55">
        <f t="shared" si="30"/>
        <v>0</v>
      </c>
      <c r="Z18" s="55">
        <f t="shared" si="31"/>
        <v>0</v>
      </c>
      <c r="AA18" s="56">
        <f t="shared" si="32"/>
        <v>0</v>
      </c>
      <c r="AB18" s="9"/>
      <c r="AC18" s="57">
        <v>75</v>
      </c>
      <c r="AD18" s="48">
        <v>0</v>
      </c>
      <c r="AE18" s="48">
        <f>75+11</f>
        <v>86</v>
      </c>
      <c r="AF18" s="48">
        <v>6</v>
      </c>
      <c r="AG18" s="48">
        <f>75+23</f>
        <v>98</v>
      </c>
      <c r="AH18" s="48">
        <v>0</v>
      </c>
      <c r="AI18" s="48">
        <v>9</v>
      </c>
      <c r="AJ18" s="48">
        <v>0</v>
      </c>
      <c r="AK18" s="48">
        <v>-9</v>
      </c>
      <c r="AL18" s="48">
        <v>0</v>
      </c>
      <c r="AM18" s="48">
        <v>9</v>
      </c>
      <c r="AN18" s="58">
        <v>0</v>
      </c>
      <c r="AO18" s="9"/>
      <c r="AP18" s="59">
        <f>75+11+45</f>
        <v>131</v>
      </c>
      <c r="AQ18" s="60">
        <v>6</v>
      </c>
      <c r="AR18" s="60">
        <v>0</v>
      </c>
      <c r="AS18" s="60">
        <v>0</v>
      </c>
      <c r="AT18" s="60">
        <v>0</v>
      </c>
      <c r="AU18" s="60">
        <v>0</v>
      </c>
      <c r="AV18" s="60">
        <v>0</v>
      </c>
      <c r="AW18" s="62">
        <v>0</v>
      </c>
      <c r="AX18" s="9"/>
      <c r="AY18" s="63"/>
      <c r="AZ18" s="15"/>
      <c r="BA18" s="63"/>
      <c r="BB18" s="15"/>
      <c r="BC18" s="63"/>
      <c r="BD18" s="15"/>
      <c r="BE18" s="15"/>
      <c r="BF18" s="15"/>
      <c r="BG18" s="15"/>
      <c r="BH18" s="15"/>
      <c r="BI18" s="15"/>
      <c r="BJ18" s="15"/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265</v>
      </c>
      <c r="B19" t="s">
        <v>263</v>
      </c>
      <c r="C19" t="s">
        <v>266</v>
      </c>
      <c r="D19" t="s">
        <v>503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16"/>
        <v>10.840634357325053</v>
      </c>
      <c r="L19" s="46">
        <f t="shared" si="17"/>
        <v>54.159365642674949</v>
      </c>
      <c r="M19" s="47">
        <f t="shared" si="18"/>
        <v>77.159365642674942</v>
      </c>
      <c r="N19" s="47">
        <f t="shared" si="19"/>
        <v>100.15936564267494</v>
      </c>
      <c r="O19" s="48">
        <f t="shared" si="20"/>
        <v>-15</v>
      </c>
      <c r="P19" s="48">
        <f t="shared" si="21"/>
        <v>-15</v>
      </c>
      <c r="Q19" s="58">
        <f t="shared" si="22"/>
        <v>-15</v>
      </c>
      <c r="R19" s="59">
        <f t="shared" si="23"/>
        <v>132</v>
      </c>
      <c r="S19" s="60">
        <f t="shared" si="24"/>
        <v>-14</v>
      </c>
      <c r="T19" s="60">
        <f t="shared" si="25"/>
        <v>132</v>
      </c>
      <c r="U19" s="62">
        <f t="shared" si="26"/>
        <v>14</v>
      </c>
      <c r="V19" s="53">
        <f t="shared" si="27"/>
        <v>100.15936564267494</v>
      </c>
      <c r="W19" s="54">
        <f t="shared" si="28"/>
        <v>77.159365642674942</v>
      </c>
      <c r="X19" s="54">
        <f t="shared" si="29"/>
        <v>54.159365642674949</v>
      </c>
      <c r="Y19" s="55">
        <f t="shared" si="30"/>
        <v>15</v>
      </c>
      <c r="Z19" s="55">
        <f t="shared" si="31"/>
        <v>15</v>
      </c>
      <c r="AA19" s="56">
        <f t="shared" si="32"/>
        <v>15</v>
      </c>
      <c r="AB19" s="9"/>
      <c r="AC19" s="57">
        <f>132-21-23-23</f>
        <v>65</v>
      </c>
      <c r="AD19" s="48">
        <v>0</v>
      </c>
      <c r="AE19" s="48">
        <f>132-21-23</f>
        <v>88</v>
      </c>
      <c r="AF19" s="48">
        <v>0</v>
      </c>
      <c r="AG19" s="48">
        <f>132-21</f>
        <v>111</v>
      </c>
      <c r="AH19" s="48">
        <v>0</v>
      </c>
      <c r="AI19" s="48">
        <v>-15</v>
      </c>
      <c r="AJ19" s="48">
        <v>0</v>
      </c>
      <c r="AK19" s="48">
        <v>-15</v>
      </c>
      <c r="AL19" s="48">
        <v>0</v>
      </c>
      <c r="AM19" s="48">
        <v>-15</v>
      </c>
      <c r="AN19" s="58">
        <v>0</v>
      </c>
      <c r="AO19" s="9"/>
      <c r="AP19" s="59">
        <v>132</v>
      </c>
      <c r="AQ19" s="60">
        <v>0</v>
      </c>
      <c r="AR19" s="60">
        <v>-14</v>
      </c>
      <c r="AS19" s="60">
        <v>0</v>
      </c>
      <c r="AT19" s="60">
        <v>132</v>
      </c>
      <c r="AU19" s="60">
        <v>0</v>
      </c>
      <c r="AV19" s="60">
        <v>14</v>
      </c>
      <c r="AW19" s="62">
        <v>0</v>
      </c>
      <c r="AX19" s="9"/>
      <c r="AY19" s="61">
        <f>132-21</f>
        <v>111</v>
      </c>
      <c r="AZ19" s="55">
        <v>0</v>
      </c>
      <c r="BA19" s="55">
        <f>132-21-23</f>
        <v>88</v>
      </c>
      <c r="BB19" s="55">
        <v>0</v>
      </c>
      <c r="BC19" s="55">
        <f>132-21-23-23</f>
        <v>65</v>
      </c>
      <c r="BD19" s="55">
        <v>0</v>
      </c>
      <c r="BE19" s="55">
        <v>15</v>
      </c>
      <c r="BF19" s="55">
        <v>0</v>
      </c>
      <c r="BG19" s="55">
        <v>15</v>
      </c>
      <c r="BH19" s="55">
        <v>0</v>
      </c>
      <c r="BI19" s="55">
        <v>15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268</v>
      </c>
      <c r="B20" t="s">
        <v>263</v>
      </c>
      <c r="C20" t="s">
        <v>269</v>
      </c>
      <c r="D20" t="s">
        <v>270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16"/>
        <v>10.840634357325053</v>
      </c>
      <c r="L20" s="46">
        <f t="shared" si="17"/>
        <v>65.159365642674942</v>
      </c>
      <c r="M20" s="47">
        <f t="shared" si="18"/>
        <v>90.159365642674942</v>
      </c>
      <c r="N20" s="47">
        <f t="shared" si="19"/>
        <v>115.15936564267494</v>
      </c>
      <c r="O20" s="47">
        <f t="shared" si="20"/>
        <v>-14.25</v>
      </c>
      <c r="P20" s="47">
        <f t="shared" si="21"/>
        <v>-21.25</v>
      </c>
      <c r="Q20" s="49">
        <f t="shared" si="22"/>
        <v>-14.25</v>
      </c>
      <c r="R20" s="59">
        <f t="shared" si="23"/>
        <v>135</v>
      </c>
      <c r="S20" s="60">
        <f t="shared" si="24"/>
        <v>-17</v>
      </c>
      <c r="T20" s="60">
        <f t="shared" si="25"/>
        <v>135</v>
      </c>
      <c r="U20" s="62">
        <f t="shared" si="26"/>
        <v>17</v>
      </c>
      <c r="V20" s="53">
        <f t="shared" si="27"/>
        <v>115.15936564267494</v>
      </c>
      <c r="W20" s="54">
        <f t="shared" si="28"/>
        <v>90.159365642674942</v>
      </c>
      <c r="X20" s="54">
        <f t="shared" si="29"/>
        <v>65.159365642674942</v>
      </c>
      <c r="Y20" s="54">
        <f t="shared" si="30"/>
        <v>14.25</v>
      </c>
      <c r="Z20" s="54">
        <f t="shared" si="31"/>
        <v>21.25</v>
      </c>
      <c r="AA20" s="64">
        <f t="shared" si="32"/>
        <v>14.25</v>
      </c>
      <c r="AB20" s="9"/>
      <c r="AC20" s="57">
        <v>76</v>
      </c>
      <c r="AD20" s="48">
        <v>0</v>
      </c>
      <c r="AE20" s="48">
        <f>76+25</f>
        <v>101</v>
      </c>
      <c r="AF20" s="48">
        <v>0</v>
      </c>
      <c r="AG20" s="48">
        <f>76+25+25</f>
        <v>126</v>
      </c>
      <c r="AH20" s="48">
        <v>0</v>
      </c>
      <c r="AI20" s="48">
        <v>-14</v>
      </c>
      <c r="AJ20" s="48">
        <v>-3</v>
      </c>
      <c r="AK20" s="48">
        <v>-21</v>
      </c>
      <c r="AL20" s="48">
        <v>-3</v>
      </c>
      <c r="AM20" s="48">
        <v>-14</v>
      </c>
      <c r="AN20" s="58">
        <v>-3</v>
      </c>
      <c r="AO20" s="9"/>
      <c r="AP20" s="59">
        <f>76+25+25+9</f>
        <v>135</v>
      </c>
      <c r="AQ20" s="60">
        <v>0</v>
      </c>
      <c r="AR20" s="60">
        <v>-17</v>
      </c>
      <c r="AS20" s="60">
        <v>0</v>
      </c>
      <c r="AT20" s="60">
        <f>76+25+25+9</f>
        <v>135</v>
      </c>
      <c r="AU20" s="60">
        <v>0</v>
      </c>
      <c r="AV20" s="60">
        <v>17</v>
      </c>
      <c r="AW20" s="62">
        <v>0</v>
      </c>
      <c r="AX20" s="9"/>
      <c r="AY20" s="61">
        <f>76+25+25</f>
        <v>126</v>
      </c>
      <c r="AZ20" s="55">
        <v>0</v>
      </c>
      <c r="BA20" s="55">
        <f>76+25</f>
        <v>101</v>
      </c>
      <c r="BB20" s="55">
        <v>0</v>
      </c>
      <c r="BC20" s="55">
        <v>76</v>
      </c>
      <c r="BD20" s="55">
        <v>0</v>
      </c>
      <c r="BE20" s="55">
        <v>14</v>
      </c>
      <c r="BF20" s="55">
        <v>3</v>
      </c>
      <c r="BG20" s="55">
        <v>21</v>
      </c>
      <c r="BH20" s="55">
        <v>3</v>
      </c>
      <c r="BI20" s="55">
        <v>14</v>
      </c>
      <c r="BJ20" s="56">
        <v>3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271</v>
      </c>
      <c r="B21" t="s">
        <v>263</v>
      </c>
      <c r="C21" t="s">
        <v>272</v>
      </c>
      <c r="D21" t="s">
        <v>504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16"/>
        <v>10.840634357325053</v>
      </c>
      <c r="L21" s="46">
        <f t="shared" si="17"/>
        <v>65.159365642674942</v>
      </c>
      <c r="M21" s="47">
        <f t="shared" si="18"/>
        <v>81.159365642674942</v>
      </c>
      <c r="N21" s="47">
        <f t="shared" si="19"/>
        <v>97.159365642674942</v>
      </c>
      <c r="O21" s="48">
        <f t="shared" si="20"/>
        <v>-11</v>
      </c>
      <c r="P21" s="48">
        <f t="shared" si="21"/>
        <v>-11</v>
      </c>
      <c r="Q21" s="58">
        <f t="shared" si="22"/>
        <v>-11</v>
      </c>
      <c r="R21" s="50">
        <f t="shared" si="23"/>
        <v>111.5</v>
      </c>
      <c r="S21" s="60">
        <f t="shared" si="24"/>
        <v>-8</v>
      </c>
      <c r="T21" s="51">
        <f t="shared" si="25"/>
        <v>111.5</v>
      </c>
      <c r="U21" s="62">
        <f t="shared" si="26"/>
        <v>8</v>
      </c>
      <c r="V21" s="53">
        <f t="shared" si="27"/>
        <v>97.159365642674942</v>
      </c>
      <c r="W21" s="54">
        <f t="shared" si="28"/>
        <v>81.159365642674942</v>
      </c>
      <c r="X21" s="54">
        <f t="shared" si="29"/>
        <v>65.159365642674942</v>
      </c>
      <c r="Y21" s="55">
        <f t="shared" si="30"/>
        <v>11</v>
      </c>
      <c r="Z21" s="55">
        <f t="shared" si="31"/>
        <v>11</v>
      </c>
      <c r="AA21" s="56">
        <f t="shared" si="32"/>
        <v>11</v>
      </c>
      <c r="AB21" s="9"/>
      <c r="AC21" s="57">
        <v>76</v>
      </c>
      <c r="AD21" s="48">
        <v>0</v>
      </c>
      <c r="AE21" s="48">
        <f>76+16</f>
        <v>92</v>
      </c>
      <c r="AF21" s="48">
        <v>0</v>
      </c>
      <c r="AG21" s="48">
        <f>76+16+16</f>
        <v>108</v>
      </c>
      <c r="AH21" s="48">
        <v>0</v>
      </c>
      <c r="AI21" s="48">
        <v>-11</v>
      </c>
      <c r="AJ21" s="48">
        <v>0</v>
      </c>
      <c r="AK21" s="48">
        <v>-11</v>
      </c>
      <c r="AL21" s="48">
        <v>0</v>
      </c>
      <c r="AM21" s="48">
        <v>-11</v>
      </c>
      <c r="AN21" s="58">
        <v>0</v>
      </c>
      <c r="AO21" s="9"/>
      <c r="AP21" s="59">
        <f>76+16+16+3</f>
        <v>111</v>
      </c>
      <c r="AQ21" s="60">
        <v>6</v>
      </c>
      <c r="AR21" s="60">
        <v>-8</v>
      </c>
      <c r="AS21" s="60">
        <v>0</v>
      </c>
      <c r="AT21" s="60">
        <f>76+16+16+3</f>
        <v>111</v>
      </c>
      <c r="AU21" s="60">
        <v>6</v>
      </c>
      <c r="AV21" s="60">
        <v>8</v>
      </c>
      <c r="AW21" s="62">
        <v>0</v>
      </c>
      <c r="AX21" s="9"/>
      <c r="AY21" s="61">
        <f>76+16+16</f>
        <v>108</v>
      </c>
      <c r="AZ21" s="55">
        <v>0</v>
      </c>
      <c r="BA21" s="55">
        <f>76+16</f>
        <v>92</v>
      </c>
      <c r="BB21" s="55">
        <v>0</v>
      </c>
      <c r="BC21" s="55">
        <v>76</v>
      </c>
      <c r="BD21" s="55">
        <v>0</v>
      </c>
      <c r="BE21" s="55">
        <v>11</v>
      </c>
      <c r="BF21" s="55">
        <v>0</v>
      </c>
      <c r="BG21" s="55">
        <v>11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274</v>
      </c>
      <c r="B22" t="s">
        <v>263</v>
      </c>
      <c r="C22" t="s">
        <v>275</v>
      </c>
      <c r="D22" t="s">
        <v>139</v>
      </c>
      <c r="E22" s="44">
        <v>2</v>
      </c>
      <c r="F22" s="44">
        <v>2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16"/>
        <v>10.840634357325053</v>
      </c>
      <c r="L22" s="57">
        <f t="shared" si="17"/>
        <v>72</v>
      </c>
      <c r="M22" s="48">
        <f t="shared" si="18"/>
        <v>97</v>
      </c>
      <c r="N22" s="48">
        <f t="shared" si="19"/>
        <v>122</v>
      </c>
      <c r="O22" s="48">
        <f t="shared" si="20"/>
        <v>-11</v>
      </c>
      <c r="P22" s="48">
        <f t="shared" si="21"/>
        <v>-19</v>
      </c>
      <c r="Q22" s="58">
        <f t="shared" si="22"/>
        <v>-11</v>
      </c>
      <c r="R22" s="59">
        <f t="shared" si="23"/>
        <v>140</v>
      </c>
      <c r="S22" s="60">
        <f t="shared" si="24"/>
        <v>-7</v>
      </c>
      <c r="T22" s="60">
        <f t="shared" si="25"/>
        <v>140</v>
      </c>
      <c r="U22" s="62">
        <f t="shared" si="26"/>
        <v>7</v>
      </c>
      <c r="V22" s="61">
        <f t="shared" si="27"/>
        <v>122</v>
      </c>
      <c r="W22" s="55">
        <f t="shared" si="28"/>
        <v>97</v>
      </c>
      <c r="X22" s="55">
        <f t="shared" si="29"/>
        <v>72</v>
      </c>
      <c r="Y22" s="55">
        <f t="shared" si="30"/>
        <v>11</v>
      </c>
      <c r="Z22" s="55">
        <f t="shared" si="31"/>
        <v>19</v>
      </c>
      <c r="AA22" s="56">
        <f t="shared" si="32"/>
        <v>11</v>
      </c>
      <c r="AB22" s="9"/>
      <c r="AC22" s="46">
        <f>140-18-25-25+K22</f>
        <v>82.840634357325058</v>
      </c>
      <c r="AD22" s="48">
        <v>0</v>
      </c>
      <c r="AE22" s="47">
        <f>140-18-25+K22</f>
        <v>107.84063435732506</v>
      </c>
      <c r="AF22" s="48">
        <v>0</v>
      </c>
      <c r="AG22" s="47">
        <f>140-18+K22</f>
        <v>132.84063435732506</v>
      </c>
      <c r="AH22" s="48">
        <v>0</v>
      </c>
      <c r="AI22" s="48">
        <v>-11</v>
      </c>
      <c r="AJ22" s="48">
        <v>0</v>
      </c>
      <c r="AK22" s="48">
        <v>-19</v>
      </c>
      <c r="AL22" s="48">
        <v>0</v>
      </c>
      <c r="AM22" s="48">
        <v>-11</v>
      </c>
      <c r="AN22" s="58">
        <v>0</v>
      </c>
      <c r="AO22" s="9"/>
      <c r="AP22" s="59">
        <v>140</v>
      </c>
      <c r="AQ22" s="60">
        <v>0</v>
      </c>
      <c r="AR22" s="60">
        <v>-7</v>
      </c>
      <c r="AS22" s="60">
        <v>0</v>
      </c>
      <c r="AT22" s="60">
        <v>140</v>
      </c>
      <c r="AU22" s="60">
        <v>0</v>
      </c>
      <c r="AV22" s="60">
        <v>7</v>
      </c>
      <c r="AW22" s="62">
        <v>0</v>
      </c>
      <c r="AX22" s="9"/>
      <c r="AY22" s="53">
        <f>140-18+K22</f>
        <v>132.84063435732506</v>
      </c>
      <c r="AZ22" s="55">
        <v>0</v>
      </c>
      <c r="BA22" s="54">
        <f>140-18-25+K22</f>
        <v>107.84063435732506</v>
      </c>
      <c r="BB22" s="55">
        <v>0</v>
      </c>
      <c r="BC22" s="54">
        <f>140-18-25-25+K22</f>
        <v>82.840634357325058</v>
      </c>
      <c r="BD22" s="55">
        <v>0</v>
      </c>
      <c r="BE22" s="55">
        <v>11</v>
      </c>
      <c r="BF22" s="55">
        <v>0</v>
      </c>
      <c r="BG22" s="55">
        <v>19</v>
      </c>
      <c r="BH22" s="55">
        <v>0</v>
      </c>
      <c r="BI22" s="55">
        <v>11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276</v>
      </c>
      <c r="B23" t="s">
        <v>263</v>
      </c>
      <c r="C23" t="s">
        <v>264</v>
      </c>
      <c r="D23" t="s">
        <v>112</v>
      </c>
      <c r="E23" s="44">
        <v>2</v>
      </c>
      <c r="F23" s="44">
        <v>1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16"/>
        <v>10.840634357325053</v>
      </c>
      <c r="L23" s="46">
        <f t="shared" si="17"/>
        <v>59.159365642674949</v>
      </c>
      <c r="M23" s="47">
        <f t="shared" si="18"/>
        <v>81.659365642674942</v>
      </c>
      <c r="N23" s="47">
        <f t="shared" si="19"/>
        <v>104.15936564267494</v>
      </c>
      <c r="O23" s="48">
        <f t="shared" si="20"/>
        <v>-9</v>
      </c>
      <c r="P23" s="48">
        <f t="shared" si="21"/>
        <v>-13</v>
      </c>
      <c r="Q23" s="58">
        <f t="shared" si="22"/>
        <v>-9</v>
      </c>
      <c r="R23" s="50">
        <f t="shared" si="23"/>
        <v>145.5</v>
      </c>
      <c r="S23" s="60">
        <f t="shared" si="24"/>
        <v>0</v>
      </c>
      <c r="T23" s="60">
        <f t="shared" si="25"/>
        <v>0</v>
      </c>
      <c r="U23" s="62">
        <f t="shared" si="26"/>
        <v>0</v>
      </c>
      <c r="V23" s="53">
        <f t="shared" si="27"/>
        <v>104.15936564267494</v>
      </c>
      <c r="W23" s="54">
        <f t="shared" si="28"/>
        <v>81.659365642674942</v>
      </c>
      <c r="X23" s="54">
        <f t="shared" si="29"/>
        <v>59.159365642674949</v>
      </c>
      <c r="Y23" s="55">
        <f t="shared" si="30"/>
        <v>9</v>
      </c>
      <c r="Z23" s="55">
        <f t="shared" si="31"/>
        <v>13</v>
      </c>
      <c r="AA23" s="56">
        <f t="shared" si="32"/>
        <v>9</v>
      </c>
      <c r="AB23" s="9"/>
      <c r="AC23" s="57">
        <v>70</v>
      </c>
      <c r="AD23" s="48">
        <v>0</v>
      </c>
      <c r="AE23" s="48">
        <f>70+22</f>
        <v>92</v>
      </c>
      <c r="AF23" s="48">
        <v>6</v>
      </c>
      <c r="AG23" s="48">
        <f>70+22+22</f>
        <v>114</v>
      </c>
      <c r="AH23" s="48">
        <f>6+6</f>
        <v>12</v>
      </c>
      <c r="AI23" s="48">
        <v>-9</v>
      </c>
      <c r="AJ23" s="48">
        <v>0</v>
      </c>
      <c r="AK23" s="48">
        <v>-13</v>
      </c>
      <c r="AL23" s="48">
        <v>0</v>
      </c>
      <c r="AM23" s="48">
        <v>-9</v>
      </c>
      <c r="AN23" s="58">
        <v>0</v>
      </c>
      <c r="AO23" s="9"/>
      <c r="AP23" s="59">
        <f>70+22+22+30</f>
        <v>144</v>
      </c>
      <c r="AQ23" s="60">
        <f>6+6+6</f>
        <v>18</v>
      </c>
      <c r="AR23" s="60">
        <v>0</v>
      </c>
      <c r="AS23" s="60">
        <v>0</v>
      </c>
      <c r="AT23" s="60">
        <v>0</v>
      </c>
      <c r="AU23" s="60">
        <v>0</v>
      </c>
      <c r="AV23" s="60">
        <v>0</v>
      </c>
      <c r="AW23" s="62">
        <v>0</v>
      </c>
      <c r="AX23" s="9"/>
      <c r="AY23" s="61">
        <f>70+22+22</f>
        <v>114</v>
      </c>
      <c r="AZ23" s="55">
        <f>6+6</f>
        <v>12</v>
      </c>
      <c r="BA23" s="55">
        <f>70+22</f>
        <v>92</v>
      </c>
      <c r="BB23" s="55">
        <v>6</v>
      </c>
      <c r="BC23" s="55">
        <v>70</v>
      </c>
      <c r="BD23" s="55">
        <v>0</v>
      </c>
      <c r="BE23" s="55">
        <v>9</v>
      </c>
      <c r="BF23" s="55">
        <v>0</v>
      </c>
      <c r="BG23" s="55">
        <v>13</v>
      </c>
      <c r="BH23" s="55">
        <v>0</v>
      </c>
      <c r="BI23" s="55">
        <v>9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277</v>
      </c>
      <c r="B24" t="s">
        <v>263</v>
      </c>
      <c r="C24" t="s">
        <v>278</v>
      </c>
      <c r="D24" t="s">
        <v>47</v>
      </c>
      <c r="E24" s="44">
        <v>2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16"/>
        <v>10.840634357325053</v>
      </c>
      <c r="L24" s="46">
        <f t="shared" si="17"/>
        <v>116.82603230934161</v>
      </c>
      <c r="M24" s="47">
        <f t="shared" si="18"/>
        <v>80.826032309341613</v>
      </c>
      <c r="N24" s="47">
        <f t="shared" si="19"/>
        <v>80.826032309341613</v>
      </c>
      <c r="O24" s="47">
        <f t="shared" si="20"/>
        <v>-15.5</v>
      </c>
      <c r="P24" s="48">
        <f t="shared" si="21"/>
        <v>-41</v>
      </c>
      <c r="Q24" s="58">
        <f t="shared" si="22"/>
        <v>-16</v>
      </c>
      <c r="R24" s="50">
        <f t="shared" si="23"/>
        <v>127.66666666666667</v>
      </c>
      <c r="S24" s="60">
        <f t="shared" si="24"/>
        <v>-30</v>
      </c>
      <c r="T24" s="51">
        <f t="shared" si="25"/>
        <v>127.66666666666667</v>
      </c>
      <c r="U24" s="62">
        <f t="shared" si="26"/>
        <v>30</v>
      </c>
      <c r="V24" s="53">
        <f t="shared" si="27"/>
        <v>116.82603230934161</v>
      </c>
      <c r="W24" s="54">
        <f t="shared" si="28"/>
        <v>80.826032309341613</v>
      </c>
      <c r="X24" s="54">
        <f t="shared" si="29"/>
        <v>80.826032309341613</v>
      </c>
      <c r="Y24" s="54">
        <f t="shared" si="30"/>
        <v>15.5</v>
      </c>
      <c r="Z24" s="55">
        <f t="shared" si="31"/>
        <v>16</v>
      </c>
      <c r="AA24" s="56">
        <f t="shared" si="32"/>
        <v>41</v>
      </c>
      <c r="AB24" s="9"/>
      <c r="AC24" s="57">
        <f>91+36</f>
        <v>127</v>
      </c>
      <c r="AD24" s="48">
        <v>8</v>
      </c>
      <c r="AE24" s="48">
        <v>91</v>
      </c>
      <c r="AF24" s="48">
        <v>8</v>
      </c>
      <c r="AG24" s="48">
        <v>91</v>
      </c>
      <c r="AH24" s="48">
        <v>8</v>
      </c>
      <c r="AI24" s="48">
        <v>-15</v>
      </c>
      <c r="AJ24" s="48">
        <v>-6</v>
      </c>
      <c r="AK24" s="48">
        <f>-16-25</f>
        <v>-41</v>
      </c>
      <c r="AL24" s="48">
        <v>0</v>
      </c>
      <c r="AM24" s="48">
        <v>-16</v>
      </c>
      <c r="AN24" s="58">
        <v>0</v>
      </c>
      <c r="AO24" s="9"/>
      <c r="AP24" s="59">
        <f>91+36</f>
        <v>127</v>
      </c>
      <c r="AQ24" s="60">
        <v>8</v>
      </c>
      <c r="AR24" s="60">
        <v>-30</v>
      </c>
      <c r="AS24" s="60">
        <v>0</v>
      </c>
      <c r="AT24" s="60">
        <v>127</v>
      </c>
      <c r="AU24" s="60">
        <v>8</v>
      </c>
      <c r="AV24" s="60">
        <v>30</v>
      </c>
      <c r="AW24" s="62">
        <v>0</v>
      </c>
      <c r="AX24" s="9"/>
      <c r="AY24" s="61">
        <f>91+36</f>
        <v>127</v>
      </c>
      <c r="AZ24" s="55">
        <v>8</v>
      </c>
      <c r="BA24" s="55">
        <v>91</v>
      </c>
      <c r="BB24" s="55">
        <v>8</v>
      </c>
      <c r="BC24" s="55">
        <v>91</v>
      </c>
      <c r="BD24" s="55">
        <v>8</v>
      </c>
      <c r="BE24" s="55">
        <v>15</v>
      </c>
      <c r="BF24" s="55">
        <v>6</v>
      </c>
      <c r="BG24" s="55">
        <v>16</v>
      </c>
      <c r="BH24" s="55">
        <v>0</v>
      </c>
      <c r="BI24" s="55">
        <f>16+25</f>
        <v>41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279</v>
      </c>
      <c r="B25" t="s">
        <v>263</v>
      </c>
      <c r="C25" t="s">
        <v>259</v>
      </c>
      <c r="D25" t="s">
        <v>47</v>
      </c>
      <c r="E25" s="44">
        <v>2</v>
      </c>
      <c r="F25" s="44">
        <v>1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16"/>
        <v>10.840634357325053</v>
      </c>
      <c r="L25" s="46">
        <f t="shared" si="17"/>
        <v>98.159365642674942</v>
      </c>
      <c r="M25" s="47">
        <f t="shared" si="18"/>
        <v>55.159365642674949</v>
      </c>
      <c r="N25" s="47">
        <f t="shared" si="19"/>
        <v>55.159365642674949</v>
      </c>
      <c r="O25" s="48">
        <f t="shared" si="20"/>
        <v>-22</v>
      </c>
      <c r="P25" s="48">
        <f t="shared" si="21"/>
        <v>-33</v>
      </c>
      <c r="Q25" s="58">
        <f t="shared" si="22"/>
        <v>-10</v>
      </c>
      <c r="R25" s="59">
        <f t="shared" si="23"/>
        <v>118</v>
      </c>
      <c r="S25" s="60">
        <f t="shared" si="24"/>
        <v>0</v>
      </c>
      <c r="T25" s="60">
        <f t="shared" si="25"/>
        <v>0</v>
      </c>
      <c r="U25" s="62">
        <f t="shared" si="26"/>
        <v>0</v>
      </c>
      <c r="V25" s="53">
        <f t="shared" si="27"/>
        <v>98.159365642674942</v>
      </c>
      <c r="W25" s="54">
        <f t="shared" si="28"/>
        <v>55.159365642674949</v>
      </c>
      <c r="X25" s="54">
        <f t="shared" si="29"/>
        <v>55.159365642674949</v>
      </c>
      <c r="Y25" s="55">
        <f t="shared" si="30"/>
        <v>22</v>
      </c>
      <c r="Z25" s="55">
        <f t="shared" si="31"/>
        <v>10</v>
      </c>
      <c r="AA25" s="56">
        <f t="shared" si="32"/>
        <v>33</v>
      </c>
      <c r="AB25" s="9"/>
      <c r="AC25" s="57">
        <f>118-9</f>
        <v>109</v>
      </c>
      <c r="AD25" s="48">
        <v>0</v>
      </c>
      <c r="AE25" s="48">
        <v>66</v>
      </c>
      <c r="AF25" s="48">
        <v>0</v>
      </c>
      <c r="AG25" s="48">
        <v>66</v>
      </c>
      <c r="AH25" s="48">
        <v>0</v>
      </c>
      <c r="AI25" s="48">
        <v>-22</v>
      </c>
      <c r="AJ25" s="48">
        <v>0</v>
      </c>
      <c r="AK25" s="48">
        <f>-2-16-15</f>
        <v>-33</v>
      </c>
      <c r="AL25" s="48">
        <v>0</v>
      </c>
      <c r="AM25" s="48">
        <v>-10</v>
      </c>
      <c r="AN25" s="58">
        <v>0</v>
      </c>
      <c r="AO25" s="9"/>
      <c r="AP25" s="59">
        <v>118</v>
      </c>
      <c r="AQ25" s="60">
        <v>0</v>
      </c>
      <c r="AR25" s="60">
        <v>0</v>
      </c>
      <c r="AS25" s="60">
        <v>0</v>
      </c>
      <c r="AT25" s="60">
        <v>0</v>
      </c>
      <c r="AU25" s="60">
        <v>0</v>
      </c>
      <c r="AV25" s="60">
        <v>0</v>
      </c>
      <c r="AW25" s="62">
        <v>0</v>
      </c>
      <c r="AX25" s="9"/>
      <c r="AY25" s="61">
        <f>118-9</f>
        <v>109</v>
      </c>
      <c r="AZ25" s="55">
        <v>0</v>
      </c>
      <c r="BA25" s="55">
        <v>66</v>
      </c>
      <c r="BB25" s="55">
        <v>0</v>
      </c>
      <c r="BC25" s="55">
        <v>66</v>
      </c>
      <c r="BD25" s="55">
        <v>0</v>
      </c>
      <c r="BE25" s="55">
        <v>22</v>
      </c>
      <c r="BF25" s="55">
        <v>0</v>
      </c>
      <c r="BG25" s="55">
        <f>2+8</f>
        <v>10</v>
      </c>
      <c r="BH25" s="55">
        <v>0</v>
      </c>
      <c r="BI25" s="55">
        <f>2+16+15</f>
        <v>33</v>
      </c>
      <c r="BJ25" s="56">
        <v>0</v>
      </c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42" t="s">
        <v>280</v>
      </c>
      <c r="B26" t="s">
        <v>281</v>
      </c>
      <c r="C26" t="s">
        <v>282</v>
      </c>
      <c r="D26" t="s">
        <v>505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16"/>
        <v>10.840634357325053</v>
      </c>
      <c r="L26" s="46">
        <f t="shared" si="17"/>
        <v>49.159365642674949</v>
      </c>
      <c r="M26" s="47">
        <f t="shared" si="18"/>
        <v>49.159365642674949</v>
      </c>
      <c r="N26" s="47">
        <f t="shared" si="19"/>
        <v>49.159365642674949</v>
      </c>
      <c r="O26" s="48">
        <f t="shared" si="20"/>
        <v>-18</v>
      </c>
      <c r="P26" s="48">
        <f t="shared" si="21"/>
        <v>0</v>
      </c>
      <c r="Q26" s="58">
        <f t="shared" si="22"/>
        <v>18</v>
      </c>
      <c r="R26" s="59">
        <f t="shared" si="23"/>
        <v>73</v>
      </c>
      <c r="S26" s="51">
        <f t="shared" si="24"/>
        <v>-12.25</v>
      </c>
      <c r="T26" s="60">
        <f t="shared" si="25"/>
        <v>73</v>
      </c>
      <c r="U26" s="52">
        <f t="shared" si="26"/>
        <v>12.25</v>
      </c>
      <c r="V26" s="53">
        <f t="shared" si="27"/>
        <v>-10.840634357325053</v>
      </c>
      <c r="W26" s="54">
        <f t="shared" si="28"/>
        <v>-10.840634357325053</v>
      </c>
      <c r="X26" s="54">
        <f t="shared" si="29"/>
        <v>-10.840634357325053</v>
      </c>
      <c r="Y26" s="55">
        <f t="shared" si="30"/>
        <v>0</v>
      </c>
      <c r="Z26" s="55">
        <f t="shared" si="31"/>
        <v>0</v>
      </c>
      <c r="AA26" s="56">
        <f t="shared" si="32"/>
        <v>0</v>
      </c>
      <c r="AB26" s="9"/>
      <c r="AC26" s="57">
        <v>60</v>
      </c>
      <c r="AD26" s="48">
        <v>0</v>
      </c>
      <c r="AE26" s="48">
        <v>60</v>
      </c>
      <c r="AF26" s="48">
        <v>0</v>
      </c>
      <c r="AG26" s="48">
        <v>60</v>
      </c>
      <c r="AH26" s="48">
        <v>0</v>
      </c>
      <c r="AI26" s="48">
        <f>-36/2</f>
        <v>-18</v>
      </c>
      <c r="AJ26" s="48">
        <v>0</v>
      </c>
      <c r="AK26" s="48">
        <v>0</v>
      </c>
      <c r="AL26" s="48">
        <v>0</v>
      </c>
      <c r="AM26" s="48">
        <v>18</v>
      </c>
      <c r="AN26" s="58">
        <v>0</v>
      </c>
      <c r="AO26" s="9"/>
      <c r="AP26" s="59">
        <f>60+13</f>
        <v>73</v>
      </c>
      <c r="AQ26" s="60">
        <v>0</v>
      </c>
      <c r="AR26" s="60">
        <f>-24/2</f>
        <v>-12</v>
      </c>
      <c r="AS26" s="60">
        <f>-6/2</f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284</v>
      </c>
      <c r="B27" s="2" t="s">
        <v>281</v>
      </c>
      <c r="C27" s="2" t="s">
        <v>275</v>
      </c>
      <c r="D27" t="s">
        <v>139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16"/>
        <v>10.840634357325053</v>
      </c>
      <c r="L27" s="46">
        <f t="shared" si="17"/>
        <v>62.159365642674949</v>
      </c>
      <c r="M27" s="47">
        <f t="shared" si="18"/>
        <v>62.159365642674949</v>
      </c>
      <c r="N27" s="47">
        <f t="shared" si="19"/>
        <v>62.159365642674949</v>
      </c>
      <c r="O27" s="48">
        <f t="shared" si="20"/>
        <v>-27</v>
      </c>
      <c r="P27" s="48">
        <f t="shared" si="21"/>
        <v>0</v>
      </c>
      <c r="Q27" s="58">
        <f t="shared" si="22"/>
        <v>27</v>
      </c>
      <c r="R27" s="59">
        <f t="shared" si="23"/>
        <v>73</v>
      </c>
      <c r="S27" s="51">
        <f t="shared" si="24"/>
        <v>-12.25</v>
      </c>
      <c r="T27" s="60">
        <f t="shared" si="25"/>
        <v>73</v>
      </c>
      <c r="U27" s="52">
        <f t="shared" si="26"/>
        <v>12.25</v>
      </c>
      <c r="V27" s="53">
        <f t="shared" si="27"/>
        <v>-10.840634357325053</v>
      </c>
      <c r="W27" s="54">
        <f t="shared" si="28"/>
        <v>-10.840634357325053</v>
      </c>
      <c r="X27" s="54">
        <f t="shared" si="29"/>
        <v>-10.840634357325053</v>
      </c>
      <c r="Y27" s="55">
        <f t="shared" si="30"/>
        <v>0</v>
      </c>
      <c r="Z27" s="55">
        <f t="shared" si="31"/>
        <v>0</v>
      </c>
      <c r="AA27" s="56">
        <f t="shared" si="32"/>
        <v>0</v>
      </c>
      <c r="AB27" s="9"/>
      <c r="AC27" s="57">
        <v>73</v>
      </c>
      <c r="AD27" s="48">
        <v>0</v>
      </c>
      <c r="AE27" s="48">
        <v>73</v>
      </c>
      <c r="AF27" s="48">
        <v>0</v>
      </c>
      <c r="AG27" s="48">
        <v>73</v>
      </c>
      <c r="AH27" s="48">
        <v>0</v>
      </c>
      <c r="AI27" s="48">
        <v>-26</v>
      </c>
      <c r="AJ27" s="48"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v>73</v>
      </c>
      <c r="AQ27" s="60">
        <v>0</v>
      </c>
      <c r="AR27" s="60">
        <v>-12</v>
      </c>
      <c r="AS27" s="60">
        <v>-3</v>
      </c>
      <c r="AT27" s="60">
        <v>73</v>
      </c>
      <c r="AU27" s="60">
        <v>0</v>
      </c>
      <c r="AV27" s="60">
        <v>12</v>
      </c>
      <c r="AW27" s="62">
        <v>3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285</v>
      </c>
      <c r="B28" s="2" t="s">
        <v>281</v>
      </c>
      <c r="C28" s="2" t="s">
        <v>286</v>
      </c>
      <c r="D28" t="s">
        <v>506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16"/>
        <v>10.840634357325053</v>
      </c>
      <c r="L28" s="46">
        <f t="shared" si="17"/>
        <v>44.826032309341613</v>
      </c>
      <c r="M28" s="47">
        <f t="shared" si="18"/>
        <v>44.826032309341613</v>
      </c>
      <c r="N28" s="47">
        <f t="shared" si="19"/>
        <v>44.826032309341613</v>
      </c>
      <c r="O28" s="48">
        <f t="shared" si="20"/>
        <v>-26</v>
      </c>
      <c r="P28" s="48">
        <f t="shared" si="21"/>
        <v>0</v>
      </c>
      <c r="Q28" s="58">
        <f t="shared" si="22"/>
        <v>26</v>
      </c>
      <c r="R28" s="50">
        <f t="shared" si="23"/>
        <v>65.5</v>
      </c>
      <c r="S28" s="60">
        <f t="shared" si="24"/>
        <v>-13</v>
      </c>
      <c r="T28" s="51">
        <f t="shared" si="25"/>
        <v>65.5</v>
      </c>
      <c r="U28" s="62">
        <f t="shared" si="26"/>
        <v>13</v>
      </c>
      <c r="V28" s="53">
        <f t="shared" si="27"/>
        <v>-10.840634357325053</v>
      </c>
      <c r="W28" s="54">
        <f t="shared" si="28"/>
        <v>-10.840634357325053</v>
      </c>
      <c r="X28" s="54">
        <f t="shared" si="29"/>
        <v>-10.840634357325053</v>
      </c>
      <c r="Y28" s="55">
        <f t="shared" si="30"/>
        <v>0</v>
      </c>
      <c r="Z28" s="55">
        <f t="shared" si="31"/>
        <v>0</v>
      </c>
      <c r="AA28" s="56">
        <f t="shared" si="32"/>
        <v>0</v>
      </c>
      <c r="AB28" s="9"/>
      <c r="AC28" s="57">
        <v>55</v>
      </c>
      <c r="AD28" s="48">
        <v>8</v>
      </c>
      <c r="AE28" s="48">
        <v>55</v>
      </c>
      <c r="AF28" s="48">
        <v>8</v>
      </c>
      <c r="AG28" s="48">
        <v>55</v>
      </c>
      <c r="AH28" s="48">
        <v>8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9">
        <f>55+9</f>
        <v>64</v>
      </c>
      <c r="AQ28" s="60">
        <f>8+10</f>
        <v>18</v>
      </c>
      <c r="AR28" s="60">
        <v>-13</v>
      </c>
      <c r="AS28" s="60">
        <v>0</v>
      </c>
      <c r="AT28" s="60">
        <v>64</v>
      </c>
      <c r="AU28" s="60">
        <v>18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288</v>
      </c>
      <c r="B29" s="2" t="s">
        <v>281</v>
      </c>
      <c r="C29" s="2" t="s">
        <v>289</v>
      </c>
      <c r="D29" t="s">
        <v>507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16"/>
        <v>10.840634357325053</v>
      </c>
      <c r="L29" s="46">
        <f t="shared" si="17"/>
        <v>50.159365642674949</v>
      </c>
      <c r="M29" s="47">
        <f t="shared" si="18"/>
        <v>50.159365642674949</v>
      </c>
      <c r="N29" s="47">
        <f t="shared" si="19"/>
        <v>50.159365642674949</v>
      </c>
      <c r="O29" s="48">
        <f t="shared" si="20"/>
        <v>-26</v>
      </c>
      <c r="P29" s="48">
        <f t="shared" si="21"/>
        <v>0</v>
      </c>
      <c r="Q29" s="58">
        <f t="shared" si="22"/>
        <v>26</v>
      </c>
      <c r="R29" s="50">
        <f t="shared" si="23"/>
        <v>73.5</v>
      </c>
      <c r="S29" s="60">
        <f t="shared" si="24"/>
        <v>-13</v>
      </c>
      <c r="T29" s="51">
        <f t="shared" si="25"/>
        <v>73.5</v>
      </c>
      <c r="U29" s="62">
        <f t="shared" si="26"/>
        <v>13</v>
      </c>
      <c r="V29" s="53">
        <f t="shared" si="27"/>
        <v>-10.840634357325053</v>
      </c>
      <c r="W29" s="54">
        <f t="shared" si="28"/>
        <v>-10.840634357325053</v>
      </c>
      <c r="X29" s="54">
        <f t="shared" si="29"/>
        <v>-10.840634357325053</v>
      </c>
      <c r="Y29" s="55">
        <f t="shared" si="30"/>
        <v>0</v>
      </c>
      <c r="Z29" s="55">
        <f t="shared" si="31"/>
        <v>0</v>
      </c>
      <c r="AA29" s="56">
        <f t="shared" si="32"/>
        <v>0</v>
      </c>
      <c r="AB29" s="9"/>
      <c r="AC29" s="57">
        <v>61</v>
      </c>
      <c r="AD29" s="48">
        <v>0</v>
      </c>
      <c r="AE29" s="48">
        <v>61</v>
      </c>
      <c r="AF29" s="48">
        <v>0</v>
      </c>
      <c r="AG29" s="48">
        <v>61</v>
      </c>
      <c r="AH29" s="48">
        <v>0</v>
      </c>
      <c r="AI29" s="48">
        <v>-26</v>
      </c>
      <c r="AJ29" s="48">
        <v>0</v>
      </c>
      <c r="AK29" s="48">
        <v>0</v>
      </c>
      <c r="AL29" s="48">
        <v>0</v>
      </c>
      <c r="AM29" s="48">
        <v>26</v>
      </c>
      <c r="AN29" s="58">
        <v>0</v>
      </c>
      <c r="AO29" s="9"/>
      <c r="AP29" s="50">
        <f>61+12.5</f>
        <v>73.5</v>
      </c>
      <c r="AQ29" s="60">
        <v>0</v>
      </c>
      <c r="AR29" s="60">
        <v>-13</v>
      </c>
      <c r="AS29" s="60">
        <v>0</v>
      </c>
      <c r="AT29" s="51">
        <v>73.5</v>
      </c>
      <c r="AU29" s="60">
        <v>0</v>
      </c>
      <c r="AV29" s="60">
        <v>13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291</v>
      </c>
      <c r="B30" t="s">
        <v>281</v>
      </c>
      <c r="C30" t="s">
        <v>292</v>
      </c>
      <c r="D30" t="s">
        <v>100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16"/>
        <v>10.840634357325053</v>
      </c>
      <c r="L30" s="46">
        <f t="shared" si="17"/>
        <v>52.659365642674949</v>
      </c>
      <c r="M30" s="47">
        <f t="shared" si="18"/>
        <v>59.159365642674949</v>
      </c>
      <c r="N30" s="47">
        <f t="shared" si="19"/>
        <v>52.659365642674949</v>
      </c>
      <c r="O30" s="48">
        <f t="shared" si="20"/>
        <v>-27</v>
      </c>
      <c r="P30" s="48">
        <f t="shared" si="21"/>
        <v>0</v>
      </c>
      <c r="Q30" s="58">
        <f t="shared" si="22"/>
        <v>27</v>
      </c>
      <c r="R30" s="59">
        <f t="shared" si="23"/>
        <v>78</v>
      </c>
      <c r="S30" s="51">
        <f t="shared" si="24"/>
        <v>-13.5</v>
      </c>
      <c r="T30" s="60">
        <f t="shared" si="25"/>
        <v>78</v>
      </c>
      <c r="U30" s="52">
        <f t="shared" si="26"/>
        <v>13.5</v>
      </c>
      <c r="V30" s="53">
        <f t="shared" si="27"/>
        <v>-10.840634357325053</v>
      </c>
      <c r="W30" s="54">
        <f t="shared" si="28"/>
        <v>-10.840634357325053</v>
      </c>
      <c r="X30" s="54">
        <f t="shared" si="29"/>
        <v>-10.840634357325053</v>
      </c>
      <c r="Y30" s="55">
        <f t="shared" si="30"/>
        <v>0</v>
      </c>
      <c r="Z30" s="55">
        <f t="shared" si="31"/>
        <v>0</v>
      </c>
      <c r="AA30" s="56">
        <f t="shared" si="32"/>
        <v>0</v>
      </c>
      <c r="AB30" s="9"/>
      <c r="AC30" s="57">
        <v>63</v>
      </c>
      <c r="AD30" s="48">
        <v>6</v>
      </c>
      <c r="AE30" s="48">
        <f>63+6</f>
        <v>69</v>
      </c>
      <c r="AF30" s="48">
        <f>6+6</f>
        <v>12</v>
      </c>
      <c r="AG30" s="48">
        <v>63</v>
      </c>
      <c r="AH30" s="48">
        <v>6</v>
      </c>
      <c r="AI30" s="48">
        <f>-13-13</f>
        <v>-26</v>
      </c>
      <c r="AJ30" s="48">
        <f>-6-6</f>
        <v>-12</v>
      </c>
      <c r="AK30" s="48">
        <v>0</v>
      </c>
      <c r="AL30" s="48">
        <v>0</v>
      </c>
      <c r="AM30" s="48">
        <v>26</v>
      </c>
      <c r="AN30" s="58">
        <v>12</v>
      </c>
      <c r="AO30" s="9"/>
      <c r="AP30" s="59">
        <f>63+6+8</f>
        <v>77</v>
      </c>
      <c r="AQ30" s="60">
        <f>6+6</f>
        <v>12</v>
      </c>
      <c r="AR30" s="51">
        <v>-13.5</v>
      </c>
      <c r="AS30" s="60">
        <v>0</v>
      </c>
      <c r="AT30" s="60">
        <v>77</v>
      </c>
      <c r="AU30" s="60">
        <v>12</v>
      </c>
      <c r="AV30" s="51">
        <v>13.5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294</v>
      </c>
      <c r="B31" t="s">
        <v>281</v>
      </c>
      <c r="C31" t="s">
        <v>295</v>
      </c>
      <c r="D31" t="s">
        <v>508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16"/>
        <v>10.840634357325053</v>
      </c>
      <c r="L31" s="46">
        <f t="shared" si="17"/>
        <v>46.659365642674949</v>
      </c>
      <c r="M31" s="47">
        <f t="shared" si="18"/>
        <v>58.159365642674949</v>
      </c>
      <c r="N31" s="47">
        <f t="shared" si="19"/>
        <v>46.659365642674949</v>
      </c>
      <c r="O31" s="47">
        <f t="shared" si="20"/>
        <v>-28.25</v>
      </c>
      <c r="P31" s="48">
        <f t="shared" si="21"/>
        <v>0</v>
      </c>
      <c r="Q31" s="49">
        <f t="shared" si="22"/>
        <v>28.25</v>
      </c>
      <c r="R31" s="59">
        <f t="shared" si="23"/>
        <v>69</v>
      </c>
      <c r="S31" s="51">
        <f t="shared" si="24"/>
        <v>-15.25</v>
      </c>
      <c r="T31" s="60">
        <f t="shared" si="25"/>
        <v>69</v>
      </c>
      <c r="U31" s="52">
        <f t="shared" si="26"/>
        <v>15.25</v>
      </c>
      <c r="V31" s="53">
        <f t="shared" si="27"/>
        <v>-10.840634357325053</v>
      </c>
      <c r="W31" s="54">
        <f t="shared" si="28"/>
        <v>-10.840634357325053</v>
      </c>
      <c r="X31" s="54">
        <f t="shared" si="29"/>
        <v>-10.840634357325053</v>
      </c>
      <c r="Y31" s="55">
        <f t="shared" si="30"/>
        <v>0</v>
      </c>
      <c r="Z31" s="55">
        <f t="shared" si="31"/>
        <v>0</v>
      </c>
      <c r="AA31" s="56">
        <f t="shared" si="32"/>
        <v>0</v>
      </c>
      <c r="AB31" s="9"/>
      <c r="AC31" s="57">
        <v>57</v>
      </c>
      <c r="AD31" s="48">
        <v>6</v>
      </c>
      <c r="AE31" s="48">
        <f>57+11</f>
        <v>68</v>
      </c>
      <c r="AF31" s="48">
        <f>6+6</f>
        <v>12</v>
      </c>
      <c r="AG31" s="48">
        <v>57</v>
      </c>
      <c r="AH31" s="48">
        <v>6</v>
      </c>
      <c r="AI31" s="48">
        <f>-15-13</f>
        <v>-28</v>
      </c>
      <c r="AJ31" s="48">
        <v>-3</v>
      </c>
      <c r="AK31" s="48">
        <v>0</v>
      </c>
      <c r="AL31" s="48">
        <v>0</v>
      </c>
      <c r="AM31" s="48">
        <v>28</v>
      </c>
      <c r="AN31" s="58">
        <v>3</v>
      </c>
      <c r="AO31" s="9"/>
      <c r="AP31" s="59">
        <f>57+11</f>
        <v>68</v>
      </c>
      <c r="AQ31" s="60">
        <f>6+6</f>
        <v>12</v>
      </c>
      <c r="AR31" s="60">
        <v>-15</v>
      </c>
      <c r="AS31" s="60">
        <v>-3</v>
      </c>
      <c r="AT31" s="60">
        <v>68</v>
      </c>
      <c r="AU31" s="60">
        <v>12</v>
      </c>
      <c r="AV31" s="60">
        <v>15</v>
      </c>
      <c r="AW31" s="62">
        <v>3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297</v>
      </c>
      <c r="B32" s="2" t="s">
        <v>281</v>
      </c>
      <c r="C32" s="2" t="s">
        <v>298</v>
      </c>
      <c r="D32" t="s">
        <v>100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16"/>
        <v>10.840634357325053</v>
      </c>
      <c r="L32" s="46">
        <f t="shared" si="17"/>
        <v>49.159365642674949</v>
      </c>
      <c r="M32" s="47">
        <f t="shared" si="18"/>
        <v>49.159365642674949</v>
      </c>
      <c r="N32" s="47">
        <f t="shared" si="19"/>
        <v>49.159365642674949</v>
      </c>
      <c r="O32" s="47">
        <f t="shared" si="20"/>
        <v>-23.5</v>
      </c>
      <c r="P32" s="48">
        <f t="shared" si="21"/>
        <v>0</v>
      </c>
      <c r="Q32" s="49">
        <f t="shared" si="22"/>
        <v>23.5</v>
      </c>
      <c r="R32" s="50">
        <f t="shared" si="23"/>
        <v>68.5</v>
      </c>
      <c r="S32" s="51">
        <f t="shared" si="24"/>
        <v>-13.5</v>
      </c>
      <c r="T32" s="51">
        <f t="shared" si="25"/>
        <v>68.5</v>
      </c>
      <c r="U32" s="52">
        <f t="shared" si="26"/>
        <v>13.5</v>
      </c>
      <c r="V32" s="53">
        <f t="shared" si="27"/>
        <v>-10.840634357325053</v>
      </c>
      <c r="W32" s="54">
        <f t="shared" si="28"/>
        <v>-10.840634357325053</v>
      </c>
      <c r="X32" s="54">
        <f t="shared" si="29"/>
        <v>-10.840634357325053</v>
      </c>
      <c r="Y32" s="55">
        <f t="shared" si="30"/>
        <v>0</v>
      </c>
      <c r="Z32" s="55">
        <f t="shared" si="31"/>
        <v>0</v>
      </c>
      <c r="AA32" s="56">
        <f t="shared" si="32"/>
        <v>0</v>
      </c>
      <c r="AB32" s="9"/>
      <c r="AC32" s="57">
        <v>60</v>
      </c>
      <c r="AD32" s="48">
        <v>0</v>
      </c>
      <c r="AE32" s="48">
        <v>60</v>
      </c>
      <c r="AF32" s="48">
        <v>0</v>
      </c>
      <c r="AG32" s="48">
        <v>60</v>
      </c>
      <c r="AH32" s="48">
        <v>0</v>
      </c>
      <c r="AI32" s="48">
        <v>-23</v>
      </c>
      <c r="AJ32" s="48">
        <v>-6</v>
      </c>
      <c r="AK32" s="48">
        <v>0</v>
      </c>
      <c r="AL32" s="48">
        <v>0</v>
      </c>
      <c r="AM32" s="48">
        <v>23</v>
      </c>
      <c r="AN32" s="58">
        <v>6</v>
      </c>
      <c r="AO32" s="9"/>
      <c r="AP32" s="59">
        <f>60+8</f>
        <v>68</v>
      </c>
      <c r="AQ32" s="60">
        <v>6</v>
      </c>
      <c r="AR32" s="51">
        <v>-13.5</v>
      </c>
      <c r="AS32" s="60">
        <v>0</v>
      </c>
      <c r="AT32" s="60">
        <f>60+8</f>
        <v>68</v>
      </c>
      <c r="AU32" s="60">
        <v>6</v>
      </c>
      <c r="AV32" s="51">
        <v>13.5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65" t="s">
        <v>299</v>
      </c>
      <c r="B33" s="2" t="s">
        <v>281</v>
      </c>
      <c r="C33" s="2" t="s">
        <v>254</v>
      </c>
      <c r="D33" t="s">
        <v>83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16"/>
        <v>10.840634357325053</v>
      </c>
      <c r="L33" s="46">
        <f t="shared" si="17"/>
        <v>51.159365642674949</v>
      </c>
      <c r="M33" s="47">
        <f t="shared" si="18"/>
        <v>51.159365642674949</v>
      </c>
      <c r="N33" s="47">
        <f t="shared" si="19"/>
        <v>51.159365642674949</v>
      </c>
      <c r="O33" s="48">
        <f t="shared" si="20"/>
        <v>-24</v>
      </c>
      <c r="P33" s="48">
        <f t="shared" si="21"/>
        <v>0</v>
      </c>
      <c r="Q33" s="58">
        <f t="shared" si="22"/>
        <v>24</v>
      </c>
      <c r="R33" s="50">
        <f t="shared" si="23"/>
        <v>72.5</v>
      </c>
      <c r="S33" s="60">
        <f t="shared" si="24"/>
        <v>-26</v>
      </c>
      <c r="T33" s="51">
        <f t="shared" si="25"/>
        <v>72.5</v>
      </c>
      <c r="U33" s="62">
        <f t="shared" si="26"/>
        <v>26</v>
      </c>
      <c r="V33" s="53">
        <f t="shared" si="27"/>
        <v>-10.840634357325053</v>
      </c>
      <c r="W33" s="54">
        <f t="shared" si="28"/>
        <v>-10.840634357325053</v>
      </c>
      <c r="X33" s="54">
        <f t="shared" si="29"/>
        <v>-10.840634357325053</v>
      </c>
      <c r="Y33" s="55">
        <f t="shared" si="30"/>
        <v>0</v>
      </c>
      <c r="Z33" s="55">
        <f t="shared" si="31"/>
        <v>0</v>
      </c>
      <c r="AA33" s="56">
        <f t="shared" si="32"/>
        <v>0</v>
      </c>
      <c r="AB33" s="9"/>
      <c r="AC33" s="57">
        <v>62</v>
      </c>
      <c r="AD33" s="48">
        <v>0</v>
      </c>
      <c r="AE33" s="48">
        <v>62</v>
      </c>
      <c r="AF33" s="48">
        <v>0</v>
      </c>
      <c r="AG33" s="48">
        <v>62</v>
      </c>
      <c r="AH33" s="48">
        <v>0</v>
      </c>
      <c r="AI33" s="48">
        <v>-24</v>
      </c>
      <c r="AJ33" s="48">
        <v>0</v>
      </c>
      <c r="AK33" s="48">
        <v>0</v>
      </c>
      <c r="AL33" s="48">
        <v>0</v>
      </c>
      <c r="AM33" s="48">
        <v>24</v>
      </c>
      <c r="AN33" s="58">
        <v>0</v>
      </c>
      <c r="AO33" s="9"/>
      <c r="AP33" s="59">
        <f>62+10</f>
        <v>72</v>
      </c>
      <c r="AQ33" s="60">
        <v>6</v>
      </c>
      <c r="AR33" s="60">
        <v>-26</v>
      </c>
      <c r="AS33" s="60">
        <v>0</v>
      </c>
      <c r="AT33" s="60">
        <f>62+10</f>
        <v>72</v>
      </c>
      <c r="AU33" s="60">
        <v>6</v>
      </c>
      <c r="AV33" s="60">
        <v>26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300</v>
      </c>
      <c r="B34" t="s">
        <v>281</v>
      </c>
      <c r="C34" t="s">
        <v>301</v>
      </c>
      <c r="D34" t="s">
        <v>67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16"/>
        <v>10.840634357325053</v>
      </c>
      <c r="L34" s="46">
        <f t="shared" si="17"/>
        <v>52.659365642674949</v>
      </c>
      <c r="M34" s="47">
        <f t="shared" si="18"/>
        <v>52.659365642674949</v>
      </c>
      <c r="N34" s="47">
        <f t="shared" si="19"/>
        <v>52.659365642674949</v>
      </c>
      <c r="O34" s="48">
        <f t="shared" si="20"/>
        <v>-20</v>
      </c>
      <c r="P34" s="48">
        <f t="shared" si="21"/>
        <v>0</v>
      </c>
      <c r="Q34" s="58">
        <f t="shared" si="22"/>
        <v>20</v>
      </c>
      <c r="R34" s="50">
        <f t="shared" si="23"/>
        <v>74.5</v>
      </c>
      <c r="S34" s="51">
        <f t="shared" si="24"/>
        <v>-9.5</v>
      </c>
      <c r="T34" s="51">
        <f t="shared" si="25"/>
        <v>74.5</v>
      </c>
      <c r="U34" s="52">
        <f t="shared" si="26"/>
        <v>9.5</v>
      </c>
      <c r="V34" s="53">
        <f t="shared" si="27"/>
        <v>-10.840634357325053</v>
      </c>
      <c r="W34" s="54">
        <f t="shared" si="28"/>
        <v>-10.840634357325053</v>
      </c>
      <c r="X34" s="54">
        <f t="shared" si="29"/>
        <v>-10.840634357325053</v>
      </c>
      <c r="Y34" s="55">
        <f t="shared" si="30"/>
        <v>0</v>
      </c>
      <c r="Z34" s="55">
        <f t="shared" si="31"/>
        <v>0</v>
      </c>
      <c r="AA34" s="56">
        <f t="shared" si="32"/>
        <v>0</v>
      </c>
      <c r="AB34" s="9"/>
      <c r="AC34" s="57">
        <v>63</v>
      </c>
      <c r="AD34" s="48">
        <v>6</v>
      </c>
      <c r="AE34" s="48">
        <v>63</v>
      </c>
      <c r="AF34" s="48">
        <v>6</v>
      </c>
      <c r="AG34" s="48">
        <v>63</v>
      </c>
      <c r="AH34" s="48">
        <v>6</v>
      </c>
      <c r="AI34" s="48">
        <v>-19</v>
      </c>
      <c r="AJ34" s="48">
        <v>-12</v>
      </c>
      <c r="AK34" s="48">
        <v>0</v>
      </c>
      <c r="AL34" s="48">
        <v>0</v>
      </c>
      <c r="AM34" s="48">
        <v>19</v>
      </c>
      <c r="AN34" s="58">
        <v>12</v>
      </c>
      <c r="AO34" s="9"/>
      <c r="AP34" s="59">
        <f>63+11</f>
        <v>74</v>
      </c>
      <c r="AQ34" s="60">
        <v>6</v>
      </c>
      <c r="AR34" s="60">
        <v>-9</v>
      </c>
      <c r="AS34" s="60">
        <v>-6</v>
      </c>
      <c r="AT34" s="60">
        <v>74</v>
      </c>
      <c r="AU34" s="60">
        <v>6</v>
      </c>
      <c r="AV34" s="60">
        <v>9</v>
      </c>
      <c r="AW34" s="62">
        <v>6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304</v>
      </c>
      <c r="B35" t="s">
        <v>281</v>
      </c>
      <c r="C35" t="s">
        <v>305</v>
      </c>
      <c r="D35" t="s">
        <v>71</v>
      </c>
      <c r="E35" s="44">
        <v>2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16"/>
        <v>10.840634357325053</v>
      </c>
      <c r="L35" s="57">
        <f t="shared" si="17"/>
        <v>96</v>
      </c>
      <c r="M35" s="48">
        <f t="shared" si="18"/>
        <v>70</v>
      </c>
      <c r="N35" s="48">
        <f t="shared" si="19"/>
        <v>70</v>
      </c>
      <c r="O35" s="48">
        <f t="shared" si="20"/>
        <v>-10</v>
      </c>
      <c r="P35" s="47">
        <f t="shared" si="21"/>
        <v>-32.75</v>
      </c>
      <c r="Q35" s="58">
        <f t="shared" si="22"/>
        <v>-10</v>
      </c>
      <c r="R35" s="59">
        <f t="shared" si="23"/>
        <v>111</v>
      </c>
      <c r="S35" s="51">
        <f t="shared" si="24"/>
        <v>-27.25</v>
      </c>
      <c r="T35" s="60">
        <f t="shared" si="25"/>
        <v>111</v>
      </c>
      <c r="U35" s="52">
        <f t="shared" si="26"/>
        <v>27.25</v>
      </c>
      <c r="V35" s="61">
        <f t="shared" si="27"/>
        <v>96</v>
      </c>
      <c r="W35" s="55">
        <f t="shared" si="28"/>
        <v>70</v>
      </c>
      <c r="X35" s="55">
        <f t="shared" si="29"/>
        <v>70</v>
      </c>
      <c r="Y35" s="55">
        <f t="shared" si="30"/>
        <v>10</v>
      </c>
      <c r="Z35" s="55">
        <f t="shared" si="31"/>
        <v>10</v>
      </c>
      <c r="AA35" s="64">
        <f t="shared" si="32"/>
        <v>32.75</v>
      </c>
      <c r="AB35" s="9"/>
      <c r="AC35" s="46">
        <f>70+K35+26</f>
        <v>106.84063435732506</v>
      </c>
      <c r="AD35" s="48">
        <v>0</v>
      </c>
      <c r="AE35" s="47">
        <f>70+K35</f>
        <v>80.840634357325058</v>
      </c>
      <c r="AF35" s="48">
        <v>0</v>
      </c>
      <c r="AG35" s="47">
        <f>70+K35</f>
        <v>80.840634357325058</v>
      </c>
      <c r="AH35" s="48">
        <v>0</v>
      </c>
      <c r="AI35" s="48">
        <v>-10</v>
      </c>
      <c r="AJ35" s="48">
        <v>0</v>
      </c>
      <c r="AK35" s="48">
        <f>-10-10-12</f>
        <v>-32</v>
      </c>
      <c r="AL35" s="48">
        <v>-9</v>
      </c>
      <c r="AM35" s="48">
        <v>-10</v>
      </c>
      <c r="AN35" s="58">
        <v>0</v>
      </c>
      <c r="AO35" s="9"/>
      <c r="AP35" s="59">
        <f>70+26+15</f>
        <v>111</v>
      </c>
      <c r="AQ35" s="60">
        <v>0</v>
      </c>
      <c r="AR35" s="60">
        <v>-27</v>
      </c>
      <c r="AS35" s="60">
        <v>-3</v>
      </c>
      <c r="AT35" s="60">
        <f>70+26+15</f>
        <v>111</v>
      </c>
      <c r="AU35" s="60">
        <v>0</v>
      </c>
      <c r="AV35" s="60">
        <v>27</v>
      </c>
      <c r="AW35" s="62">
        <v>3</v>
      </c>
      <c r="AX35" s="9"/>
      <c r="AY35" s="53">
        <f>70+26+K35</f>
        <v>106.84063435732506</v>
      </c>
      <c r="AZ35" s="55">
        <v>0</v>
      </c>
      <c r="BA35" s="54">
        <f>70+K35</f>
        <v>80.840634357325058</v>
      </c>
      <c r="BB35" s="55">
        <v>0</v>
      </c>
      <c r="BC35" s="54">
        <f>70+K35</f>
        <v>80.840634357325058</v>
      </c>
      <c r="BD35" s="55">
        <v>0</v>
      </c>
      <c r="BE35" s="55">
        <v>10</v>
      </c>
      <c r="BF35" s="55">
        <v>0</v>
      </c>
      <c r="BG35" s="55">
        <v>10</v>
      </c>
      <c r="BH35" s="55">
        <v>0</v>
      </c>
      <c r="BI35" s="55">
        <f>10+12+10</f>
        <v>32</v>
      </c>
      <c r="BJ35" s="56">
        <v>9</v>
      </c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307</v>
      </c>
      <c r="B36" t="s">
        <v>308</v>
      </c>
      <c r="C36" t="s">
        <v>309</v>
      </c>
      <c r="D36" t="s">
        <v>18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si="16"/>
        <v>10.840634357325053</v>
      </c>
      <c r="L36" s="46">
        <f t="shared" si="17"/>
        <v>109.24269897600827</v>
      </c>
      <c r="M36" s="47">
        <f t="shared" si="18"/>
        <v>84.659365642674942</v>
      </c>
      <c r="N36" s="47">
        <f t="shared" si="19"/>
        <v>84.659365642674942</v>
      </c>
      <c r="O36" s="48">
        <f t="shared" si="20"/>
        <v>0</v>
      </c>
      <c r="P36" s="48">
        <f t="shared" si="21"/>
        <v>-15</v>
      </c>
      <c r="Q36" s="58">
        <f t="shared" si="22"/>
        <v>15</v>
      </c>
      <c r="R36" s="50">
        <f t="shared" si="23"/>
        <v>120.08333333333333</v>
      </c>
      <c r="S36" s="51">
        <f t="shared" si="24"/>
        <v>-13.5</v>
      </c>
      <c r="T36" s="51">
        <f t="shared" si="25"/>
        <v>120.08333333333333</v>
      </c>
      <c r="U36" s="52">
        <f t="shared" si="26"/>
        <v>13.5</v>
      </c>
      <c r="V36" s="53">
        <f t="shared" si="27"/>
        <v>-10.840634357325053</v>
      </c>
      <c r="W36" s="54">
        <f t="shared" si="28"/>
        <v>-10.840634357325053</v>
      </c>
      <c r="X36" s="54">
        <f t="shared" si="29"/>
        <v>-10.840634357325053</v>
      </c>
      <c r="Y36" s="55">
        <f t="shared" si="30"/>
        <v>0</v>
      </c>
      <c r="Z36" s="55">
        <f t="shared" si="31"/>
        <v>0</v>
      </c>
      <c r="AA36" s="56">
        <f t="shared" si="32"/>
        <v>0</v>
      </c>
      <c r="AB36" s="9"/>
      <c r="AC36" s="57">
        <f>95+24</f>
        <v>119</v>
      </c>
      <c r="AD36" s="48">
        <f>6+7</f>
        <v>13</v>
      </c>
      <c r="AE36" s="48">
        <v>95</v>
      </c>
      <c r="AF36" s="48">
        <v>6</v>
      </c>
      <c r="AG36" s="48">
        <v>95</v>
      </c>
      <c r="AH36" s="48">
        <v>6</v>
      </c>
      <c r="AI36" s="48">
        <v>0</v>
      </c>
      <c r="AJ36" s="48">
        <v>0</v>
      </c>
      <c r="AK36" s="48">
        <v>-15</v>
      </c>
      <c r="AL36" s="48">
        <v>0</v>
      </c>
      <c r="AM36" s="48">
        <v>15</v>
      </c>
      <c r="AN36" s="58">
        <v>0</v>
      </c>
      <c r="AO36" s="9"/>
      <c r="AP36" s="59">
        <f>95+24</f>
        <v>119</v>
      </c>
      <c r="AQ36" s="60">
        <f>6+7</f>
        <v>13</v>
      </c>
      <c r="AR36" s="51">
        <v>-13.5</v>
      </c>
      <c r="AS36" s="60">
        <v>0</v>
      </c>
      <c r="AT36" s="60">
        <f>95+24</f>
        <v>119</v>
      </c>
      <c r="AU36" s="60">
        <f>6+7</f>
        <v>13</v>
      </c>
      <c r="AV36" s="51">
        <v>13.5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310</v>
      </c>
      <c r="B37" t="s">
        <v>308</v>
      </c>
      <c r="C37" t="s">
        <v>311</v>
      </c>
      <c r="D37" t="s">
        <v>157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ref="K37:K69" si="50">((G37*H37)/I37)*J37*(1/304.8)</f>
        <v>10.840634357325053</v>
      </c>
      <c r="L37" s="46">
        <f t="shared" ref="L37:L65" si="51">AC37+(AD37*(1/12))-K37</f>
        <v>116.15936564267494</v>
      </c>
      <c r="M37" s="47">
        <f t="shared" ref="M37:M65" si="52">AE37+(AF37*(1/12))-K37</f>
        <v>94.159365642674942</v>
      </c>
      <c r="N37" s="47">
        <f t="shared" ref="N37:N65" si="53">AG37+(AH37*(1/12))-K37</f>
        <v>94.159365642674942</v>
      </c>
      <c r="O37" s="48">
        <f t="shared" ref="O37:O65" si="54">AI37+(AJ37*(1/12))</f>
        <v>0</v>
      </c>
      <c r="P37" s="47">
        <f t="shared" ref="P37:P65" si="55">AK37+(AL37*(1/12))</f>
        <v>-13.5</v>
      </c>
      <c r="Q37" s="49">
        <f t="shared" ref="Q37:Q65" si="56">AM37+(AN37*(1/12))</f>
        <v>13.5</v>
      </c>
      <c r="R37" s="59">
        <f t="shared" ref="R37:R65" si="57">AP37+((1/12)*AQ37)</f>
        <v>127</v>
      </c>
      <c r="S37" s="60">
        <f t="shared" ref="S37:S65" si="58">AR37+((1/12)*AS37)</f>
        <v>-10</v>
      </c>
      <c r="T37" s="60">
        <f t="shared" ref="T37:T65" si="59">AT37+((1/12)*AU37)</f>
        <v>127</v>
      </c>
      <c r="U37" s="62">
        <f t="shared" ref="U37:U65" si="60">AV37+((1/12)*AW37)</f>
        <v>10</v>
      </c>
      <c r="V37" s="53">
        <f t="shared" ref="V37:V65" si="61">AY37+(AZ37*(1/12))-K37</f>
        <v>-10.840634357325053</v>
      </c>
      <c r="W37" s="54">
        <f t="shared" ref="W37:W65" si="62">BA37+(BB37*(1/12))-K37</f>
        <v>-10.840634357325053</v>
      </c>
      <c r="X37" s="54">
        <f t="shared" ref="X37:X65" si="63">BC37+(BD37*(1/12))-K37</f>
        <v>-10.840634357325053</v>
      </c>
      <c r="Y37" s="55">
        <f t="shared" ref="Y37:Y65" si="64">BE37+(BF37*(1/12))</f>
        <v>0</v>
      </c>
      <c r="Z37" s="55">
        <f t="shared" ref="Z37:Z65" si="65">BG37+(BH37*(1/12))</f>
        <v>0</v>
      </c>
      <c r="AA37" s="56">
        <f t="shared" ref="AA37:AA65" si="66">BI37+(BJ37*(1/12))</f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8">
        <v>-13</v>
      </c>
      <c r="AL37" s="48">
        <v>-6</v>
      </c>
      <c r="AM37" s="48">
        <v>13</v>
      </c>
      <c r="AN37" s="58">
        <v>6</v>
      </c>
      <c r="AO37" s="9"/>
      <c r="AP37" s="59">
        <f>105+22</f>
        <v>127</v>
      </c>
      <c r="AQ37" s="60">
        <v>0</v>
      </c>
      <c r="AR37" s="60">
        <v>-10</v>
      </c>
      <c r="AS37" s="60">
        <v>0</v>
      </c>
      <c r="AT37" s="60">
        <v>127</v>
      </c>
      <c r="AU37" s="60">
        <v>0</v>
      </c>
      <c r="AV37" s="60">
        <v>10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312</v>
      </c>
      <c r="B38" t="s">
        <v>308</v>
      </c>
      <c r="C38" t="s">
        <v>313</v>
      </c>
      <c r="D38" t="s">
        <v>509</v>
      </c>
      <c r="E38" s="44">
        <v>1</v>
      </c>
      <c r="F38" s="44">
        <v>2</v>
      </c>
      <c r="G38" s="45">
        <v>345</v>
      </c>
      <c r="H38" s="44">
        <v>20</v>
      </c>
      <c r="I38" s="44">
        <v>355</v>
      </c>
      <c r="J38" s="44">
        <v>170</v>
      </c>
      <c r="K38" s="43">
        <f t="shared" si="50"/>
        <v>10.840634357325053</v>
      </c>
      <c r="L38" s="46">
        <f t="shared" si="51"/>
        <v>116.15936564267494</v>
      </c>
      <c r="M38" s="47">
        <f t="shared" si="52"/>
        <v>94.159365642674942</v>
      </c>
      <c r="N38" s="47">
        <f t="shared" si="53"/>
        <v>94.159365642674942</v>
      </c>
      <c r="O38" s="48">
        <f t="shared" si="54"/>
        <v>0</v>
      </c>
      <c r="P38" s="47">
        <f t="shared" si="55"/>
        <v>-19.833333333333332</v>
      </c>
      <c r="Q38" s="49">
        <f t="shared" si="56"/>
        <v>19.833333333333332</v>
      </c>
      <c r="R38" s="59">
        <f t="shared" si="57"/>
        <v>127</v>
      </c>
      <c r="S38" s="60">
        <f t="shared" si="58"/>
        <v>-9</v>
      </c>
      <c r="T38" s="60">
        <f t="shared" si="59"/>
        <v>127</v>
      </c>
      <c r="U38" s="62">
        <f t="shared" si="60"/>
        <v>9</v>
      </c>
      <c r="V38" s="53">
        <f t="shared" si="61"/>
        <v>-10.840634357325053</v>
      </c>
      <c r="W38" s="54">
        <f t="shared" si="62"/>
        <v>-10.840634357325053</v>
      </c>
      <c r="X38" s="54">
        <f t="shared" si="63"/>
        <v>-10.840634357325053</v>
      </c>
      <c r="Y38" s="55">
        <f t="shared" si="64"/>
        <v>0</v>
      </c>
      <c r="Z38" s="55">
        <f t="shared" si="65"/>
        <v>0</v>
      </c>
      <c r="AA38" s="56">
        <f t="shared" si="66"/>
        <v>0</v>
      </c>
      <c r="AB38" s="9"/>
      <c r="AC38" s="57">
        <f>105+22</f>
        <v>127</v>
      </c>
      <c r="AD38" s="48">
        <v>0</v>
      </c>
      <c r="AE38" s="48">
        <v>105</v>
      </c>
      <c r="AF38" s="48">
        <v>0</v>
      </c>
      <c r="AG38" s="48">
        <v>105</v>
      </c>
      <c r="AH38" s="48">
        <v>0</v>
      </c>
      <c r="AI38" s="48">
        <v>0</v>
      </c>
      <c r="AJ38" s="48">
        <v>0</v>
      </c>
      <c r="AK38" s="47">
        <v>-19.5</v>
      </c>
      <c r="AL38" s="48">
        <v>-4</v>
      </c>
      <c r="AM38" s="47">
        <v>19.5</v>
      </c>
      <c r="AN38" s="58">
        <v>4</v>
      </c>
      <c r="AO38" s="9"/>
      <c r="AP38" s="59">
        <f>105+22</f>
        <v>127</v>
      </c>
      <c r="AQ38" s="60">
        <v>0</v>
      </c>
      <c r="AR38" s="60">
        <v>-9</v>
      </c>
      <c r="AS38" s="60">
        <v>0</v>
      </c>
      <c r="AT38" s="60">
        <v>127</v>
      </c>
      <c r="AU38" s="60">
        <v>0</v>
      </c>
      <c r="AV38" s="60">
        <v>9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66" t="s">
        <v>315</v>
      </c>
      <c r="B39" s="67" t="s">
        <v>228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50"/>
        <v>15.711064285978338</v>
      </c>
      <c r="L39" s="46">
        <f t="shared" si="51"/>
        <v>96.788935714021662</v>
      </c>
      <c r="M39" s="47">
        <f t="shared" si="52"/>
        <v>69.288935714021662</v>
      </c>
      <c r="N39" s="47">
        <f t="shared" si="53"/>
        <v>69.288935714021662</v>
      </c>
      <c r="O39" s="48">
        <f t="shared" si="54"/>
        <v>0</v>
      </c>
      <c r="P39" s="48">
        <f t="shared" si="55"/>
        <v>-20</v>
      </c>
      <c r="Q39" s="58">
        <f t="shared" si="56"/>
        <v>20</v>
      </c>
      <c r="R39" s="50">
        <f t="shared" si="57"/>
        <v>122.25</v>
      </c>
      <c r="S39" s="60">
        <f t="shared" si="58"/>
        <v>-13</v>
      </c>
      <c r="T39" s="51">
        <f t="shared" si="59"/>
        <v>122.25</v>
      </c>
      <c r="U39" s="62">
        <f t="shared" si="60"/>
        <v>13</v>
      </c>
      <c r="V39" s="53">
        <f t="shared" si="61"/>
        <v>-15.711064285978338</v>
      </c>
      <c r="W39" s="54">
        <f t="shared" si="62"/>
        <v>-15.711064285978338</v>
      </c>
      <c r="X39" s="54">
        <f t="shared" si="63"/>
        <v>-15.711064285978338</v>
      </c>
      <c r="Y39" s="55">
        <f t="shared" si="64"/>
        <v>0</v>
      </c>
      <c r="Z39" s="55">
        <f t="shared" si="65"/>
        <v>0</v>
      </c>
      <c r="AA39" s="56">
        <f t="shared" si="66"/>
        <v>0</v>
      </c>
      <c r="AB39" s="9"/>
      <c r="AC39" s="57">
        <f>85+27</f>
        <v>112</v>
      </c>
      <c r="AD39" s="48">
        <v>6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-20</v>
      </c>
      <c r="AL39" s="48">
        <v>0</v>
      </c>
      <c r="AM39" s="48">
        <v>20</v>
      </c>
      <c r="AN39" s="58">
        <v>0</v>
      </c>
      <c r="AO39" s="9"/>
      <c r="AP39" s="59">
        <f>85+27+9</f>
        <v>121</v>
      </c>
      <c r="AQ39" s="60">
        <f>6+9</f>
        <v>15</v>
      </c>
      <c r="AR39" s="60">
        <v>-13</v>
      </c>
      <c r="AS39" s="60">
        <v>0</v>
      </c>
      <c r="AT39" s="60">
        <v>121</v>
      </c>
      <c r="AU39" s="60">
        <v>15</v>
      </c>
      <c r="AV39" s="60">
        <v>13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316</v>
      </c>
      <c r="B40" t="s">
        <v>228</v>
      </c>
      <c r="C40" t="s">
        <v>317</v>
      </c>
      <c r="D40" s="68" t="s">
        <v>318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50"/>
        <v>15.711064285978338</v>
      </c>
      <c r="L40" s="46">
        <f t="shared" si="51"/>
        <v>98.288935714021662</v>
      </c>
      <c r="M40" s="47">
        <f t="shared" si="52"/>
        <v>69.288935714021662</v>
      </c>
      <c r="N40" s="47">
        <f t="shared" si="53"/>
        <v>69.288935714021662</v>
      </c>
      <c r="O40" s="48">
        <f t="shared" si="54"/>
        <v>0</v>
      </c>
      <c r="P40" s="47">
        <f t="shared" si="55"/>
        <v>-15.333333333333334</v>
      </c>
      <c r="Q40" s="49">
        <f t="shared" si="56"/>
        <v>15.333333333333334</v>
      </c>
      <c r="R40" s="59">
        <f t="shared" si="57"/>
        <v>121</v>
      </c>
      <c r="S40" s="60">
        <f t="shared" si="58"/>
        <v>-12</v>
      </c>
      <c r="T40" s="60">
        <f t="shared" si="59"/>
        <v>121</v>
      </c>
      <c r="U40" s="62">
        <f t="shared" si="60"/>
        <v>12</v>
      </c>
      <c r="V40" s="53">
        <f t="shared" si="61"/>
        <v>-15.711064285978338</v>
      </c>
      <c r="W40" s="54">
        <f t="shared" si="62"/>
        <v>-15.711064285978338</v>
      </c>
      <c r="X40" s="54">
        <f t="shared" si="63"/>
        <v>-15.711064285978338</v>
      </c>
      <c r="Y40" s="55">
        <f t="shared" si="64"/>
        <v>0</v>
      </c>
      <c r="Z40" s="55">
        <f t="shared" si="65"/>
        <v>0</v>
      </c>
      <c r="AA40" s="56">
        <f t="shared" si="66"/>
        <v>0</v>
      </c>
      <c r="AB40" s="9"/>
      <c r="AC40" s="57">
        <f>85+29</f>
        <v>114</v>
      </c>
      <c r="AD40" s="48">
        <v>0</v>
      </c>
      <c r="AE40" s="48">
        <v>85</v>
      </c>
      <c r="AF40" s="48">
        <v>0</v>
      </c>
      <c r="AG40" s="48">
        <v>85</v>
      </c>
      <c r="AH40" s="48">
        <v>0</v>
      </c>
      <c r="AI40" s="48">
        <v>0</v>
      </c>
      <c r="AJ40" s="48">
        <v>0</v>
      </c>
      <c r="AK40" s="48">
        <v>-15</v>
      </c>
      <c r="AL40" s="48">
        <v>-4</v>
      </c>
      <c r="AM40" s="48">
        <v>15</v>
      </c>
      <c r="AN40" s="58">
        <v>4</v>
      </c>
      <c r="AO40" s="9"/>
      <c r="AP40" s="59">
        <f>85+29+7</f>
        <v>121</v>
      </c>
      <c r="AQ40" s="60">
        <v>0</v>
      </c>
      <c r="AR40" s="60">
        <v>-12</v>
      </c>
      <c r="AS40" s="60">
        <v>0</v>
      </c>
      <c r="AT40" s="60">
        <v>121</v>
      </c>
      <c r="AU40" s="60">
        <v>0</v>
      </c>
      <c r="AV40" s="60">
        <v>12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319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50"/>
        <v>15.711064285978338</v>
      </c>
      <c r="L41" s="46">
        <f t="shared" si="51"/>
        <v>90.288935714021662</v>
      </c>
      <c r="M41" s="47">
        <f t="shared" si="52"/>
        <v>74.288935714021662</v>
      </c>
      <c r="N41" s="47">
        <f t="shared" si="53"/>
        <v>74.288935714021662</v>
      </c>
      <c r="O41" s="48">
        <f t="shared" si="54"/>
        <v>0</v>
      </c>
      <c r="P41" s="48">
        <f t="shared" si="55"/>
        <v>-29</v>
      </c>
      <c r="Q41" s="58">
        <f t="shared" si="56"/>
        <v>29</v>
      </c>
      <c r="R41" s="59">
        <f t="shared" si="57"/>
        <v>106</v>
      </c>
      <c r="S41" s="60">
        <f t="shared" si="58"/>
        <v>-15</v>
      </c>
      <c r="T41" s="60">
        <f t="shared" si="59"/>
        <v>106</v>
      </c>
      <c r="U41" s="62">
        <f t="shared" si="60"/>
        <v>15</v>
      </c>
      <c r="V41" s="53">
        <f t="shared" si="61"/>
        <v>-15.711064285978338</v>
      </c>
      <c r="W41" s="54">
        <f t="shared" si="62"/>
        <v>-15.711064285978338</v>
      </c>
      <c r="X41" s="54">
        <f t="shared" si="63"/>
        <v>-15.711064285978338</v>
      </c>
      <c r="Y41" s="55">
        <f t="shared" si="64"/>
        <v>0</v>
      </c>
      <c r="Z41" s="55">
        <f t="shared" si="65"/>
        <v>0</v>
      </c>
      <c r="AA41" s="56">
        <f t="shared" si="66"/>
        <v>0</v>
      </c>
      <c r="AB41" s="9"/>
      <c r="AC41" s="57">
        <f>90+16</f>
        <v>106</v>
      </c>
      <c r="AD41" s="48">
        <v>0</v>
      </c>
      <c r="AE41" s="48">
        <v>90</v>
      </c>
      <c r="AF41" s="48">
        <v>0</v>
      </c>
      <c r="AG41" s="48">
        <v>90</v>
      </c>
      <c r="AH41" s="48">
        <v>0</v>
      </c>
      <c r="AI41" s="48">
        <v>0</v>
      </c>
      <c r="AJ41" s="48">
        <v>0</v>
      </c>
      <c r="AK41" s="48">
        <v>-29</v>
      </c>
      <c r="AL41" s="48">
        <v>0</v>
      </c>
      <c r="AM41" s="48">
        <v>29</v>
      </c>
      <c r="AN41" s="58">
        <v>0</v>
      </c>
      <c r="AO41" s="9"/>
      <c r="AP41" s="59">
        <v>106</v>
      </c>
      <c r="AQ41" s="60">
        <v>0</v>
      </c>
      <c r="AR41" s="60">
        <v>-15</v>
      </c>
      <c r="AS41" s="60">
        <v>0</v>
      </c>
      <c r="AT41" s="60">
        <v>106</v>
      </c>
      <c r="AU41" s="60">
        <v>0</v>
      </c>
      <c r="AV41" s="60">
        <v>15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320</v>
      </c>
      <c r="B42" t="s">
        <v>228</v>
      </c>
      <c r="C42" t="s">
        <v>321</v>
      </c>
      <c r="D42" t="s">
        <v>322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50"/>
        <v>15.711064285978338</v>
      </c>
      <c r="L42" s="57">
        <f t="shared" si="51"/>
        <v>85</v>
      </c>
      <c r="M42" s="47">
        <f t="shared" si="52"/>
        <v>69.288935714021662</v>
      </c>
      <c r="N42" s="47">
        <f t="shared" si="53"/>
        <v>69.288935714021662</v>
      </c>
      <c r="O42" s="48">
        <f t="shared" si="54"/>
        <v>0</v>
      </c>
      <c r="P42" s="48">
        <f t="shared" si="55"/>
        <v>-28</v>
      </c>
      <c r="Q42" s="58">
        <f t="shared" si="56"/>
        <v>28</v>
      </c>
      <c r="R42" s="59">
        <f t="shared" si="57"/>
        <v>99</v>
      </c>
      <c r="S42" s="60">
        <f t="shared" si="58"/>
        <v>-26</v>
      </c>
      <c r="T42" s="60">
        <f t="shared" si="59"/>
        <v>99</v>
      </c>
      <c r="U42" s="62">
        <f t="shared" si="60"/>
        <v>26</v>
      </c>
      <c r="V42" s="53">
        <f t="shared" si="61"/>
        <v>-15.711064285978338</v>
      </c>
      <c r="W42" s="54">
        <f t="shared" si="62"/>
        <v>-15.711064285978338</v>
      </c>
      <c r="X42" s="54">
        <f t="shared" si="63"/>
        <v>-15.711064285978338</v>
      </c>
      <c r="Y42" s="55">
        <f t="shared" si="64"/>
        <v>0</v>
      </c>
      <c r="Z42" s="55">
        <f t="shared" si="65"/>
        <v>0</v>
      </c>
      <c r="AA42" s="56">
        <f t="shared" si="66"/>
        <v>0</v>
      </c>
      <c r="AB42" s="9"/>
      <c r="AC42" s="46">
        <f>85+K42</f>
        <v>100.71106428597834</v>
      </c>
      <c r="AD42" s="48">
        <v>0</v>
      </c>
      <c r="AE42" s="48">
        <v>85</v>
      </c>
      <c r="AF42" s="48">
        <v>0</v>
      </c>
      <c r="AG42" s="48">
        <v>85</v>
      </c>
      <c r="AH42" s="48">
        <v>0</v>
      </c>
      <c r="AI42" s="48">
        <v>0</v>
      </c>
      <c r="AJ42" s="48">
        <v>0</v>
      </c>
      <c r="AK42" s="48">
        <v>-28</v>
      </c>
      <c r="AL42" s="48">
        <v>0</v>
      </c>
      <c r="AM42" s="48">
        <v>28</v>
      </c>
      <c r="AN42" s="58">
        <v>0</v>
      </c>
      <c r="AO42" s="9"/>
      <c r="AP42" s="59">
        <f>85+14</f>
        <v>99</v>
      </c>
      <c r="AQ42" s="60">
        <v>0</v>
      </c>
      <c r="AR42" s="60">
        <v>-26</v>
      </c>
      <c r="AS42" s="60">
        <v>0</v>
      </c>
      <c r="AT42" s="60">
        <v>99</v>
      </c>
      <c r="AU42" s="60">
        <v>0</v>
      </c>
      <c r="AV42" s="60">
        <v>26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323</v>
      </c>
      <c r="B43" t="s">
        <v>228</v>
      </c>
      <c r="C43" t="s">
        <v>324</v>
      </c>
      <c r="D43" t="s">
        <v>106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50"/>
        <v>15.711064285978338</v>
      </c>
      <c r="L43" s="57">
        <f t="shared" si="51"/>
        <v>105</v>
      </c>
      <c r="M43" s="47">
        <f t="shared" si="52"/>
        <v>89.288935714021662</v>
      </c>
      <c r="N43" s="47">
        <f t="shared" si="53"/>
        <v>89.288935714021662</v>
      </c>
      <c r="O43" s="48">
        <f t="shared" si="54"/>
        <v>0</v>
      </c>
      <c r="P43" s="47">
        <f t="shared" si="55"/>
        <v>-30.25</v>
      </c>
      <c r="Q43" s="49">
        <f t="shared" si="56"/>
        <v>30.25</v>
      </c>
      <c r="R43" s="50">
        <f t="shared" si="57"/>
        <v>122.5</v>
      </c>
      <c r="S43" s="51">
        <f t="shared" si="58"/>
        <v>-15.5</v>
      </c>
      <c r="T43" s="51">
        <f t="shared" si="59"/>
        <v>122.5</v>
      </c>
      <c r="U43" s="52">
        <f t="shared" si="60"/>
        <v>15.5</v>
      </c>
      <c r="V43" s="53">
        <f t="shared" si="61"/>
        <v>-15.711064285978338</v>
      </c>
      <c r="W43" s="54">
        <f t="shared" si="62"/>
        <v>-15.711064285978338</v>
      </c>
      <c r="X43" s="54">
        <f t="shared" si="63"/>
        <v>-15.711064285978338</v>
      </c>
      <c r="Y43" s="55">
        <f t="shared" si="64"/>
        <v>0</v>
      </c>
      <c r="Z43" s="55">
        <f t="shared" si="65"/>
        <v>0</v>
      </c>
      <c r="AA43" s="56">
        <f t="shared" si="66"/>
        <v>0</v>
      </c>
      <c r="AB43" s="9"/>
      <c r="AC43" s="46">
        <f>105+K43</f>
        <v>120.71106428597834</v>
      </c>
      <c r="AD43" s="48">
        <v>0</v>
      </c>
      <c r="AE43" s="48">
        <v>105</v>
      </c>
      <c r="AF43" s="48">
        <v>0</v>
      </c>
      <c r="AG43" s="48">
        <v>105</v>
      </c>
      <c r="AH43" s="48">
        <v>0</v>
      </c>
      <c r="AI43" s="48">
        <v>0</v>
      </c>
      <c r="AJ43" s="48">
        <v>0</v>
      </c>
      <c r="AK43" s="48">
        <v>-30</v>
      </c>
      <c r="AL43" s="48">
        <v>-3</v>
      </c>
      <c r="AM43" s="48">
        <v>30</v>
      </c>
      <c r="AN43" s="58">
        <v>3</v>
      </c>
      <c r="AO43" s="9"/>
      <c r="AP43" s="59">
        <f>105+17</f>
        <v>122</v>
      </c>
      <c r="AQ43" s="60">
        <v>6</v>
      </c>
      <c r="AR43" s="51">
        <v>-15.5</v>
      </c>
      <c r="AS43" s="60">
        <v>0</v>
      </c>
      <c r="AT43" s="60">
        <v>122</v>
      </c>
      <c r="AU43" s="60">
        <v>6</v>
      </c>
      <c r="AV43" s="51">
        <v>15.5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325</v>
      </c>
      <c r="B44" t="s">
        <v>228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50"/>
        <v>15.711064285978338</v>
      </c>
      <c r="L44" s="46">
        <f t="shared" si="51"/>
        <v>64.288935714021662</v>
      </c>
      <c r="M44" s="47">
        <f t="shared" si="52"/>
        <v>64.288935714021662</v>
      </c>
      <c r="N44" s="47">
        <f t="shared" si="53"/>
        <v>64.288935714021662</v>
      </c>
      <c r="O44" s="48">
        <f t="shared" si="54"/>
        <v>0</v>
      </c>
      <c r="P44" s="48">
        <f t="shared" si="55"/>
        <v>-35</v>
      </c>
      <c r="Q44" s="58">
        <f t="shared" si="56"/>
        <v>35</v>
      </c>
      <c r="R44" s="59">
        <f t="shared" si="57"/>
        <v>95</v>
      </c>
      <c r="S44" s="60">
        <f t="shared" si="58"/>
        <v>-25</v>
      </c>
      <c r="T44" s="60">
        <f t="shared" si="59"/>
        <v>95</v>
      </c>
      <c r="U44" s="62">
        <f t="shared" si="60"/>
        <v>25</v>
      </c>
      <c r="V44" s="53">
        <f t="shared" si="61"/>
        <v>-15.711064285978338</v>
      </c>
      <c r="W44" s="54">
        <f t="shared" si="62"/>
        <v>-15.711064285978338</v>
      </c>
      <c r="X44" s="54">
        <f t="shared" si="63"/>
        <v>-15.711064285978338</v>
      </c>
      <c r="Y44" s="55">
        <f t="shared" si="64"/>
        <v>0</v>
      </c>
      <c r="Z44" s="55">
        <f t="shared" si="65"/>
        <v>0</v>
      </c>
      <c r="AA44" s="56">
        <f t="shared" si="66"/>
        <v>0</v>
      </c>
      <c r="AB44" s="9"/>
      <c r="AC44" s="57">
        <v>80</v>
      </c>
      <c r="AD44" s="48">
        <v>0</v>
      </c>
      <c r="AE44" s="48">
        <v>80</v>
      </c>
      <c r="AF44" s="48">
        <v>0</v>
      </c>
      <c r="AG44" s="48">
        <v>80</v>
      </c>
      <c r="AH44" s="48">
        <v>0</v>
      </c>
      <c r="AI44" s="48">
        <v>0</v>
      </c>
      <c r="AJ44" s="48">
        <v>0</v>
      </c>
      <c r="AK44" s="48">
        <v>-35</v>
      </c>
      <c r="AL44" s="48">
        <v>0</v>
      </c>
      <c r="AM44" s="48">
        <v>35</v>
      </c>
      <c r="AN44" s="58">
        <v>0</v>
      </c>
      <c r="AO44" s="9"/>
      <c r="AP44" s="59">
        <f>80+15</f>
        <v>95</v>
      </c>
      <c r="AQ44" s="60">
        <v>0</v>
      </c>
      <c r="AR44" s="60">
        <v>-25</v>
      </c>
      <c r="AS44" s="60">
        <v>0</v>
      </c>
      <c r="AT44" s="60">
        <v>95</v>
      </c>
      <c r="AU44" s="60">
        <v>0</v>
      </c>
      <c r="AV44" s="60">
        <v>25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326</v>
      </c>
      <c r="B45" t="s">
        <v>228</v>
      </c>
      <c r="C45" t="s">
        <v>327</v>
      </c>
      <c r="D45" t="s">
        <v>328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50"/>
        <v>15.711064285978338</v>
      </c>
      <c r="L45" s="46">
        <f t="shared" si="51"/>
        <v>94.288935714021662</v>
      </c>
      <c r="M45" s="47">
        <f t="shared" si="52"/>
        <v>94.288935714021662</v>
      </c>
      <c r="N45" s="47">
        <f t="shared" si="53"/>
        <v>94.288935714021662</v>
      </c>
      <c r="O45" s="48">
        <f t="shared" si="54"/>
        <v>0</v>
      </c>
      <c r="P45" s="48">
        <f t="shared" si="55"/>
        <v>-34</v>
      </c>
      <c r="Q45" s="58">
        <f t="shared" si="56"/>
        <v>34</v>
      </c>
      <c r="R45" s="59">
        <f t="shared" si="57"/>
        <v>124</v>
      </c>
      <c r="S45" s="60">
        <f t="shared" si="58"/>
        <v>-31</v>
      </c>
      <c r="T45" s="60">
        <f t="shared" si="59"/>
        <v>124</v>
      </c>
      <c r="U45" s="62">
        <f t="shared" si="60"/>
        <v>31</v>
      </c>
      <c r="V45" s="53">
        <f t="shared" si="61"/>
        <v>-15.711064285978338</v>
      </c>
      <c r="W45" s="54">
        <f t="shared" si="62"/>
        <v>-15.711064285978338</v>
      </c>
      <c r="X45" s="54">
        <f t="shared" si="63"/>
        <v>-15.711064285978338</v>
      </c>
      <c r="Y45" s="55">
        <f t="shared" si="64"/>
        <v>0</v>
      </c>
      <c r="Z45" s="55">
        <f t="shared" si="65"/>
        <v>0</v>
      </c>
      <c r="AA45" s="56">
        <f t="shared" si="6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-34</v>
      </c>
      <c r="AL45" s="48">
        <v>0</v>
      </c>
      <c r="AM45" s="48">
        <v>34</v>
      </c>
      <c r="AN45" s="58">
        <v>0</v>
      </c>
      <c r="AO45" s="9"/>
      <c r="AP45" s="59">
        <f>110+14</f>
        <v>124</v>
      </c>
      <c r="AQ45" s="60">
        <v>0</v>
      </c>
      <c r="AR45" s="60">
        <v>-31</v>
      </c>
      <c r="AS45" s="60">
        <v>0</v>
      </c>
      <c r="AT45" s="60">
        <v>124</v>
      </c>
      <c r="AU45" s="60">
        <v>0</v>
      </c>
      <c r="AV45" s="60">
        <v>31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329</v>
      </c>
      <c r="B46" t="s">
        <v>228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50"/>
        <v>15.711064285978338</v>
      </c>
      <c r="L46" s="46">
        <f t="shared" si="51"/>
        <v>94.288935714021662</v>
      </c>
      <c r="M46" s="47">
        <f t="shared" si="52"/>
        <v>94.288935714021662</v>
      </c>
      <c r="N46" s="47">
        <f t="shared" si="53"/>
        <v>94.288935714021662</v>
      </c>
      <c r="O46" s="48">
        <f t="shared" si="54"/>
        <v>0</v>
      </c>
      <c r="P46" s="48">
        <f t="shared" si="55"/>
        <v>-33</v>
      </c>
      <c r="Q46" s="58">
        <f t="shared" si="56"/>
        <v>33</v>
      </c>
      <c r="R46" s="59">
        <f t="shared" si="57"/>
        <v>129</v>
      </c>
      <c r="S46" s="60">
        <f t="shared" si="58"/>
        <v>-20</v>
      </c>
      <c r="T46" s="60">
        <f t="shared" si="59"/>
        <v>129</v>
      </c>
      <c r="U46" s="62">
        <f t="shared" si="60"/>
        <v>20</v>
      </c>
      <c r="V46" s="53">
        <f t="shared" si="61"/>
        <v>-15.711064285978338</v>
      </c>
      <c r="W46" s="54">
        <f t="shared" si="62"/>
        <v>-15.711064285978338</v>
      </c>
      <c r="X46" s="54">
        <f t="shared" si="63"/>
        <v>-15.711064285978338</v>
      </c>
      <c r="Y46" s="55">
        <f t="shared" si="64"/>
        <v>0</v>
      </c>
      <c r="Z46" s="55">
        <f t="shared" si="65"/>
        <v>0</v>
      </c>
      <c r="AA46" s="56">
        <f t="shared" si="66"/>
        <v>0</v>
      </c>
      <c r="AB46" s="9"/>
      <c r="AC46" s="57">
        <v>110</v>
      </c>
      <c r="AD46" s="48">
        <v>0</v>
      </c>
      <c r="AE46" s="48">
        <v>110</v>
      </c>
      <c r="AF46" s="48">
        <v>0</v>
      </c>
      <c r="AG46" s="48">
        <v>110</v>
      </c>
      <c r="AH46" s="48">
        <v>0</v>
      </c>
      <c r="AI46" s="48">
        <v>0</v>
      </c>
      <c r="AJ46" s="48">
        <v>0</v>
      </c>
      <c r="AK46" s="48">
        <v>-33</v>
      </c>
      <c r="AL46" s="48">
        <v>0</v>
      </c>
      <c r="AM46" s="48">
        <v>33</v>
      </c>
      <c r="AN46" s="58">
        <v>0</v>
      </c>
      <c r="AO46" s="9"/>
      <c r="AP46" s="59">
        <f>110+19</f>
        <v>129</v>
      </c>
      <c r="AQ46" s="60">
        <v>0</v>
      </c>
      <c r="AR46" s="60">
        <v>-20</v>
      </c>
      <c r="AS46" s="60">
        <v>0</v>
      </c>
      <c r="AT46" s="60">
        <v>129</v>
      </c>
      <c r="AU46" s="60">
        <v>0</v>
      </c>
      <c r="AV46" s="60">
        <v>20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330</v>
      </c>
      <c r="B47" t="s">
        <v>228</v>
      </c>
      <c r="C47" t="s">
        <v>331</v>
      </c>
      <c r="D47" t="s">
        <v>332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50"/>
        <v>15.711064285978338</v>
      </c>
      <c r="L47" s="46">
        <f t="shared" si="51"/>
        <v>79.288935714021662</v>
      </c>
      <c r="M47" s="47">
        <f t="shared" si="52"/>
        <v>79.288935714021662</v>
      </c>
      <c r="N47" s="47">
        <f t="shared" si="53"/>
        <v>79.288935714021662</v>
      </c>
      <c r="O47" s="48">
        <f t="shared" si="54"/>
        <v>0</v>
      </c>
      <c r="P47" s="48">
        <f t="shared" si="55"/>
        <v>-32</v>
      </c>
      <c r="Q47" s="58">
        <f t="shared" si="56"/>
        <v>32</v>
      </c>
      <c r="R47" s="59">
        <f t="shared" si="57"/>
        <v>109</v>
      </c>
      <c r="S47" s="60">
        <f t="shared" si="58"/>
        <v>-24</v>
      </c>
      <c r="T47" s="60">
        <f t="shared" si="59"/>
        <v>109</v>
      </c>
      <c r="U47" s="62">
        <f t="shared" si="60"/>
        <v>24</v>
      </c>
      <c r="V47" s="53">
        <f t="shared" si="61"/>
        <v>-15.711064285978338</v>
      </c>
      <c r="W47" s="54">
        <f t="shared" si="62"/>
        <v>-15.711064285978338</v>
      </c>
      <c r="X47" s="54">
        <f t="shared" si="63"/>
        <v>-15.711064285978338</v>
      </c>
      <c r="Y47" s="55">
        <f t="shared" si="64"/>
        <v>0</v>
      </c>
      <c r="Z47" s="55">
        <f t="shared" si="65"/>
        <v>0</v>
      </c>
      <c r="AA47" s="56">
        <f t="shared" si="66"/>
        <v>0</v>
      </c>
      <c r="AB47" s="9"/>
      <c r="AC47" s="57">
        <v>95</v>
      </c>
      <c r="AD47" s="48">
        <v>0</v>
      </c>
      <c r="AE47" s="48">
        <v>95</v>
      </c>
      <c r="AF47" s="48">
        <v>0</v>
      </c>
      <c r="AG47" s="48">
        <v>95</v>
      </c>
      <c r="AH47" s="48">
        <v>0</v>
      </c>
      <c r="AI47" s="48">
        <v>0</v>
      </c>
      <c r="AJ47" s="48">
        <v>0</v>
      </c>
      <c r="AK47" s="48">
        <v>-32</v>
      </c>
      <c r="AL47" s="48">
        <v>0</v>
      </c>
      <c r="AM47" s="48">
        <v>32</v>
      </c>
      <c r="AN47" s="58">
        <v>0</v>
      </c>
      <c r="AO47" s="9"/>
      <c r="AP47" s="59">
        <f>95+14</f>
        <v>109</v>
      </c>
      <c r="AQ47" s="60">
        <v>0</v>
      </c>
      <c r="AR47" s="60">
        <v>-24</v>
      </c>
      <c r="AS47" s="60">
        <v>0</v>
      </c>
      <c r="AT47" s="60">
        <v>109</v>
      </c>
      <c r="AU47" s="60">
        <v>0</v>
      </c>
      <c r="AV47" s="60">
        <v>24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333</v>
      </c>
      <c r="B48" t="s">
        <v>228</v>
      </c>
      <c r="E48" s="44">
        <v>1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50"/>
        <v>15.711064285978338</v>
      </c>
      <c r="L48" s="46">
        <f t="shared" si="51"/>
        <v>94.288935714021662</v>
      </c>
      <c r="M48" s="47">
        <f t="shared" si="52"/>
        <v>94.288935714021662</v>
      </c>
      <c r="N48" s="47">
        <f t="shared" si="53"/>
        <v>94.288935714021662</v>
      </c>
      <c r="O48" s="48">
        <f t="shared" si="54"/>
        <v>0</v>
      </c>
      <c r="P48" s="48">
        <f t="shared" si="55"/>
        <v>-35</v>
      </c>
      <c r="Q48" s="58">
        <f t="shared" si="56"/>
        <v>35</v>
      </c>
      <c r="R48" s="59">
        <f t="shared" si="57"/>
        <v>137</v>
      </c>
      <c r="S48" s="60">
        <f t="shared" si="58"/>
        <v>-26</v>
      </c>
      <c r="T48" s="60">
        <f t="shared" si="59"/>
        <v>137</v>
      </c>
      <c r="U48" s="62">
        <f t="shared" si="60"/>
        <v>26</v>
      </c>
      <c r="V48" s="53">
        <f t="shared" si="61"/>
        <v>-15.711064285978338</v>
      </c>
      <c r="W48" s="54">
        <f t="shared" si="62"/>
        <v>-15.711064285978338</v>
      </c>
      <c r="X48" s="54">
        <f t="shared" si="63"/>
        <v>-15.711064285978338</v>
      </c>
      <c r="Y48" s="55">
        <f t="shared" si="64"/>
        <v>0</v>
      </c>
      <c r="Z48" s="55">
        <f t="shared" si="65"/>
        <v>0</v>
      </c>
      <c r="AA48" s="56">
        <f t="shared" si="66"/>
        <v>0</v>
      </c>
      <c r="AB48" s="9"/>
      <c r="AC48" s="57">
        <v>110</v>
      </c>
      <c r="AD48" s="48">
        <v>0</v>
      </c>
      <c r="AE48" s="48">
        <v>110</v>
      </c>
      <c r="AF48" s="48">
        <v>0</v>
      </c>
      <c r="AG48" s="48">
        <v>110</v>
      </c>
      <c r="AH48" s="48">
        <v>0</v>
      </c>
      <c r="AI48" s="48">
        <v>0</v>
      </c>
      <c r="AJ48" s="48">
        <v>0</v>
      </c>
      <c r="AK48" s="48">
        <v>-35</v>
      </c>
      <c r="AL48" s="48">
        <v>0</v>
      </c>
      <c r="AM48" s="48">
        <v>35</v>
      </c>
      <c r="AN48" s="58">
        <v>0</v>
      </c>
      <c r="AO48" s="9"/>
      <c r="AP48" s="59">
        <f>110+27</f>
        <v>137</v>
      </c>
      <c r="AQ48" s="60">
        <v>0</v>
      </c>
      <c r="AR48" s="60">
        <v>-26</v>
      </c>
      <c r="AS48" s="60">
        <v>0</v>
      </c>
      <c r="AT48" s="60">
        <v>137</v>
      </c>
      <c r="AU48" s="60">
        <v>0</v>
      </c>
      <c r="AV48" s="60">
        <v>26</v>
      </c>
      <c r="AW48" s="62">
        <v>0</v>
      </c>
      <c r="AX48" s="9"/>
      <c r="AY48" s="63"/>
      <c r="AZ48" s="15"/>
      <c r="BA48" s="63"/>
      <c r="BB48" s="15"/>
      <c r="BC48" s="63"/>
      <c r="BD48" s="15"/>
      <c r="BE48" s="15"/>
      <c r="BF48" s="15"/>
      <c r="BG48" s="15"/>
      <c r="BH48" s="15"/>
      <c r="BI48" s="15"/>
      <c r="BJ48" s="15"/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334</v>
      </c>
      <c r="B49" t="s">
        <v>228</v>
      </c>
      <c r="C49" t="s">
        <v>317</v>
      </c>
      <c r="D49" s="68" t="s">
        <v>318</v>
      </c>
      <c r="E49" s="44">
        <v>2</v>
      </c>
      <c r="F49" s="44">
        <v>1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50"/>
        <v>15.711064285978338</v>
      </c>
      <c r="L49" s="46">
        <f t="shared" si="51"/>
        <v>69.288935714021662</v>
      </c>
      <c r="M49" s="47">
        <f t="shared" si="52"/>
        <v>100.28893571402166</v>
      </c>
      <c r="N49" s="47">
        <f t="shared" si="53"/>
        <v>131.28893571402165</v>
      </c>
      <c r="O49" s="48">
        <f t="shared" si="54"/>
        <v>-15</v>
      </c>
      <c r="P49" s="48">
        <f t="shared" si="55"/>
        <v>-25</v>
      </c>
      <c r="Q49" s="58">
        <f t="shared" si="56"/>
        <v>-15</v>
      </c>
      <c r="R49" s="59">
        <f t="shared" si="57"/>
        <v>172</v>
      </c>
      <c r="S49" s="60">
        <f t="shared" si="58"/>
        <v>0</v>
      </c>
      <c r="T49" s="60">
        <f t="shared" si="59"/>
        <v>0</v>
      </c>
      <c r="U49" s="62">
        <f t="shared" si="60"/>
        <v>0</v>
      </c>
      <c r="V49" s="53">
        <f t="shared" si="61"/>
        <v>131.28893571402165</v>
      </c>
      <c r="W49" s="54">
        <f t="shared" si="62"/>
        <v>100.28893571402166</v>
      </c>
      <c r="X49" s="54">
        <f t="shared" si="63"/>
        <v>69.288935714021662</v>
      </c>
      <c r="Y49" s="55">
        <f t="shared" si="64"/>
        <v>15</v>
      </c>
      <c r="Z49" s="55">
        <f t="shared" si="65"/>
        <v>25</v>
      </c>
      <c r="AA49" s="56">
        <f t="shared" si="66"/>
        <v>15</v>
      </c>
      <c r="AB49" s="9"/>
      <c r="AC49" s="57">
        <v>85</v>
      </c>
      <c r="AD49" s="48">
        <v>0</v>
      </c>
      <c r="AE49" s="48">
        <f>85+31</f>
        <v>116</v>
      </c>
      <c r="AF49" s="48">
        <v>0</v>
      </c>
      <c r="AG49" s="48">
        <f>85+31+31</f>
        <v>147</v>
      </c>
      <c r="AH49" s="48">
        <v>0</v>
      </c>
      <c r="AI49" s="48">
        <v>-15</v>
      </c>
      <c r="AJ49" s="48">
        <v>0</v>
      </c>
      <c r="AK49" s="48">
        <v>-25</v>
      </c>
      <c r="AL49" s="48">
        <v>0</v>
      </c>
      <c r="AM49" s="48">
        <v>-15</v>
      </c>
      <c r="AN49" s="58">
        <v>0</v>
      </c>
      <c r="AO49" s="9"/>
      <c r="AP49" s="59">
        <f>85+31+31+25</f>
        <v>172</v>
      </c>
      <c r="AQ49" s="60">
        <v>0</v>
      </c>
      <c r="AR49" s="60">
        <v>0</v>
      </c>
      <c r="AS49" s="60">
        <v>0</v>
      </c>
      <c r="AT49" s="60">
        <v>0</v>
      </c>
      <c r="AU49" s="60">
        <v>0</v>
      </c>
      <c r="AV49" s="60">
        <v>0</v>
      </c>
      <c r="AW49" s="62">
        <v>0</v>
      </c>
      <c r="AX49" s="9"/>
      <c r="AY49" s="61">
        <f>85+31+31</f>
        <v>147</v>
      </c>
      <c r="AZ49" s="55">
        <v>0</v>
      </c>
      <c r="BA49" s="55">
        <f>85+31</f>
        <v>116</v>
      </c>
      <c r="BB49" s="55">
        <v>0</v>
      </c>
      <c r="BC49" s="55">
        <v>85</v>
      </c>
      <c r="BD49" s="55">
        <v>0</v>
      </c>
      <c r="BE49" s="55">
        <v>15</v>
      </c>
      <c r="BF49" s="55">
        <v>0</v>
      </c>
      <c r="BG49" s="55">
        <v>25</v>
      </c>
      <c r="BH49" s="55">
        <v>0</v>
      </c>
      <c r="BI49" s="55">
        <v>15</v>
      </c>
      <c r="BJ49" s="56">
        <v>0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335</v>
      </c>
      <c r="B50" t="s">
        <v>228</v>
      </c>
      <c r="C50" t="s">
        <v>317</v>
      </c>
      <c r="D50" s="68" t="s">
        <v>318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50"/>
        <v>15.711064285978338</v>
      </c>
      <c r="L50" s="46">
        <f t="shared" si="51"/>
        <v>114.28893571402166</v>
      </c>
      <c r="M50" s="47">
        <f t="shared" si="52"/>
        <v>69.288935714021662</v>
      </c>
      <c r="N50" s="47">
        <f t="shared" si="53"/>
        <v>69.288935714021662</v>
      </c>
      <c r="O50" s="47">
        <f t="shared" si="54"/>
        <v>-27.75</v>
      </c>
      <c r="P50" s="47">
        <f t="shared" si="55"/>
        <v>-40.5</v>
      </c>
      <c r="Q50" s="58">
        <f t="shared" si="56"/>
        <v>-15</v>
      </c>
      <c r="R50" s="59">
        <f t="shared" si="57"/>
        <v>150</v>
      </c>
      <c r="S50" s="51">
        <f t="shared" si="58"/>
        <v>-18.5</v>
      </c>
      <c r="T50" s="60">
        <f t="shared" si="59"/>
        <v>150</v>
      </c>
      <c r="U50" s="52">
        <f t="shared" si="60"/>
        <v>18.5</v>
      </c>
      <c r="V50" s="53">
        <f t="shared" si="61"/>
        <v>114.28893571402166</v>
      </c>
      <c r="W50" s="54">
        <f t="shared" si="62"/>
        <v>69.288935714021662</v>
      </c>
      <c r="X50" s="54">
        <f t="shared" si="63"/>
        <v>69.288935714021662</v>
      </c>
      <c r="Y50" s="54">
        <f t="shared" si="64"/>
        <v>27.75</v>
      </c>
      <c r="Z50" s="55">
        <f t="shared" si="65"/>
        <v>15</v>
      </c>
      <c r="AA50" s="64">
        <f t="shared" si="66"/>
        <v>40.5</v>
      </c>
      <c r="AB50" s="9"/>
      <c r="AC50" s="57">
        <f>85+45</f>
        <v>130</v>
      </c>
      <c r="AD50" s="48">
        <v>0</v>
      </c>
      <c r="AE50" s="48">
        <v>85</v>
      </c>
      <c r="AF50" s="48">
        <v>0</v>
      </c>
      <c r="AG50" s="48">
        <v>85</v>
      </c>
      <c r="AH50" s="48">
        <v>0</v>
      </c>
      <c r="AI50" s="48">
        <v>-27</v>
      </c>
      <c r="AJ50" s="48">
        <v>-9</v>
      </c>
      <c r="AK50" s="48">
        <f>-15-25</f>
        <v>-40</v>
      </c>
      <c r="AL50" s="48">
        <v>-6</v>
      </c>
      <c r="AM50" s="48">
        <v>-15</v>
      </c>
      <c r="AN50" s="58">
        <v>0</v>
      </c>
      <c r="AO50" s="9"/>
      <c r="AP50" s="59">
        <f>85+45+20</f>
        <v>150</v>
      </c>
      <c r="AQ50" s="60">
        <v>0</v>
      </c>
      <c r="AR50" s="51">
        <v>-18.5</v>
      </c>
      <c r="AS50" s="60">
        <v>0</v>
      </c>
      <c r="AT50" s="60">
        <v>150</v>
      </c>
      <c r="AU50" s="60">
        <v>0</v>
      </c>
      <c r="AV50" s="51">
        <v>18.5</v>
      </c>
      <c r="AW50" s="62">
        <v>0</v>
      </c>
      <c r="AX50" s="9"/>
      <c r="AY50" s="61">
        <f>85+45</f>
        <v>130</v>
      </c>
      <c r="AZ50" s="55">
        <v>0</v>
      </c>
      <c r="BA50" s="55">
        <v>85</v>
      </c>
      <c r="BB50" s="55">
        <v>0</v>
      </c>
      <c r="BC50" s="55">
        <v>85</v>
      </c>
      <c r="BD50" s="55">
        <v>0</v>
      </c>
      <c r="BE50" s="55">
        <v>27</v>
      </c>
      <c r="BF50" s="55">
        <v>9</v>
      </c>
      <c r="BG50" s="55">
        <v>15</v>
      </c>
      <c r="BH50" s="55">
        <v>0</v>
      </c>
      <c r="BI50" s="55">
        <f>15+25</f>
        <v>40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336</v>
      </c>
      <c r="B51" t="s">
        <v>228</v>
      </c>
      <c r="E51" s="44">
        <v>2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50"/>
        <v>15.711064285978338</v>
      </c>
      <c r="L51" s="46">
        <f t="shared" si="51"/>
        <v>112.28893571402166</v>
      </c>
      <c r="M51" s="47">
        <f t="shared" si="52"/>
        <v>74.288935714021662</v>
      </c>
      <c r="N51" s="47">
        <f t="shared" si="53"/>
        <v>74.288935714021662</v>
      </c>
      <c r="O51" s="47">
        <f t="shared" si="54"/>
        <v>-18.5</v>
      </c>
      <c r="P51" s="47">
        <f t="shared" si="55"/>
        <v>-46.5</v>
      </c>
      <c r="Q51" s="49">
        <f t="shared" si="56"/>
        <v>-18.5</v>
      </c>
      <c r="R51" s="59">
        <f t="shared" si="57"/>
        <v>140</v>
      </c>
      <c r="S51" s="51">
        <f t="shared" si="58"/>
        <v>-12.125</v>
      </c>
      <c r="T51" s="60">
        <f t="shared" si="59"/>
        <v>140</v>
      </c>
      <c r="U51" s="52">
        <f t="shared" si="60"/>
        <v>15.125</v>
      </c>
      <c r="V51" s="53">
        <f t="shared" si="61"/>
        <v>112.28893571402166</v>
      </c>
      <c r="W51" s="54">
        <f t="shared" si="62"/>
        <v>74.288935714021662</v>
      </c>
      <c r="X51" s="54">
        <f t="shared" si="63"/>
        <v>74.288935714021662</v>
      </c>
      <c r="Y51" s="54">
        <f t="shared" si="64"/>
        <v>18.5</v>
      </c>
      <c r="Z51" s="54">
        <f t="shared" si="65"/>
        <v>18.5</v>
      </c>
      <c r="AA51" s="64">
        <f t="shared" si="66"/>
        <v>46.5</v>
      </c>
      <c r="AB51" s="9"/>
      <c r="AC51" s="57">
        <f>90+38</f>
        <v>128</v>
      </c>
      <c r="AD51" s="48">
        <v>0</v>
      </c>
      <c r="AE51" s="48">
        <v>90</v>
      </c>
      <c r="AF51" s="48">
        <v>0</v>
      </c>
      <c r="AG51" s="48">
        <v>90</v>
      </c>
      <c r="AH51" s="48">
        <v>0</v>
      </c>
      <c r="AI51" s="48">
        <v>-18</v>
      </c>
      <c r="AJ51" s="48">
        <v>-6</v>
      </c>
      <c r="AK51" s="48">
        <f>-18-28</f>
        <v>-46</v>
      </c>
      <c r="AL51" s="48">
        <v>-6</v>
      </c>
      <c r="AM51" s="48">
        <v>-18</v>
      </c>
      <c r="AN51" s="58">
        <v>-6</v>
      </c>
      <c r="AO51" s="9"/>
      <c r="AP51" s="59">
        <f>90+38+12</f>
        <v>140</v>
      </c>
      <c r="AQ51" s="60">
        <v>0</v>
      </c>
      <c r="AR51" s="60">
        <v>-12</v>
      </c>
      <c r="AS51" s="51">
        <v>-1.5</v>
      </c>
      <c r="AT51" s="60">
        <v>140</v>
      </c>
      <c r="AU51" s="60">
        <v>0</v>
      </c>
      <c r="AV51" s="60">
        <v>15</v>
      </c>
      <c r="AW51" s="52">
        <v>1.5</v>
      </c>
      <c r="AX51" s="9"/>
      <c r="AY51" s="61">
        <f>90+38</f>
        <v>128</v>
      </c>
      <c r="AZ51" s="55">
        <v>0</v>
      </c>
      <c r="BA51" s="55">
        <v>90</v>
      </c>
      <c r="BB51" s="55">
        <v>0</v>
      </c>
      <c r="BC51" s="55">
        <v>90</v>
      </c>
      <c r="BD51" s="55">
        <v>0</v>
      </c>
      <c r="BE51" s="55">
        <v>18</v>
      </c>
      <c r="BF51" s="55">
        <v>6</v>
      </c>
      <c r="BG51" s="55">
        <v>18</v>
      </c>
      <c r="BH51" s="55">
        <v>6</v>
      </c>
      <c r="BI51" s="55">
        <f>18+28</f>
        <v>46</v>
      </c>
      <c r="BJ51" s="56">
        <v>6</v>
      </c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337</v>
      </c>
      <c r="B52" t="s">
        <v>228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50"/>
        <v>15.711064285978338</v>
      </c>
      <c r="L52" s="46">
        <f t="shared" si="51"/>
        <v>94.288935714021662</v>
      </c>
      <c r="M52" s="47">
        <f t="shared" si="52"/>
        <v>94.288935714021662</v>
      </c>
      <c r="N52" s="47">
        <f t="shared" si="53"/>
        <v>94.288935714021662</v>
      </c>
      <c r="O52" s="48">
        <f t="shared" si="54"/>
        <v>-42</v>
      </c>
      <c r="P52" s="48">
        <f t="shared" si="55"/>
        <v>0</v>
      </c>
      <c r="Q52" s="58">
        <f t="shared" si="56"/>
        <v>42</v>
      </c>
      <c r="R52" s="59">
        <f t="shared" si="57"/>
        <v>128</v>
      </c>
      <c r="S52" s="51">
        <f t="shared" si="58"/>
        <v>-21.833333333333332</v>
      </c>
      <c r="T52" s="60">
        <f t="shared" si="59"/>
        <v>128</v>
      </c>
      <c r="U52" s="52">
        <f t="shared" si="60"/>
        <v>21.833333333333332</v>
      </c>
      <c r="V52" s="53">
        <f t="shared" si="61"/>
        <v>-15.711064285978338</v>
      </c>
      <c r="W52" s="54">
        <f t="shared" si="62"/>
        <v>-15.711064285978338</v>
      </c>
      <c r="X52" s="54">
        <f t="shared" si="63"/>
        <v>-15.711064285978338</v>
      </c>
      <c r="Y52" s="55">
        <f t="shared" si="64"/>
        <v>0</v>
      </c>
      <c r="Z52" s="55">
        <f t="shared" si="65"/>
        <v>0</v>
      </c>
      <c r="AA52" s="56">
        <f t="shared" si="66"/>
        <v>0</v>
      </c>
      <c r="AB52" s="9"/>
      <c r="AC52" s="57">
        <v>110</v>
      </c>
      <c r="AD52" s="48">
        <v>0</v>
      </c>
      <c r="AE52" s="48">
        <v>110</v>
      </c>
      <c r="AF52" s="48">
        <v>0</v>
      </c>
      <c r="AG52" s="48">
        <v>110</v>
      </c>
      <c r="AH52" s="48">
        <v>0</v>
      </c>
      <c r="AI52" s="48">
        <v>-42</v>
      </c>
      <c r="AJ52" s="48">
        <v>0</v>
      </c>
      <c r="AK52" s="48">
        <v>0</v>
      </c>
      <c r="AL52" s="48">
        <v>0</v>
      </c>
      <c r="AM52" s="48">
        <v>42</v>
      </c>
      <c r="AN52" s="58">
        <v>0</v>
      </c>
      <c r="AO52" s="9"/>
      <c r="AP52" s="59">
        <f>110+18</f>
        <v>128</v>
      </c>
      <c r="AQ52" s="60">
        <v>0</v>
      </c>
      <c r="AR52" s="60">
        <v>-21</v>
      </c>
      <c r="AS52" s="60">
        <v>-10</v>
      </c>
      <c r="AT52" s="60">
        <v>128</v>
      </c>
      <c r="AU52" s="60">
        <v>0</v>
      </c>
      <c r="AV52" s="60">
        <v>21</v>
      </c>
      <c r="AW52" s="62">
        <v>10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338</v>
      </c>
      <c r="B53" t="s">
        <v>263</v>
      </c>
      <c r="E53" s="44">
        <v>1</v>
      </c>
      <c r="F53" s="44">
        <v>1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50"/>
        <v>15.711064285978338</v>
      </c>
      <c r="L53" s="46">
        <f t="shared" si="51"/>
        <v>69.288935714021662</v>
      </c>
      <c r="M53" s="47">
        <f t="shared" si="52"/>
        <v>99.288935714021662</v>
      </c>
      <c r="N53" s="47">
        <f t="shared" si="53"/>
        <v>129.28893571402165</v>
      </c>
      <c r="O53" s="48">
        <f t="shared" si="54"/>
        <v>18</v>
      </c>
      <c r="P53" s="48">
        <f t="shared" si="55"/>
        <v>21</v>
      </c>
      <c r="Q53" s="58">
        <f t="shared" si="56"/>
        <v>18</v>
      </c>
      <c r="R53" s="59">
        <f t="shared" si="57"/>
        <v>160</v>
      </c>
      <c r="S53" s="60">
        <f t="shared" si="58"/>
        <v>4</v>
      </c>
      <c r="T53" s="60">
        <f t="shared" si="59"/>
        <v>0</v>
      </c>
      <c r="U53" s="62">
        <f t="shared" si="60"/>
        <v>0</v>
      </c>
      <c r="V53" s="53">
        <f t="shared" si="61"/>
        <v>-15.711064285978338</v>
      </c>
      <c r="W53" s="54">
        <f t="shared" si="62"/>
        <v>-15.711064285978338</v>
      </c>
      <c r="X53" s="54">
        <f t="shared" si="63"/>
        <v>-15.711064285978338</v>
      </c>
      <c r="Y53" s="55">
        <f t="shared" si="64"/>
        <v>0</v>
      </c>
      <c r="Z53" s="55">
        <f t="shared" si="65"/>
        <v>0</v>
      </c>
      <c r="AA53" s="56">
        <f t="shared" si="66"/>
        <v>0</v>
      </c>
      <c r="AB53" s="9"/>
      <c r="AC53" s="57">
        <v>85</v>
      </c>
      <c r="AD53" s="48">
        <v>0</v>
      </c>
      <c r="AE53" s="48">
        <f>85+30</f>
        <v>115</v>
      </c>
      <c r="AF53" s="48">
        <v>0</v>
      </c>
      <c r="AG53" s="48">
        <f>85+30+30</f>
        <v>145</v>
      </c>
      <c r="AH53" s="48">
        <v>0</v>
      </c>
      <c r="AI53" s="48">
        <v>18</v>
      </c>
      <c r="AJ53" s="48">
        <v>0</v>
      </c>
      <c r="AK53" s="48">
        <v>21</v>
      </c>
      <c r="AL53" s="48">
        <v>0</v>
      </c>
      <c r="AM53" s="48">
        <v>18</v>
      </c>
      <c r="AN53" s="58">
        <v>0</v>
      </c>
      <c r="AO53" s="9"/>
      <c r="AP53" s="59">
        <f>85+30+30+15</f>
        <v>160</v>
      </c>
      <c r="AQ53" s="60">
        <v>0</v>
      </c>
      <c r="AR53" s="60">
        <v>4</v>
      </c>
      <c r="AS53" s="60">
        <v>0</v>
      </c>
      <c r="AT53" s="60">
        <v>0</v>
      </c>
      <c r="AU53" s="60">
        <v>0</v>
      </c>
      <c r="AV53" s="60">
        <v>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339</v>
      </c>
      <c r="B54" t="s">
        <v>263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50"/>
        <v>15.711064285978338</v>
      </c>
      <c r="L54" s="46">
        <f t="shared" si="51"/>
        <v>60.705602380688333</v>
      </c>
      <c r="M54" s="47">
        <f t="shared" si="52"/>
        <v>73.288935714021662</v>
      </c>
      <c r="N54" s="47">
        <f t="shared" si="53"/>
        <v>85.705602380688333</v>
      </c>
      <c r="O54" s="48">
        <f t="shared" si="54"/>
        <v>18</v>
      </c>
      <c r="P54" s="48">
        <f t="shared" si="55"/>
        <v>-17</v>
      </c>
      <c r="Q54" s="58">
        <f t="shared" si="56"/>
        <v>18</v>
      </c>
      <c r="R54" s="59">
        <f t="shared" si="57"/>
        <v>120</v>
      </c>
      <c r="S54" s="60">
        <f t="shared" si="58"/>
        <v>-10</v>
      </c>
      <c r="T54" s="60">
        <f t="shared" si="59"/>
        <v>120</v>
      </c>
      <c r="U54" s="62">
        <f t="shared" si="60"/>
        <v>10</v>
      </c>
      <c r="V54" s="53">
        <f t="shared" si="61"/>
        <v>-15.711064285978338</v>
      </c>
      <c r="W54" s="54">
        <f t="shared" si="62"/>
        <v>-15.711064285978338</v>
      </c>
      <c r="X54" s="54">
        <f t="shared" si="63"/>
        <v>-15.711064285978338</v>
      </c>
      <c r="Y54" s="55">
        <f t="shared" si="64"/>
        <v>0</v>
      </c>
      <c r="Z54" s="55">
        <f t="shared" si="65"/>
        <v>0</v>
      </c>
      <c r="AA54" s="56">
        <f t="shared" si="66"/>
        <v>0</v>
      </c>
      <c r="AB54" s="9"/>
      <c r="AC54" s="57">
        <f>120-18-25</f>
        <v>77</v>
      </c>
      <c r="AD54" s="48">
        <v>-7</v>
      </c>
      <c r="AE54" s="48">
        <f>120-18-12</f>
        <v>90</v>
      </c>
      <c r="AF54" s="48">
        <f>-7-5</f>
        <v>-12</v>
      </c>
      <c r="AG54" s="48">
        <f>120-18</f>
        <v>102</v>
      </c>
      <c r="AH54" s="48">
        <v>-7</v>
      </c>
      <c r="AI54" s="48">
        <v>18</v>
      </c>
      <c r="AJ54" s="48">
        <v>0</v>
      </c>
      <c r="AK54" s="48">
        <v>-17</v>
      </c>
      <c r="AL54" s="48">
        <v>0</v>
      </c>
      <c r="AM54" s="48">
        <v>18</v>
      </c>
      <c r="AN54" s="58">
        <v>0</v>
      </c>
      <c r="AO54" s="9"/>
      <c r="AP54" s="59">
        <v>120</v>
      </c>
      <c r="AQ54" s="60">
        <v>0</v>
      </c>
      <c r="AR54" s="60">
        <v>-10</v>
      </c>
      <c r="AS54" s="60">
        <v>0</v>
      </c>
      <c r="AT54" s="60">
        <v>120</v>
      </c>
      <c r="AU54" s="60">
        <v>0</v>
      </c>
      <c r="AV54" s="60">
        <v>10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340</v>
      </c>
      <c r="B55" t="s">
        <v>281</v>
      </c>
      <c r="C55" t="s">
        <v>341</v>
      </c>
      <c r="D55" t="s">
        <v>342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50"/>
        <v>15.711064285978338</v>
      </c>
      <c r="L55" s="46">
        <f t="shared" si="51"/>
        <v>104.28893571402166</v>
      </c>
      <c r="M55" s="47">
        <f t="shared" si="52"/>
        <v>104.28893571402166</v>
      </c>
      <c r="N55" s="47">
        <f t="shared" si="53"/>
        <v>104.28893571402166</v>
      </c>
      <c r="O55" s="48">
        <f t="shared" si="54"/>
        <v>-35</v>
      </c>
      <c r="P55" s="48">
        <f t="shared" si="55"/>
        <v>0</v>
      </c>
      <c r="Q55" s="58">
        <f t="shared" si="56"/>
        <v>35</v>
      </c>
      <c r="R55" s="59">
        <f t="shared" si="57"/>
        <v>129</v>
      </c>
      <c r="S55" s="60">
        <f t="shared" si="58"/>
        <v>-26</v>
      </c>
      <c r="T55" s="60">
        <f t="shared" si="59"/>
        <v>129</v>
      </c>
      <c r="U55" s="62">
        <f t="shared" si="60"/>
        <v>26</v>
      </c>
      <c r="V55" s="53">
        <f t="shared" si="61"/>
        <v>-15.711064285978338</v>
      </c>
      <c r="W55" s="54">
        <f t="shared" si="62"/>
        <v>-15.711064285978338</v>
      </c>
      <c r="X55" s="54">
        <f t="shared" si="63"/>
        <v>-15.711064285978338</v>
      </c>
      <c r="Y55" s="55">
        <f t="shared" si="64"/>
        <v>0</v>
      </c>
      <c r="Z55" s="55">
        <f t="shared" si="65"/>
        <v>0</v>
      </c>
      <c r="AA55" s="56">
        <f t="shared" si="66"/>
        <v>0</v>
      </c>
      <c r="AB55" s="9"/>
      <c r="AC55" s="57">
        <v>120</v>
      </c>
      <c r="AD55" s="48">
        <v>0</v>
      </c>
      <c r="AE55" s="48">
        <v>120</v>
      </c>
      <c r="AF55" s="48">
        <v>0</v>
      </c>
      <c r="AG55" s="48">
        <v>120</v>
      </c>
      <c r="AH55" s="48">
        <v>0</v>
      </c>
      <c r="AI55" s="48">
        <v>-35</v>
      </c>
      <c r="AJ55" s="48">
        <v>0</v>
      </c>
      <c r="AK55" s="48">
        <v>0</v>
      </c>
      <c r="AL55" s="48">
        <v>0</v>
      </c>
      <c r="AM55" s="48">
        <v>35</v>
      </c>
      <c r="AN55" s="58">
        <v>0</v>
      </c>
      <c r="AO55" s="9"/>
      <c r="AP55" s="59">
        <f>120+9</f>
        <v>129</v>
      </c>
      <c r="AQ55" s="60">
        <v>0</v>
      </c>
      <c r="AR55" s="60">
        <v>-26</v>
      </c>
      <c r="AS55" s="60">
        <v>0</v>
      </c>
      <c r="AT55" s="60">
        <f>120+9</f>
        <v>129</v>
      </c>
      <c r="AU55" s="60">
        <v>0</v>
      </c>
      <c r="AV55" s="60">
        <v>26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343</v>
      </c>
      <c r="B56" t="s">
        <v>281</v>
      </c>
      <c r="E56" s="44">
        <v>2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50"/>
        <v>15.711064285978338</v>
      </c>
      <c r="L56" s="46">
        <f t="shared" si="51"/>
        <v>123.00000000000001</v>
      </c>
      <c r="M56" s="48">
        <f t="shared" si="52"/>
        <v>87</v>
      </c>
      <c r="N56" s="48">
        <f t="shared" si="53"/>
        <v>87</v>
      </c>
      <c r="O56" s="48">
        <f t="shared" si="54"/>
        <v>-30</v>
      </c>
      <c r="P56" s="48">
        <f t="shared" si="55"/>
        <v>-45</v>
      </c>
      <c r="Q56" s="58">
        <f t="shared" si="56"/>
        <v>-15</v>
      </c>
      <c r="R56" s="59">
        <f t="shared" si="57"/>
        <v>149</v>
      </c>
      <c r="S56" s="60">
        <f t="shared" si="58"/>
        <v>-32</v>
      </c>
      <c r="T56" s="60">
        <f t="shared" si="59"/>
        <v>149</v>
      </c>
      <c r="U56" s="62">
        <f t="shared" si="60"/>
        <v>32</v>
      </c>
      <c r="V56" s="53">
        <f t="shared" si="61"/>
        <v>123.00000000000001</v>
      </c>
      <c r="W56" s="55">
        <f t="shared" si="62"/>
        <v>87</v>
      </c>
      <c r="X56" s="55">
        <f t="shared" si="63"/>
        <v>87</v>
      </c>
      <c r="Y56" s="55">
        <f t="shared" si="64"/>
        <v>15</v>
      </c>
      <c r="Z56" s="55">
        <f t="shared" si="65"/>
        <v>45</v>
      </c>
      <c r="AA56" s="56">
        <f t="shared" si="66"/>
        <v>15</v>
      </c>
      <c r="AB56" s="9"/>
      <c r="AC56" s="46">
        <f>100+23+K56</f>
        <v>138.71106428597835</v>
      </c>
      <c r="AD56" s="48">
        <v>0</v>
      </c>
      <c r="AE56" s="47">
        <f>100-13+K56</f>
        <v>102.71106428597834</v>
      </c>
      <c r="AF56" s="48">
        <v>0</v>
      </c>
      <c r="AG56" s="47">
        <f>100-13+K56</f>
        <v>102.71106428597834</v>
      </c>
      <c r="AH56" s="48">
        <v>0</v>
      </c>
      <c r="AI56" s="48">
        <v>-30</v>
      </c>
      <c r="AJ56" s="48">
        <v>0</v>
      </c>
      <c r="AK56" s="48">
        <f>-30-15</f>
        <v>-45</v>
      </c>
      <c r="AL56" s="48">
        <v>0</v>
      </c>
      <c r="AM56" s="48">
        <v>-15</v>
      </c>
      <c r="AN56" s="58">
        <v>0</v>
      </c>
      <c r="AO56" s="9"/>
      <c r="AP56" s="59">
        <f>100+23+13+13</f>
        <v>149</v>
      </c>
      <c r="AQ56" s="60">
        <v>0</v>
      </c>
      <c r="AR56" s="60">
        <v>-32</v>
      </c>
      <c r="AS56" s="60">
        <v>0</v>
      </c>
      <c r="AT56" s="60">
        <f>100+23+13+13</f>
        <v>149</v>
      </c>
      <c r="AU56" s="60">
        <v>0</v>
      </c>
      <c r="AV56" s="60">
        <v>32</v>
      </c>
      <c r="AW56" s="62">
        <v>0</v>
      </c>
      <c r="AX56" s="9"/>
      <c r="AY56" s="53">
        <f>100+23+K56</f>
        <v>138.71106428597835</v>
      </c>
      <c r="AZ56" s="55">
        <v>0</v>
      </c>
      <c r="BA56" s="54">
        <f>100-13+K56</f>
        <v>102.71106428597834</v>
      </c>
      <c r="BB56" s="55">
        <v>0</v>
      </c>
      <c r="BC56" s="54">
        <f>100-13+K56</f>
        <v>102.71106428597834</v>
      </c>
      <c r="BD56" s="55">
        <v>0</v>
      </c>
      <c r="BE56" s="55">
        <v>15</v>
      </c>
      <c r="BF56" s="55">
        <v>0</v>
      </c>
      <c r="BG56" s="55">
        <v>45</v>
      </c>
      <c r="BH56" s="55">
        <v>0</v>
      </c>
      <c r="BI56" s="55">
        <v>15</v>
      </c>
      <c r="BJ56" s="56">
        <v>0</v>
      </c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344</v>
      </c>
      <c r="B57" t="s">
        <v>308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50"/>
        <v>15.711064285978338</v>
      </c>
      <c r="L57" s="46">
        <f t="shared" si="51"/>
        <v>106.25</v>
      </c>
      <c r="M57" s="47">
        <f t="shared" si="52"/>
        <v>139.25</v>
      </c>
      <c r="N57" s="47">
        <f t="shared" si="53"/>
        <v>106.25</v>
      </c>
      <c r="O57" s="47">
        <f t="shared" si="54"/>
        <v>-21.5</v>
      </c>
      <c r="P57" s="48">
        <f t="shared" si="55"/>
        <v>0</v>
      </c>
      <c r="Q57" s="49">
        <f t="shared" si="56"/>
        <v>21.5</v>
      </c>
      <c r="R57" s="59">
        <f t="shared" si="57"/>
        <v>153</v>
      </c>
      <c r="S57" s="51">
        <f t="shared" si="58"/>
        <v>-13.75</v>
      </c>
      <c r="T57" s="60">
        <f t="shared" si="59"/>
        <v>153</v>
      </c>
      <c r="U57" s="52">
        <f t="shared" si="60"/>
        <v>13.75</v>
      </c>
      <c r="V57" s="53">
        <f t="shared" si="61"/>
        <v>-15.711064285978338</v>
      </c>
      <c r="W57" s="54">
        <f t="shared" si="62"/>
        <v>-15.711064285978338</v>
      </c>
      <c r="X57" s="54">
        <f t="shared" si="63"/>
        <v>-15.711064285978338</v>
      </c>
      <c r="Y57" s="55">
        <f t="shared" si="64"/>
        <v>0</v>
      </c>
      <c r="Z57" s="55">
        <f t="shared" si="65"/>
        <v>0</v>
      </c>
      <c r="AA57" s="56">
        <f t="shared" si="66"/>
        <v>0</v>
      </c>
      <c r="AB57" s="9"/>
      <c r="AC57" s="46">
        <f>120-13+K57</f>
        <v>122.71106428597834</v>
      </c>
      <c r="AD57" s="48">
        <v>-9</v>
      </c>
      <c r="AE57" s="47">
        <f>120+33-13+K57</f>
        <v>155.71106428597835</v>
      </c>
      <c r="AF57" s="48">
        <v>-9</v>
      </c>
      <c r="AG57" s="47">
        <f>120-13+K57</f>
        <v>122.71106428597834</v>
      </c>
      <c r="AH57" s="48">
        <v>-9</v>
      </c>
      <c r="AI57" s="48">
        <v>-21</v>
      </c>
      <c r="AJ57" s="48">
        <v>-6</v>
      </c>
      <c r="AK57" s="48">
        <v>0</v>
      </c>
      <c r="AL57" s="48">
        <v>0</v>
      </c>
      <c r="AM57" s="48">
        <v>21</v>
      </c>
      <c r="AN57" s="58">
        <v>6</v>
      </c>
      <c r="AO57" s="9"/>
      <c r="AP57" s="59">
        <f>120+33</f>
        <v>153</v>
      </c>
      <c r="AQ57" s="60">
        <v>0</v>
      </c>
      <c r="AR57" s="60">
        <v>-13</v>
      </c>
      <c r="AS57" s="60">
        <v>-9</v>
      </c>
      <c r="AT57" s="60">
        <f>120+33</f>
        <v>153</v>
      </c>
      <c r="AU57" s="60">
        <v>0</v>
      </c>
      <c r="AV57" s="60">
        <v>13</v>
      </c>
      <c r="AW57" s="62">
        <v>9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345</v>
      </c>
      <c r="B58" t="s">
        <v>308</v>
      </c>
      <c r="C58" t="s">
        <v>346</v>
      </c>
      <c r="D58" t="s">
        <v>21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50"/>
        <v>15.711064285978338</v>
      </c>
      <c r="L58" s="46">
        <f t="shared" si="51"/>
        <v>118.50000000000001</v>
      </c>
      <c r="M58" s="48">
        <f t="shared" si="52"/>
        <v>88</v>
      </c>
      <c r="N58" s="48">
        <f t="shared" si="53"/>
        <v>88</v>
      </c>
      <c r="O58" s="48">
        <f t="shared" si="54"/>
        <v>0</v>
      </c>
      <c r="P58" s="47">
        <f t="shared" si="55"/>
        <v>-21.5</v>
      </c>
      <c r="Q58" s="49">
        <f t="shared" si="56"/>
        <v>21.5</v>
      </c>
      <c r="R58" s="50">
        <f t="shared" si="57"/>
        <v>131.5</v>
      </c>
      <c r="S58" s="60">
        <f t="shared" si="58"/>
        <v>-20</v>
      </c>
      <c r="T58" s="51">
        <f t="shared" si="59"/>
        <v>131.5</v>
      </c>
      <c r="U58" s="62">
        <f t="shared" si="60"/>
        <v>20</v>
      </c>
      <c r="V58" s="53">
        <f t="shared" si="61"/>
        <v>-15.711064285978338</v>
      </c>
      <c r="W58" s="54">
        <f t="shared" si="62"/>
        <v>-15.711064285978338</v>
      </c>
      <c r="X58" s="54">
        <f t="shared" si="63"/>
        <v>-15.711064285978338</v>
      </c>
      <c r="Y58" s="55">
        <f t="shared" si="64"/>
        <v>0</v>
      </c>
      <c r="Z58" s="55">
        <f t="shared" si="65"/>
        <v>0</v>
      </c>
      <c r="AA58" s="56">
        <f t="shared" si="66"/>
        <v>0</v>
      </c>
      <c r="AB58" s="9"/>
      <c r="AC58" s="46">
        <f>77+11+30+K58</f>
        <v>133.71106428597835</v>
      </c>
      <c r="AD58" s="48">
        <v>6</v>
      </c>
      <c r="AE58" s="47">
        <f>77+11+K58</f>
        <v>103.71106428597834</v>
      </c>
      <c r="AF58" s="48">
        <v>0</v>
      </c>
      <c r="AG58" s="47">
        <f>77+11+K58</f>
        <v>103.71106428597834</v>
      </c>
      <c r="AH58" s="48">
        <v>0</v>
      </c>
      <c r="AI58" s="48">
        <v>0</v>
      </c>
      <c r="AJ58" s="48">
        <v>0</v>
      </c>
      <c r="AK58" s="48">
        <v>-21</v>
      </c>
      <c r="AL58" s="48">
        <v>-6</v>
      </c>
      <c r="AM58" s="48">
        <v>21</v>
      </c>
      <c r="AN58" s="58">
        <v>6</v>
      </c>
      <c r="AO58" s="9"/>
      <c r="AP58" s="59">
        <f>77+11+30+13</f>
        <v>131</v>
      </c>
      <c r="AQ58" s="60">
        <v>6</v>
      </c>
      <c r="AR58" s="60">
        <v>-20</v>
      </c>
      <c r="AS58" s="60">
        <v>0</v>
      </c>
      <c r="AT58" s="60">
        <f>77+11+30+13</f>
        <v>131</v>
      </c>
      <c r="AU58" s="60">
        <v>6</v>
      </c>
      <c r="AV58" s="60">
        <v>20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347</v>
      </c>
      <c r="B59" t="s">
        <v>308</v>
      </c>
      <c r="C59" t="s">
        <v>348</v>
      </c>
      <c r="D59" t="s">
        <v>12</v>
      </c>
      <c r="E59" s="44">
        <v>1</v>
      </c>
      <c r="F59" s="44">
        <v>2</v>
      </c>
      <c r="G59" s="45">
        <v>500</v>
      </c>
      <c r="H59" s="44">
        <v>20</v>
      </c>
      <c r="I59" s="44">
        <v>355</v>
      </c>
      <c r="J59" s="44">
        <v>170</v>
      </c>
      <c r="K59" s="43">
        <f t="shared" si="50"/>
        <v>15.711064285978338</v>
      </c>
      <c r="L59" s="46">
        <f t="shared" si="51"/>
        <v>151.25</v>
      </c>
      <c r="M59" s="47">
        <f t="shared" si="52"/>
        <v>126.00000000000001</v>
      </c>
      <c r="N59" s="47">
        <f t="shared" si="53"/>
        <v>126.00000000000001</v>
      </c>
      <c r="O59" s="48">
        <f t="shared" si="54"/>
        <v>0</v>
      </c>
      <c r="P59" s="48">
        <f t="shared" si="55"/>
        <v>-21</v>
      </c>
      <c r="Q59" s="58">
        <f t="shared" si="56"/>
        <v>21</v>
      </c>
      <c r="R59" s="50">
        <f t="shared" si="57"/>
        <v>165.25</v>
      </c>
      <c r="S59" s="51">
        <f t="shared" si="58"/>
        <v>-17.5</v>
      </c>
      <c r="T59" s="51">
        <f t="shared" si="59"/>
        <v>165.25</v>
      </c>
      <c r="U59" s="52">
        <f t="shared" si="60"/>
        <v>17.5</v>
      </c>
      <c r="V59" s="53">
        <f t="shared" si="61"/>
        <v>-15.711064285978338</v>
      </c>
      <c r="W59" s="54">
        <f t="shared" si="62"/>
        <v>-15.711064285978338</v>
      </c>
      <c r="X59" s="54">
        <f t="shared" si="63"/>
        <v>-15.711064285978338</v>
      </c>
      <c r="Y59" s="55">
        <f t="shared" si="64"/>
        <v>0</v>
      </c>
      <c r="Z59" s="55">
        <f t="shared" si="65"/>
        <v>0</v>
      </c>
      <c r="AA59" s="56">
        <f t="shared" si="66"/>
        <v>0</v>
      </c>
      <c r="AB59" s="9"/>
      <c r="AC59" s="46">
        <f>15+80+31+14+7+18-14+K59</f>
        <v>166.71106428597835</v>
      </c>
      <c r="AD59" s="48">
        <v>3</v>
      </c>
      <c r="AE59" s="47">
        <f>15+80+31+K59</f>
        <v>141.71106428597835</v>
      </c>
      <c r="AF59" s="48">
        <v>0</v>
      </c>
      <c r="AG59" s="47">
        <f>15+80+31+K59</f>
        <v>141.71106428597835</v>
      </c>
      <c r="AH59" s="48">
        <v>0</v>
      </c>
      <c r="AI59" s="48">
        <v>0</v>
      </c>
      <c r="AJ59" s="48">
        <v>0</v>
      </c>
      <c r="AK59" s="48">
        <v>-21</v>
      </c>
      <c r="AL59" s="48">
        <v>0</v>
      </c>
      <c r="AM59" s="48">
        <v>21</v>
      </c>
      <c r="AN59" s="58">
        <v>0</v>
      </c>
      <c r="AO59" s="9"/>
      <c r="AP59" s="59">
        <f>15+80+31+14+7+18</f>
        <v>165</v>
      </c>
      <c r="AQ59" s="60">
        <v>3</v>
      </c>
      <c r="AR59" s="60">
        <v>-17</v>
      </c>
      <c r="AS59" s="60">
        <v>-6</v>
      </c>
      <c r="AT59" s="60">
        <f>15+80+31+14+7+18</f>
        <v>165</v>
      </c>
      <c r="AU59" s="60">
        <v>3</v>
      </c>
      <c r="AV59" s="60">
        <v>17</v>
      </c>
      <c r="AW59" s="62">
        <v>6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349</v>
      </c>
      <c r="B60" t="s">
        <v>228</v>
      </c>
      <c r="C60" t="s">
        <v>259</v>
      </c>
      <c r="D60" t="s">
        <v>671</v>
      </c>
      <c r="E60" s="44">
        <v>1</v>
      </c>
      <c r="F60" s="44">
        <v>2</v>
      </c>
      <c r="G60" s="45">
        <v>765</v>
      </c>
      <c r="H60" s="44">
        <v>20</v>
      </c>
      <c r="I60" s="44">
        <v>355</v>
      </c>
      <c r="J60" s="44">
        <v>170</v>
      </c>
      <c r="K60" s="43">
        <f t="shared" si="50"/>
        <v>24.037928357546857</v>
      </c>
      <c r="L60" s="57">
        <f t="shared" si="51"/>
        <v>92</v>
      </c>
      <c r="M60" s="48">
        <f t="shared" si="52"/>
        <v>92</v>
      </c>
      <c r="N60" s="48">
        <f t="shared" si="53"/>
        <v>92</v>
      </c>
      <c r="O60" s="47">
        <f t="shared" si="54"/>
        <v>-44.5</v>
      </c>
      <c r="P60" s="48">
        <f t="shared" si="55"/>
        <v>0</v>
      </c>
      <c r="Q60" s="49">
        <f t="shared" si="56"/>
        <v>44.5</v>
      </c>
      <c r="R60" s="59">
        <f t="shared" si="57"/>
        <v>127</v>
      </c>
      <c r="S60" s="60">
        <f t="shared" si="58"/>
        <v>-36</v>
      </c>
      <c r="T60" s="60">
        <f t="shared" si="59"/>
        <v>127</v>
      </c>
      <c r="U60" s="62">
        <f t="shared" si="60"/>
        <v>36</v>
      </c>
      <c r="V60" s="53">
        <f t="shared" si="61"/>
        <v>-24.037928357546857</v>
      </c>
      <c r="W60" s="54">
        <f t="shared" si="62"/>
        <v>-24.037928357546857</v>
      </c>
      <c r="X60" s="54">
        <f t="shared" si="63"/>
        <v>-24.037928357546857</v>
      </c>
      <c r="Y60" s="55">
        <f t="shared" si="64"/>
        <v>0</v>
      </c>
      <c r="Z60" s="55">
        <f t="shared" si="65"/>
        <v>0</v>
      </c>
      <c r="AA60" s="56">
        <f t="shared" si="66"/>
        <v>0</v>
      </c>
      <c r="AB60" s="9"/>
      <c r="AC60" s="46">
        <f>110-18+K60</f>
        <v>116.03792835754686</v>
      </c>
      <c r="AD60" s="48">
        <v>0</v>
      </c>
      <c r="AE60" s="47">
        <f>110-18+K60</f>
        <v>116.03792835754686</v>
      </c>
      <c r="AF60" s="48">
        <v>0</v>
      </c>
      <c r="AG60" s="47">
        <f>110-18+K60</f>
        <v>116.03792835754686</v>
      </c>
      <c r="AH60" s="48">
        <v>0</v>
      </c>
      <c r="AI60" s="48">
        <v>-44</v>
      </c>
      <c r="AJ60" s="48">
        <v>-6</v>
      </c>
      <c r="AK60" s="48">
        <v>0</v>
      </c>
      <c r="AL60" s="48">
        <v>0</v>
      </c>
      <c r="AM60" s="48">
        <v>44</v>
      </c>
      <c r="AN60" s="58">
        <v>6</v>
      </c>
      <c r="AO60" s="9"/>
      <c r="AP60" s="59">
        <f>110+17</f>
        <v>127</v>
      </c>
      <c r="AQ60" s="60">
        <v>0</v>
      </c>
      <c r="AR60" s="60">
        <v>-36</v>
      </c>
      <c r="AS60" s="60">
        <v>0</v>
      </c>
      <c r="AT60" s="60">
        <v>127</v>
      </c>
      <c r="AU60" s="60">
        <v>0</v>
      </c>
      <c r="AV60" s="60">
        <v>36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350</v>
      </c>
      <c r="B61" t="s">
        <v>228</v>
      </c>
      <c r="E61" s="44">
        <v>1</v>
      </c>
      <c r="F61" s="44">
        <v>2</v>
      </c>
      <c r="G61" s="45">
        <v>765</v>
      </c>
      <c r="H61" s="44">
        <v>20</v>
      </c>
      <c r="I61" s="44">
        <v>355</v>
      </c>
      <c r="J61" s="44">
        <v>170</v>
      </c>
      <c r="K61" s="43">
        <f t="shared" si="50"/>
        <v>24.037928357546857</v>
      </c>
      <c r="L61" s="46">
        <f t="shared" si="51"/>
        <v>85.962071642453139</v>
      </c>
      <c r="M61" s="47">
        <f t="shared" si="52"/>
        <v>85.962071642453139</v>
      </c>
      <c r="N61" s="47">
        <f t="shared" si="53"/>
        <v>85.962071642453139</v>
      </c>
      <c r="O61" s="48">
        <f t="shared" si="54"/>
        <v>-45</v>
      </c>
      <c r="P61" s="48">
        <f t="shared" si="55"/>
        <v>0</v>
      </c>
      <c r="Q61" s="58">
        <f t="shared" si="56"/>
        <v>45</v>
      </c>
      <c r="R61" s="50">
        <f t="shared" si="57"/>
        <v>138.66666666666666</v>
      </c>
      <c r="S61" s="60">
        <f t="shared" si="58"/>
        <v>-50</v>
      </c>
      <c r="T61" s="51">
        <f t="shared" si="59"/>
        <v>138.66666666666666</v>
      </c>
      <c r="U61" s="62">
        <f t="shared" si="60"/>
        <v>50</v>
      </c>
      <c r="V61" s="53">
        <f t="shared" si="61"/>
        <v>-24.037928357546857</v>
      </c>
      <c r="W61" s="54">
        <f t="shared" si="62"/>
        <v>-24.037928357546857</v>
      </c>
      <c r="X61" s="54">
        <f t="shared" si="63"/>
        <v>-24.037928357546857</v>
      </c>
      <c r="Y61" s="55">
        <f t="shared" si="64"/>
        <v>0</v>
      </c>
      <c r="Z61" s="55">
        <f t="shared" si="65"/>
        <v>0</v>
      </c>
      <c r="AA61" s="56">
        <f t="shared" si="66"/>
        <v>0</v>
      </c>
      <c r="AB61" s="9"/>
      <c r="AC61" s="57">
        <v>110</v>
      </c>
      <c r="AD61" s="48">
        <v>0</v>
      </c>
      <c r="AE61" s="48">
        <v>110</v>
      </c>
      <c r="AF61" s="48">
        <v>0</v>
      </c>
      <c r="AG61" s="48">
        <v>110</v>
      </c>
      <c r="AH61" s="48">
        <v>0</v>
      </c>
      <c r="AI61" s="48">
        <v>-45</v>
      </c>
      <c r="AJ61" s="48">
        <v>0</v>
      </c>
      <c r="AK61" s="48">
        <v>0</v>
      </c>
      <c r="AL61" s="48">
        <v>0</v>
      </c>
      <c r="AM61" s="48">
        <v>45</v>
      </c>
      <c r="AN61" s="58">
        <v>0</v>
      </c>
      <c r="AO61" s="9"/>
      <c r="AP61" s="59">
        <f>110+28</f>
        <v>138</v>
      </c>
      <c r="AQ61" s="60">
        <v>8</v>
      </c>
      <c r="AR61" s="60">
        <v>-50</v>
      </c>
      <c r="AS61" s="60">
        <v>0</v>
      </c>
      <c r="AT61" s="60">
        <v>138</v>
      </c>
      <c r="AU61" s="60">
        <v>8</v>
      </c>
      <c r="AV61" s="60">
        <v>50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351</v>
      </c>
      <c r="B62" t="s">
        <v>228</v>
      </c>
      <c r="E62" s="44">
        <v>1</v>
      </c>
      <c r="F62" s="44">
        <v>2</v>
      </c>
      <c r="G62" s="45">
        <v>765</v>
      </c>
      <c r="H62" s="44">
        <v>20</v>
      </c>
      <c r="I62" s="44">
        <v>355</v>
      </c>
      <c r="J62" s="44">
        <v>170</v>
      </c>
      <c r="K62" s="43">
        <f t="shared" si="50"/>
        <v>24.037928357546857</v>
      </c>
      <c r="L62" s="57">
        <f t="shared" si="51"/>
        <v>135</v>
      </c>
      <c r="M62" s="48">
        <f t="shared" si="52"/>
        <v>135</v>
      </c>
      <c r="N62" s="48">
        <f t="shared" si="53"/>
        <v>135</v>
      </c>
      <c r="O62" s="47">
        <f t="shared" si="54"/>
        <v>-41.833333333333336</v>
      </c>
      <c r="P62" s="48">
        <f t="shared" si="55"/>
        <v>0</v>
      </c>
      <c r="Q62" s="49">
        <f t="shared" si="56"/>
        <v>41.833333333333336</v>
      </c>
      <c r="R62" s="59">
        <f t="shared" si="57"/>
        <v>175</v>
      </c>
      <c r="S62" s="60">
        <f t="shared" si="58"/>
        <v>-30</v>
      </c>
      <c r="T62" s="60">
        <f t="shared" si="59"/>
        <v>175</v>
      </c>
      <c r="U62" s="62">
        <f t="shared" si="60"/>
        <v>30</v>
      </c>
      <c r="V62" s="53">
        <f t="shared" si="61"/>
        <v>-24.037928357546857</v>
      </c>
      <c r="W62" s="54">
        <f t="shared" si="62"/>
        <v>-24.037928357546857</v>
      </c>
      <c r="X62" s="54">
        <f t="shared" si="63"/>
        <v>-24.037928357546857</v>
      </c>
      <c r="Y62" s="55">
        <f t="shared" si="64"/>
        <v>0</v>
      </c>
      <c r="Z62" s="55">
        <f t="shared" si="65"/>
        <v>0</v>
      </c>
      <c r="AA62" s="56">
        <f t="shared" si="66"/>
        <v>0</v>
      </c>
      <c r="AB62" s="9"/>
      <c r="AC62" s="46">
        <f>135+K62</f>
        <v>159.03792835754686</v>
      </c>
      <c r="AD62" s="48">
        <v>0</v>
      </c>
      <c r="AE62" s="47">
        <f>135+K62</f>
        <v>159.03792835754686</v>
      </c>
      <c r="AF62" s="48">
        <v>0</v>
      </c>
      <c r="AG62" s="47">
        <f>135+K62</f>
        <v>159.03792835754686</v>
      </c>
      <c r="AH62" s="48">
        <v>0</v>
      </c>
      <c r="AI62" s="48">
        <v>-41</v>
      </c>
      <c r="AJ62" s="48">
        <v>-10</v>
      </c>
      <c r="AK62" s="48">
        <v>0</v>
      </c>
      <c r="AL62" s="48">
        <v>0</v>
      </c>
      <c r="AM62" s="48">
        <v>41</v>
      </c>
      <c r="AN62" s="58">
        <v>10</v>
      </c>
      <c r="AO62" s="9"/>
      <c r="AP62" s="59">
        <f>135+40</f>
        <v>175</v>
      </c>
      <c r="AQ62" s="60">
        <v>0</v>
      </c>
      <c r="AR62" s="60">
        <v>-30</v>
      </c>
      <c r="AS62" s="60">
        <v>0</v>
      </c>
      <c r="AT62" s="60">
        <v>175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352</v>
      </c>
      <c r="B63" t="s">
        <v>263</v>
      </c>
      <c r="E63" s="44">
        <v>1</v>
      </c>
      <c r="F63" s="44">
        <v>2</v>
      </c>
      <c r="G63" s="45">
        <v>765</v>
      </c>
      <c r="H63" s="44">
        <v>20</v>
      </c>
      <c r="I63" s="44">
        <v>355</v>
      </c>
      <c r="J63" s="44">
        <v>170</v>
      </c>
      <c r="K63" s="43">
        <f t="shared" si="50"/>
        <v>24.037928357546857</v>
      </c>
      <c r="L63" s="46">
        <f t="shared" si="51"/>
        <v>99.962071642453139</v>
      </c>
      <c r="M63" s="47">
        <f t="shared" si="52"/>
        <v>99.962071642453139</v>
      </c>
      <c r="N63" s="47">
        <f t="shared" si="53"/>
        <v>99.962071642453139</v>
      </c>
      <c r="O63" s="47">
        <f t="shared" si="54"/>
        <v>-39.333333333333336</v>
      </c>
      <c r="P63" s="48">
        <f t="shared" si="55"/>
        <v>0</v>
      </c>
      <c r="Q63" s="49">
        <f t="shared" si="56"/>
        <v>39.333333333333336</v>
      </c>
      <c r="R63" s="59">
        <f t="shared" si="57"/>
        <v>145</v>
      </c>
      <c r="S63" s="60">
        <f t="shared" si="58"/>
        <v>-66</v>
      </c>
      <c r="T63" s="60">
        <f t="shared" si="59"/>
        <v>145</v>
      </c>
      <c r="U63" s="62">
        <f t="shared" si="60"/>
        <v>66</v>
      </c>
      <c r="V63" s="53">
        <f t="shared" si="61"/>
        <v>-24.037928357546857</v>
      </c>
      <c r="W63" s="54">
        <f t="shared" si="62"/>
        <v>-24.037928357546857</v>
      </c>
      <c r="X63" s="54">
        <f t="shared" si="63"/>
        <v>-24.037928357546857</v>
      </c>
      <c r="Y63" s="55">
        <f t="shared" si="64"/>
        <v>0</v>
      </c>
      <c r="Z63" s="55">
        <f t="shared" si="65"/>
        <v>0</v>
      </c>
      <c r="AA63" s="56">
        <f t="shared" si="66"/>
        <v>0</v>
      </c>
      <c r="AB63" s="9"/>
      <c r="AC63" s="57">
        <f>145-21</f>
        <v>124</v>
      </c>
      <c r="AD63" s="48">
        <v>0</v>
      </c>
      <c r="AE63" s="48">
        <v>124</v>
      </c>
      <c r="AF63" s="48">
        <v>0</v>
      </c>
      <c r="AG63" s="48">
        <v>124</v>
      </c>
      <c r="AH63" s="48">
        <v>0</v>
      </c>
      <c r="AI63" s="48">
        <v>-39</v>
      </c>
      <c r="AJ63" s="48">
        <v>-4</v>
      </c>
      <c r="AK63" s="48">
        <v>0</v>
      </c>
      <c r="AL63" s="48">
        <v>0</v>
      </c>
      <c r="AM63" s="48">
        <v>39</v>
      </c>
      <c r="AN63" s="58">
        <v>4</v>
      </c>
      <c r="AO63" s="9"/>
      <c r="AP63" s="59">
        <v>145</v>
      </c>
      <c r="AQ63" s="60">
        <v>0</v>
      </c>
      <c r="AR63" s="60">
        <v>-66</v>
      </c>
      <c r="AS63" s="60">
        <v>0</v>
      </c>
      <c r="AT63" s="60">
        <v>145</v>
      </c>
      <c r="AU63" s="60">
        <v>0</v>
      </c>
      <c r="AV63" s="60">
        <v>66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353</v>
      </c>
      <c r="B64" t="s">
        <v>281</v>
      </c>
      <c r="E64" s="44">
        <v>1</v>
      </c>
      <c r="F64" s="44">
        <v>2</v>
      </c>
      <c r="G64" s="45">
        <v>765</v>
      </c>
      <c r="H64" s="44">
        <v>20</v>
      </c>
      <c r="I64" s="44">
        <v>355</v>
      </c>
      <c r="J64" s="44">
        <v>170</v>
      </c>
      <c r="K64" s="43">
        <f t="shared" si="50"/>
        <v>24.037928357546857</v>
      </c>
      <c r="L64" s="57">
        <f t="shared" si="51"/>
        <v>131</v>
      </c>
      <c r="M64" s="48">
        <f t="shared" si="52"/>
        <v>131</v>
      </c>
      <c r="N64" s="48">
        <f t="shared" si="53"/>
        <v>131</v>
      </c>
      <c r="O64" s="48">
        <f t="shared" si="54"/>
        <v>-50</v>
      </c>
      <c r="P64" s="48">
        <f t="shared" si="55"/>
        <v>0</v>
      </c>
      <c r="Q64" s="58">
        <f t="shared" si="56"/>
        <v>50</v>
      </c>
      <c r="R64" s="59">
        <f t="shared" si="57"/>
        <v>175</v>
      </c>
      <c r="S64" s="60">
        <f t="shared" si="58"/>
        <v>-30</v>
      </c>
      <c r="T64" s="60">
        <f t="shared" si="59"/>
        <v>175</v>
      </c>
      <c r="U64" s="62">
        <f t="shared" si="60"/>
        <v>30</v>
      </c>
      <c r="V64" s="53">
        <f t="shared" si="61"/>
        <v>-24.037928357546857</v>
      </c>
      <c r="W64" s="54">
        <f t="shared" si="62"/>
        <v>-24.037928357546857</v>
      </c>
      <c r="X64" s="54">
        <f t="shared" si="63"/>
        <v>-24.037928357546857</v>
      </c>
      <c r="Y64" s="55">
        <f t="shared" si="64"/>
        <v>0</v>
      </c>
      <c r="Z64" s="55">
        <f t="shared" si="65"/>
        <v>0</v>
      </c>
      <c r="AA64" s="56">
        <f t="shared" si="66"/>
        <v>0</v>
      </c>
      <c r="AB64" s="9"/>
      <c r="AC64" s="46">
        <f>175-44+K64</f>
        <v>155.03792835754686</v>
      </c>
      <c r="AD64" s="48">
        <v>0</v>
      </c>
      <c r="AE64" s="47">
        <f>175-44+K64</f>
        <v>155.03792835754686</v>
      </c>
      <c r="AF64" s="48">
        <v>0</v>
      </c>
      <c r="AG64" s="47">
        <f>175-44+K64</f>
        <v>155.03792835754686</v>
      </c>
      <c r="AH64" s="48">
        <v>0</v>
      </c>
      <c r="AI64" s="48">
        <v>-50</v>
      </c>
      <c r="AJ64" s="48">
        <v>0</v>
      </c>
      <c r="AK64" s="48">
        <v>0</v>
      </c>
      <c r="AL64" s="48">
        <v>0</v>
      </c>
      <c r="AM64" s="48">
        <v>50</v>
      </c>
      <c r="AN64" s="58">
        <v>0</v>
      </c>
      <c r="AO64" s="9"/>
      <c r="AP64" s="59">
        <v>175</v>
      </c>
      <c r="AQ64" s="60">
        <v>0</v>
      </c>
      <c r="AR64" s="60">
        <v>-30</v>
      </c>
      <c r="AS64" s="60">
        <v>0</v>
      </c>
      <c r="AT64" s="60">
        <v>175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354</v>
      </c>
      <c r="B65" t="s">
        <v>355</v>
      </c>
      <c r="E65" s="44">
        <v>1</v>
      </c>
      <c r="F65" s="44">
        <v>2</v>
      </c>
      <c r="G65" s="45">
        <v>765</v>
      </c>
      <c r="H65" s="44">
        <v>20</v>
      </c>
      <c r="I65" s="44">
        <v>355</v>
      </c>
      <c r="J65" s="44">
        <v>170</v>
      </c>
      <c r="K65" s="43">
        <f t="shared" si="50"/>
        <v>24.037928357546857</v>
      </c>
      <c r="L65" s="46">
        <f t="shared" si="51"/>
        <v>110</v>
      </c>
      <c r="M65" s="47">
        <f t="shared" si="52"/>
        <v>110</v>
      </c>
      <c r="N65" s="47">
        <f t="shared" si="53"/>
        <v>110</v>
      </c>
      <c r="O65" s="47">
        <f t="shared" si="54"/>
        <v>-39.333333333333336</v>
      </c>
      <c r="P65" s="48">
        <f t="shared" si="55"/>
        <v>0</v>
      </c>
      <c r="Q65" s="49">
        <f t="shared" si="56"/>
        <v>39.333333333333336</v>
      </c>
      <c r="R65" s="59">
        <f t="shared" si="57"/>
        <v>150</v>
      </c>
      <c r="S65" s="60">
        <f t="shared" si="58"/>
        <v>-30</v>
      </c>
      <c r="T65" s="60">
        <f t="shared" si="59"/>
        <v>150</v>
      </c>
      <c r="U65" s="62">
        <f t="shared" si="60"/>
        <v>30</v>
      </c>
      <c r="V65" s="53">
        <f t="shared" si="61"/>
        <v>-24.037928357546857</v>
      </c>
      <c r="W65" s="54">
        <f t="shared" si="62"/>
        <v>-24.037928357546857</v>
      </c>
      <c r="X65" s="54">
        <f t="shared" si="63"/>
        <v>-24.037928357546857</v>
      </c>
      <c r="Y65" s="55">
        <f t="shared" si="64"/>
        <v>0</v>
      </c>
      <c r="Z65" s="55">
        <f t="shared" si="65"/>
        <v>0</v>
      </c>
      <c r="AA65" s="56">
        <f t="shared" si="66"/>
        <v>0</v>
      </c>
      <c r="AB65" s="9"/>
      <c r="AC65" s="46">
        <f>110+K65</f>
        <v>134.03792835754686</v>
      </c>
      <c r="AD65" s="48">
        <v>0</v>
      </c>
      <c r="AE65" s="47">
        <f>110+K65</f>
        <v>134.03792835754686</v>
      </c>
      <c r="AF65" s="48">
        <v>0</v>
      </c>
      <c r="AG65" s="47">
        <f>110+K65</f>
        <v>134.03792835754686</v>
      </c>
      <c r="AH65" s="48">
        <v>0</v>
      </c>
      <c r="AI65" s="48">
        <v>-39</v>
      </c>
      <c r="AJ65" s="48">
        <v>-4</v>
      </c>
      <c r="AK65" s="48">
        <v>0</v>
      </c>
      <c r="AL65" s="48">
        <v>0</v>
      </c>
      <c r="AM65" s="48">
        <v>39</v>
      </c>
      <c r="AN65" s="58">
        <v>4</v>
      </c>
      <c r="AO65" s="9"/>
      <c r="AP65" s="59">
        <v>150</v>
      </c>
      <c r="AQ65" s="60">
        <v>0</v>
      </c>
      <c r="AR65" s="60">
        <v>-30</v>
      </c>
      <c r="AS65" s="60">
        <v>0</v>
      </c>
      <c r="AT65" s="60">
        <v>150</v>
      </c>
      <c r="AU65" s="60">
        <v>0</v>
      </c>
      <c r="AV65" s="60">
        <v>30</v>
      </c>
      <c r="AW65" s="62">
        <v>0</v>
      </c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x14ac:dyDescent="0.3">
      <c r="A66" s="1" t="s">
        <v>634</v>
      </c>
      <c r="B66" t="s">
        <v>263</v>
      </c>
      <c r="C66" t="s">
        <v>635</v>
      </c>
      <c r="D66" t="s">
        <v>635</v>
      </c>
      <c r="E66" s="70">
        <v>1</v>
      </c>
      <c r="F66" s="70">
        <v>1</v>
      </c>
      <c r="G66" s="45">
        <v>33</v>
      </c>
      <c r="H66" s="71">
        <v>0</v>
      </c>
      <c r="I66" s="71">
        <v>0</v>
      </c>
      <c r="J66" s="71">
        <v>0</v>
      </c>
      <c r="K66" s="72">
        <v>0</v>
      </c>
      <c r="L66" s="46">
        <f>AC66+(AD66*(1/12))-K66</f>
        <v>29</v>
      </c>
      <c r="M66" s="47">
        <f>AE66+(AF66*(1/12))-K66</f>
        <v>29</v>
      </c>
      <c r="N66" s="47">
        <f>AG66+(AH66*(1/12))-K66</f>
        <v>29</v>
      </c>
      <c r="O66" s="47">
        <f>AI66+(AJ66*(1/12))</f>
        <v>-4</v>
      </c>
      <c r="P66" s="101">
        <f>AK66+(AL66*(1/12))</f>
        <v>-1.5</v>
      </c>
      <c r="Q66" s="49">
        <f>AM66+(AN66*(1/12))</f>
        <v>3</v>
      </c>
      <c r="R66" s="59">
        <f>AP66+((1/12)*AQ66)</f>
        <v>25</v>
      </c>
      <c r="S66" s="60">
        <f>AR66+((1/12)*AS66)</f>
        <v>0</v>
      </c>
      <c r="T66" s="60">
        <f>AT66+((1/12)*AU66)</f>
        <v>0</v>
      </c>
      <c r="U66" s="62">
        <f>AV66+((1/12)*AW66)</f>
        <v>0</v>
      </c>
      <c r="V66" s="53">
        <f>AY66+(AZ66*(1/12))-K66</f>
        <v>0</v>
      </c>
      <c r="W66" s="54">
        <f>BA66+(BB66*(1/12))-K66</f>
        <v>0</v>
      </c>
      <c r="X66" s="54">
        <f>BC66+(BD66*(1/12))-K66</f>
        <v>0</v>
      </c>
      <c r="Y66" s="55">
        <f>BE66+(BF66*(1/12))</f>
        <v>0</v>
      </c>
      <c r="Z66" s="55">
        <f>BG66+(BH66*(1/12))</f>
        <v>0</v>
      </c>
      <c r="AA66" s="56">
        <f>BI66+(BJ66*(1/12))</f>
        <v>0</v>
      </c>
      <c r="AC66" s="18">
        <v>29</v>
      </c>
      <c r="AD66" s="18">
        <v>0</v>
      </c>
      <c r="AE66" s="18">
        <v>29</v>
      </c>
      <c r="AF66" s="18">
        <v>0</v>
      </c>
      <c r="AG66" s="18">
        <v>29</v>
      </c>
      <c r="AH66" s="18">
        <v>0</v>
      </c>
      <c r="AI66" s="18">
        <v>-4</v>
      </c>
      <c r="AJ66" s="18">
        <v>0</v>
      </c>
      <c r="AK66" s="18">
        <v>-1</v>
      </c>
      <c r="AL66" s="18">
        <v>-6</v>
      </c>
      <c r="AM66" s="18">
        <v>3</v>
      </c>
      <c r="AN66" s="18">
        <v>0</v>
      </c>
      <c r="AP66" s="18">
        <v>25</v>
      </c>
      <c r="AQ66" s="18">
        <v>0</v>
      </c>
      <c r="AR66" s="18">
        <v>0</v>
      </c>
      <c r="AS66" s="18">
        <v>0</v>
      </c>
    </row>
    <row r="67" spans="1:71" x14ac:dyDescent="0.3">
      <c r="A67" s="1" t="s">
        <v>667</v>
      </c>
      <c r="B67" t="s">
        <v>228</v>
      </c>
      <c r="C67" t="s">
        <v>635</v>
      </c>
      <c r="D67" t="s">
        <v>635</v>
      </c>
      <c r="E67" s="70">
        <v>1</v>
      </c>
      <c r="F67" s="70">
        <v>1</v>
      </c>
      <c r="G67" s="45">
        <v>255</v>
      </c>
      <c r="H67" s="71">
        <v>0</v>
      </c>
      <c r="I67" s="71">
        <v>0</v>
      </c>
      <c r="J67" s="71">
        <v>0</v>
      </c>
      <c r="K67" s="72">
        <v>0</v>
      </c>
      <c r="L67" s="46">
        <f>AC67+(AD67*(1/12))-K67</f>
        <v>1000</v>
      </c>
      <c r="M67" s="47">
        <f>AE67+(AF67*(1/12))-K67</f>
        <v>1000</v>
      </c>
      <c r="N67" s="47">
        <f>AG67+(AH67*(1/12))-K67</f>
        <v>1000</v>
      </c>
      <c r="O67" s="47">
        <f>AI67+(AJ67*(1/12))</f>
        <v>-26.246719200000001</v>
      </c>
      <c r="P67" s="101">
        <f>AK67+(AL67*(1/12))</f>
        <v>0</v>
      </c>
      <c r="Q67" s="49">
        <f>AM67+(AN67*(1/12))</f>
        <v>26.246719200000001</v>
      </c>
      <c r="R67" s="59">
        <f>AP67+((1/12)*AQ67)</f>
        <v>0</v>
      </c>
      <c r="S67" s="60">
        <f>AR67+((1/12)*AS67)</f>
        <v>0</v>
      </c>
      <c r="T67" s="60">
        <f>AT67+((1/12)*AU67)</f>
        <v>0</v>
      </c>
      <c r="U67" s="62">
        <f>AV67+((1/12)*AW67)</f>
        <v>0</v>
      </c>
      <c r="V67" s="53">
        <f>AY67+(AZ67*(1/12))-K67</f>
        <v>0</v>
      </c>
      <c r="W67" s="54">
        <f>BA67+(BB67*(1/12))-K67</f>
        <v>0</v>
      </c>
      <c r="X67" s="54">
        <f>BC67+(BD67*(1/12))-K67</f>
        <v>0</v>
      </c>
      <c r="Y67" s="55">
        <f>BE67+(BF67*(1/12))</f>
        <v>0</v>
      </c>
      <c r="Z67" s="55">
        <f>BG67+(BH67*(1/12))</f>
        <v>0</v>
      </c>
      <c r="AA67" s="56">
        <f>BI67+(BJ67*(1/12))</f>
        <v>0</v>
      </c>
      <c r="AC67" s="18">
        <v>1000</v>
      </c>
      <c r="AD67" s="18">
        <v>0</v>
      </c>
      <c r="AE67" s="18">
        <v>1000</v>
      </c>
      <c r="AF67" s="18">
        <v>0</v>
      </c>
      <c r="AG67" s="18">
        <v>1000</v>
      </c>
      <c r="AH67" s="18">
        <v>0</v>
      </c>
      <c r="AI67" s="18">
        <v>-26.246719200000001</v>
      </c>
      <c r="AJ67" s="18">
        <v>0</v>
      </c>
      <c r="AK67" s="18">
        <v>0</v>
      </c>
      <c r="AL67" s="18">
        <v>0</v>
      </c>
      <c r="AM67" s="18">
        <v>26.246719200000001</v>
      </c>
      <c r="AN67" s="18">
        <v>0</v>
      </c>
      <c r="AP67" s="18">
        <v>0</v>
      </c>
      <c r="AQ67" s="18">
        <v>0</v>
      </c>
      <c r="AR67" s="18">
        <v>0</v>
      </c>
      <c r="AS67" s="18">
        <v>0</v>
      </c>
    </row>
    <row r="68" spans="1:71" ht="18.75" customHeight="1" x14ac:dyDescent="0.3">
      <c r="A68" s="42" t="s">
        <v>356</v>
      </c>
      <c r="E68" s="69"/>
      <c r="F68" s="69"/>
      <c r="G68" s="45">
        <v>735</v>
      </c>
      <c r="H68" s="44">
        <v>20</v>
      </c>
      <c r="I68" s="44">
        <v>355</v>
      </c>
      <c r="J68" s="44">
        <v>170</v>
      </c>
      <c r="K68" s="43">
        <f t="shared" si="50"/>
        <v>23.095264500388154</v>
      </c>
      <c r="L68" s="46">
        <f t="shared" ref="L68:L69" si="67">AC68+(AD68*(1/12))-K68</f>
        <v>-23.095264500388154</v>
      </c>
      <c r="M68" s="47">
        <f t="shared" ref="M68:M69" si="68">AE68+(AF68*(1/12))-K68</f>
        <v>-23.095264500388154</v>
      </c>
      <c r="N68" s="47">
        <f t="shared" ref="N68:N69" si="69">AG68+(AH68*(1/12))-K68</f>
        <v>-23.095264500388154</v>
      </c>
      <c r="O68" s="47">
        <f t="shared" ref="O68:O69" si="70">AI68+(AJ68*(1/12))</f>
        <v>0</v>
      </c>
      <c r="P68" s="48">
        <f t="shared" ref="P68:P69" si="71">AK68+(AL68*(1/12))</f>
        <v>0</v>
      </c>
      <c r="Q68" s="49">
        <f t="shared" ref="Q68" si="72">AM68+(AN68*(1/12))</f>
        <v>0</v>
      </c>
      <c r="R68" s="59">
        <f t="shared" ref="R68:R69" si="73">AP68+((1/12)*AQ68)</f>
        <v>0</v>
      </c>
      <c r="S68" s="60">
        <f t="shared" ref="S68:S69" si="74">AR68+((1/12)*AS68)</f>
        <v>0</v>
      </c>
      <c r="T68" s="60">
        <f t="shared" ref="T68:T69" si="75">AT68+((1/12)*AU68)</f>
        <v>0</v>
      </c>
      <c r="U68" s="62">
        <f t="shared" ref="U68:U69" si="76">AV68+((1/12)*AW68)</f>
        <v>0</v>
      </c>
      <c r="V68" s="53">
        <f t="shared" ref="V68:V69" si="77">AY68+(AZ68*(1/12))-K68</f>
        <v>-23.095264500388154</v>
      </c>
      <c r="W68" s="54">
        <f t="shared" ref="W68:W69" si="78">BA68+(BB68*(1/12))-K68</f>
        <v>-23.095264500388154</v>
      </c>
      <c r="X68" s="54">
        <f t="shared" ref="X68:X69" si="79">BC68+(BD68*(1/12))-K68</f>
        <v>-23.095264500388154</v>
      </c>
      <c r="Y68" s="55">
        <f t="shared" ref="Y68:Y69" si="80">BE68+(BF68*(1/12))</f>
        <v>0</v>
      </c>
      <c r="Z68" s="55">
        <f t="shared" ref="Z68:Z69" si="81">BG68+(BH68*(1/12))</f>
        <v>0</v>
      </c>
      <c r="AA68" s="56">
        <f t="shared" ref="AA68:AA69" si="82">BI68+(BJ68*(1/12))</f>
        <v>0</v>
      </c>
      <c r="AB68" s="9"/>
      <c r="AC68" s="63"/>
      <c r="AD68" s="15"/>
      <c r="AE68" s="63"/>
      <c r="AF68" s="15"/>
      <c r="AG68" s="63"/>
      <c r="AH68" s="15"/>
      <c r="AI68" s="15"/>
      <c r="AJ68" s="15"/>
      <c r="AK68" s="15"/>
      <c r="AL68" s="15"/>
      <c r="AM68" s="15"/>
      <c r="AN68" s="15"/>
      <c r="AO68" s="9"/>
      <c r="AP68" s="15"/>
      <c r="AQ68" s="15"/>
      <c r="AR68" s="15"/>
      <c r="AS68" s="15"/>
      <c r="AT68" s="15"/>
      <c r="AU68" s="15"/>
      <c r="AV68" s="15"/>
      <c r="AW68" s="15"/>
      <c r="AX68" s="9"/>
      <c r="AY68" s="63"/>
      <c r="AZ68" s="15"/>
      <c r="BA68" s="63"/>
      <c r="BB68" s="15"/>
      <c r="BC68" s="63"/>
      <c r="BD68" s="15"/>
      <c r="BE68" s="15"/>
      <c r="BF68" s="15"/>
      <c r="BG68" s="15"/>
      <c r="BH68" s="15"/>
      <c r="BI68" s="15"/>
      <c r="BJ68" s="15"/>
      <c r="BK68" s="9"/>
      <c r="BL68" s="9"/>
      <c r="BM68" s="9"/>
      <c r="BN68" s="9"/>
      <c r="BO68" s="9"/>
      <c r="BP68" s="9"/>
      <c r="BQ68" s="9"/>
      <c r="BR68" s="9"/>
      <c r="BS68" s="9"/>
    </row>
    <row r="69" spans="1:71" ht="18.75" customHeight="1" x14ac:dyDescent="0.3">
      <c r="A69" s="42" t="s">
        <v>357</v>
      </c>
      <c r="E69" s="69"/>
      <c r="F69" s="69"/>
      <c r="G69" s="45">
        <v>735</v>
      </c>
      <c r="H69" s="44">
        <v>20</v>
      </c>
      <c r="I69" s="44">
        <v>355</v>
      </c>
      <c r="J69" s="44">
        <v>170</v>
      </c>
      <c r="K69" s="43">
        <f t="shared" si="50"/>
        <v>23.095264500388154</v>
      </c>
      <c r="L69" s="46">
        <f t="shared" si="67"/>
        <v>-23.095264500388154</v>
      </c>
      <c r="M69" s="47">
        <f t="shared" si="68"/>
        <v>-23.095264500388154</v>
      </c>
      <c r="N69" s="47">
        <f t="shared" si="69"/>
        <v>-23.095264500388154</v>
      </c>
      <c r="O69" s="47">
        <f t="shared" si="70"/>
        <v>0</v>
      </c>
      <c r="P69" s="48">
        <f t="shared" si="71"/>
        <v>0</v>
      </c>
      <c r="Q69" s="49">
        <f>AM69+(AN69*(1/12))</f>
        <v>0</v>
      </c>
      <c r="R69" s="59">
        <f t="shared" si="73"/>
        <v>0</v>
      </c>
      <c r="S69" s="60">
        <f t="shared" si="74"/>
        <v>0</v>
      </c>
      <c r="T69" s="60">
        <f t="shared" si="75"/>
        <v>0</v>
      </c>
      <c r="U69" s="62">
        <f t="shared" si="76"/>
        <v>0</v>
      </c>
      <c r="V69" s="53">
        <f t="shared" si="77"/>
        <v>-23.095264500388154</v>
      </c>
      <c r="W69" s="54">
        <f t="shared" si="78"/>
        <v>-23.095264500388154</v>
      </c>
      <c r="X69" s="54">
        <f t="shared" si="79"/>
        <v>-23.095264500388154</v>
      </c>
      <c r="Y69" s="55">
        <f t="shared" si="80"/>
        <v>0</v>
      </c>
      <c r="Z69" s="55">
        <f t="shared" si="81"/>
        <v>0</v>
      </c>
      <c r="AA69" s="56">
        <f t="shared" si="82"/>
        <v>0</v>
      </c>
      <c r="AB69" s="9"/>
      <c r="AC69" s="63"/>
      <c r="AD69" s="15"/>
      <c r="AE69" s="63"/>
      <c r="AF69" s="15"/>
      <c r="AG69" s="63"/>
      <c r="AH69" s="15"/>
      <c r="AI69" s="15"/>
      <c r="AJ69" s="15"/>
      <c r="AK69" s="15"/>
      <c r="AL69" s="15"/>
      <c r="AM69" s="15"/>
      <c r="AN69" s="15"/>
      <c r="AO69" s="9"/>
      <c r="AP69" s="15"/>
      <c r="AQ69" s="15"/>
      <c r="AR69" s="15"/>
      <c r="AS69" s="15"/>
      <c r="AT69" s="15"/>
      <c r="AU69" s="15"/>
      <c r="AV69" s="15"/>
      <c r="AW69" s="15"/>
      <c r="AX69" s="9"/>
      <c r="AY69" s="63"/>
      <c r="AZ69" s="15"/>
      <c r="BA69" s="63"/>
      <c r="BB69" s="15"/>
      <c r="BC69" s="63"/>
      <c r="BD69" s="15"/>
      <c r="BE69" s="15"/>
      <c r="BF69" s="15"/>
      <c r="BG69" s="15"/>
      <c r="BH69" s="15"/>
      <c r="BI69" s="15"/>
      <c r="BJ69" s="15"/>
      <c r="BK69" s="9"/>
      <c r="BL69" s="9"/>
      <c r="BM69" s="9"/>
      <c r="BN69" s="9"/>
      <c r="BO69" s="9"/>
      <c r="BP69" s="9"/>
      <c r="BQ69" s="9"/>
      <c r="BR69" s="9"/>
      <c r="BS69" s="9"/>
    </row>
    <row r="70" spans="1:71" x14ac:dyDescent="0.3">
      <c r="L70" s="46"/>
      <c r="M70" s="47"/>
      <c r="N70" s="47"/>
      <c r="O70" s="47"/>
      <c r="P70" s="48"/>
      <c r="Q70" s="49"/>
      <c r="R70" s="59"/>
      <c r="S70" s="60"/>
      <c r="T70" s="60"/>
      <c r="U70" s="62"/>
      <c r="V70" s="53"/>
      <c r="W70" s="54"/>
      <c r="X70" s="54"/>
      <c r="Y70" s="55"/>
      <c r="Z70" s="55"/>
      <c r="AA70" s="56"/>
    </row>
    <row r="71" spans="1:71" x14ac:dyDescent="0.3">
      <c r="L71" s="46"/>
      <c r="M71" s="47"/>
      <c r="N71" s="47"/>
      <c r="O71" s="47"/>
      <c r="P71" s="48"/>
      <c r="Q71" s="49"/>
      <c r="R71" s="59"/>
      <c r="S71" s="60"/>
      <c r="T71" s="60"/>
      <c r="U71" s="62"/>
      <c r="V71" s="53"/>
      <c r="W71" s="54"/>
      <c r="X71" s="54"/>
      <c r="Y71" s="55"/>
      <c r="Z71" s="55"/>
      <c r="AA71" s="56"/>
    </row>
    <row r="72" spans="1:71" x14ac:dyDescent="0.3">
      <c r="L72" s="46"/>
      <c r="M72" s="47"/>
      <c r="N72" s="47"/>
      <c r="O72" s="47"/>
      <c r="P72" s="48"/>
      <c r="Q72" s="49"/>
      <c r="R72" s="59"/>
      <c r="S72" s="60"/>
      <c r="T72" s="60"/>
      <c r="U72" s="62"/>
      <c r="V72" s="53"/>
      <c r="W72" s="54"/>
      <c r="X72" s="54"/>
      <c r="Y72" s="55"/>
      <c r="Z72" s="55"/>
      <c r="AA72" s="56"/>
    </row>
    <row r="73" spans="1:71" x14ac:dyDescent="0.3">
      <c r="L73" s="46"/>
      <c r="M73" s="47"/>
      <c r="N73" s="47"/>
      <c r="O73" s="47"/>
      <c r="P73" s="48"/>
      <c r="Q73" s="49"/>
      <c r="R73" s="59"/>
      <c r="S73" s="60"/>
      <c r="T73" s="60"/>
      <c r="U73" s="62"/>
      <c r="V73" s="53"/>
      <c r="W73" s="54"/>
      <c r="X73" s="54"/>
      <c r="Y73" s="55"/>
      <c r="Z73" s="55"/>
      <c r="AA73" s="56"/>
    </row>
    <row r="74" spans="1:71" x14ac:dyDescent="0.3">
      <c r="L74" s="46"/>
      <c r="M74" s="47"/>
      <c r="N74" s="47"/>
      <c r="O74" s="47"/>
      <c r="P74" s="48"/>
      <c r="Q74" s="49"/>
      <c r="R74" s="59"/>
      <c r="S74" s="60"/>
      <c r="T74" s="60"/>
      <c r="U74" s="62"/>
      <c r="V74" s="53"/>
      <c r="W74" s="54"/>
      <c r="X74" s="54"/>
      <c r="Y74" s="55"/>
      <c r="Z74" s="55"/>
      <c r="AA74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/>
  </sheetPr>
  <dimension ref="A1:CI241"/>
  <sheetViews>
    <sheetView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Q2" sqref="Q2:Q56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IF(OR(COUNTIF(T2,"*"&amp;Conductors!$Q$2:$Q$201&amp;"*")),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IF(OR(COUNTIF(T3,"*"&amp;Conductors!$Q$2:$Q$201&amp;"*")),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IF(OR(COUNTIF(T4,"*"&amp;Conductors!$Q$2:$Q$201&amp;"*")),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IF(OR(COUNTIF(T5,"*"&amp;Conductors!$Q$2:$Q$201&amp;"*")),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IF(OR(COUNTIF(T6,"*"&amp;Conductors!$Q$2:$Q$201&amp;"*")),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IF(OR(COUNTIF(T7,"*"&amp;Conductors!$Q$2:$Q$201&amp;"*")),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IF(OR(COUNTIF(T8,"*"&amp;Conductors!$Q$2:$Q$201&amp;"*")),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IF(OR(COUNTIF(T9,"*"&amp;Conductors!$Q$2:$Q$201&amp;"*")),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IF(OR(COUNTIF(T10,"*"&amp;Conductors!$Q$2:$Q$201&amp;"*")),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IF(OR(COUNTIF(T11,"*"&amp;Conductors!$Q$2:$Q$201&amp;"*")),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IF(OR(COUNTIF(T12,"*"&amp;Conductors!$Q$2:$Q$201&amp;"*")),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hidden="1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IF(OR(COUNTIF(T13,"*"&amp;Conductors!$Q$2:$Q$201&amp;"*")),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hidden="1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IF(OR(COUNTIF(T14,"*"&amp;Conductors!$Q$2:$Q$201&amp;"*")),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hidden="1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IF(OR(COUNTIF(T15,"*"&amp;Conductors!$Q$2:$Q$201&amp;"*")),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hidden="1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IF(OR(COUNTIF(T16,"*"&amp;Conductors!$Q$2:$Q$201&amp;"*")),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hidden="1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IF(OR(COUNTIF(T17,"*"&amp;Conductors!$Q$2:$Q$201&amp;"*")),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hidden="1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IF(OR(COUNTIF(T18,"*"&amp;Conductors!$Q$2:$Q$201&amp;"*")),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hidden="1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IF(OR(COUNTIF(T19,"*"&amp;Conductors!$Q$2:$Q$201&amp;"*")),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hidden="1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IF(OR(COUNTIF(T20,"*"&amp;Conductors!$Q$2:$Q$201&amp;"*")),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hidden="1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IF(OR(COUNTIF(T21,"*"&amp;Conductors!$Q$2:$Q$201&amp;"*")),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hidden="1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IF(OR(COUNTIF(T22,"*"&amp;Conductors!$Q$2:$Q$201&amp;"*")),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IF(OR(COUNTIF(T23,"*"&amp;Conductors!$Q$2:$Q$201&amp;"*")),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IF(OR(COUNTIF(T24,"*"&amp;Conductors!$Q$2:$Q$201&amp;"*")),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IF(OR(COUNTIF(T25,"*"&amp;Conductors!$Q$2:$Q$201&amp;"*")),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IF(OR(COUNTIF(T26,"*"&amp;Conductors!$Q$2:$Q$201&amp;"*")),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IF(OR(COUNTIF(T27,"*"&amp;Conductors!$Q$2:$Q$201&amp;"*")),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hidden="1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IF(OR(COUNTIF(T28,"*"&amp;Conductors!$Q$2:$Q$201&amp;"*")),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hidden="1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IF(OR(COUNTIF(T29,"*"&amp;Conductors!$Q$2:$Q$201&amp;"*")),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IF(OR(COUNTIF(T30,"*"&amp;Conductors!$Q$2:$Q$201&amp;"*")),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hidden="1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IF(OR(COUNTIF(T31,"*"&amp;Conductors!$Q$2:$Q$201&amp;"*")),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hidden="1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IF(OR(COUNTIF(T32,"*"&amp;Conductors!$Q$2:$Q$201&amp;"*")),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hidden="1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IF(OR(COUNTIF(T33,"*"&amp;Conductors!$Q$2:$Q$201&amp;"*")),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IF(OR(COUNTIF(T34,"*"&amp;Conductors!$Q$2:$Q$201&amp;"*")),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IF(OR(COUNTIF(T35,"*"&amp;Conductors!$Q$2:$Q$201&amp;"*")),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hidden="1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IF(OR(COUNTIF(T36,"*"&amp;Conductors!$Q$2:$Q$201&amp;"*")),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hidden="1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IF(OR(COUNTIF(T37,"*"&amp;Conductors!$Q$2:$Q$201&amp;"*")),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IF(OR(COUNTIF(T38,"*"&amp;Conductors!$Q$2:$Q$201&amp;"*")),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hidden="1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IF(OR(COUNTIF(T39,"*"&amp;Conductors!$Q$2:$Q$201&amp;"*")),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hidden="1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IF(OR(COUNTIF(T40,"*"&amp;Conductors!$Q$2:$Q$201&amp;"*")),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hidden="1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IF(OR(COUNTIF(T41,"*"&amp;Conductors!$Q$2:$Q$201&amp;"*")),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IF(OR(COUNTIF(T42,"*"&amp;Conductors!$Q$2:$Q$201&amp;"*")),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IF(OR(COUNTIF(T43,"*"&amp;Conductors!$Q$2:$Q$201&amp;"*")),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IF(OR(COUNTIF(T44,"*"&amp;Conductors!$Q$2:$Q$201&amp;"*")),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hidden="1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IF(OR(COUNTIF(T45,"*"&amp;Conductors!$Q$2:$Q$201&amp;"*")),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IF(OR(COUNTIF(T46,"*"&amp;Conductors!$Q$2:$Q$201&amp;"*")),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hidden="1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IF(OR(COUNTIF(T47,"*"&amp;Conductors!$Q$2:$Q$201&amp;"*")),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IF(OR(COUNTIF(T48,"*"&amp;Conductors!$Q$2:$Q$201&amp;"*")),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hidden="1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IF(OR(COUNTIF(T49,"*"&amp;Conductors!$Q$2:$Q$201&amp;"*")),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hidden="1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IF(OR(COUNTIF(T50,"*"&amp;Conductors!$Q$2:$Q$201&amp;"*")),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hidden="1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IF(OR(COUNTIF(T51,"*"&amp;Conductors!$Q$2:$Q$201&amp;"*")),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hidden="1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IF(OR(COUNTIF(T52,"*"&amp;Conductors!$Q$2:$Q$201&amp;"*")),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hidden="1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IF(OR(COUNTIF(T53,"*"&amp;Conductors!$Q$2:$Q$201&amp;"*")),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hidden="1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IF(OR(COUNTIF(T54,"*"&amp;Conductors!$Q$2:$Q$201&amp;"*")),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hidden="1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IF(OR(COUNTIF(T55,"*"&amp;Conductors!$Q$2:$Q$201&amp;"*")),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IF(OR(COUNTIF(T56,"*"&amp;Conductors!$Q$2:$Q$201&amp;"*")),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hidden="1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IF(OR(COUNTIF(T57,"*"&amp;Conductors!$Q$2:$Q$201&amp;"*")),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hidden="1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IF(OR(COUNTIF(T58,"*"&amp;Conductors!$Q$2:$Q$201&amp;"*")),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hidden="1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IF(OR(COUNTIF(T59,"*"&amp;Conductors!$Q$2:$Q$201&amp;"*")),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hidden="1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IF(OR(COUNTIF(T60,"*"&amp;Conductors!$Q$2:$Q$201&amp;"*")),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hidden="1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IF(OR(COUNTIF(T61,"*"&amp;Conductors!$Q$2:$Q$201&amp;"*")),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D62" t="s">
        <v>12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>Alabama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D63" t="s">
        <v>12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>Alabama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606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607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607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hidden="1" x14ac:dyDescent="0.3">
      <c r="A69" t="s">
        <v>320</v>
      </c>
      <c r="B69" t="s">
        <v>228</v>
      </c>
      <c r="C69" t="s">
        <v>608</v>
      </c>
      <c r="E69">
        <v>300</v>
      </c>
      <c r="F69">
        <v>500</v>
      </c>
      <c r="G69" t="s">
        <v>230</v>
      </c>
      <c r="J69">
        <v>1.8</v>
      </c>
      <c r="L69" s="79" t="s">
        <v>609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610</v>
      </c>
      <c r="E73">
        <v>88</v>
      </c>
      <c r="F73">
        <v>500</v>
      </c>
      <c r="G73" t="s">
        <v>230</v>
      </c>
      <c r="J73">
        <v>1.88</v>
      </c>
      <c r="L73" s="79" t="s">
        <v>603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hidden="1" x14ac:dyDescent="0.3">
      <c r="A74" t="s">
        <v>330</v>
      </c>
      <c r="B74" t="s">
        <v>228</v>
      </c>
      <c r="C74" t="s">
        <v>611</v>
      </c>
      <c r="E74">
        <v>110</v>
      </c>
      <c r="F74">
        <v>500</v>
      </c>
      <c r="G74" t="s">
        <v>230</v>
      </c>
      <c r="J74">
        <v>1.88</v>
      </c>
      <c r="L74" s="79" t="s">
        <v>603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612</v>
      </c>
      <c r="E75">
        <v>125</v>
      </c>
      <c r="F75">
        <v>500</v>
      </c>
      <c r="G75" t="s">
        <v>261</v>
      </c>
      <c r="J75">
        <v>1.72</v>
      </c>
      <c r="L75" s="79" t="s">
        <v>615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613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613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hidden="1" x14ac:dyDescent="0.3">
      <c r="A78" t="s">
        <v>326</v>
      </c>
      <c r="B78" t="s">
        <v>228</v>
      </c>
      <c r="C78" t="s">
        <v>614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hidden="1" x14ac:dyDescent="0.3">
      <c r="A79" t="s">
        <v>329</v>
      </c>
      <c r="B79" t="s">
        <v>228</v>
      </c>
      <c r="C79" t="s">
        <v>616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hidden="1" x14ac:dyDescent="0.3">
      <c r="A80" t="s">
        <v>325</v>
      </c>
      <c r="B80" t="s">
        <v>228</v>
      </c>
      <c r="C80" t="s">
        <v>617</v>
      </c>
      <c r="E80">
        <v>237</v>
      </c>
      <c r="F80">
        <v>500</v>
      </c>
      <c r="G80" t="s">
        <v>230</v>
      </c>
      <c r="J80">
        <v>1.7</v>
      </c>
      <c r="L80" s="79" t="s">
        <v>603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hidden="1" x14ac:dyDescent="0.3">
      <c r="A81" t="s">
        <v>329</v>
      </c>
      <c r="B81" t="s">
        <v>228</v>
      </c>
      <c r="C81" t="s">
        <v>618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hidden="1" x14ac:dyDescent="0.3">
      <c r="A82" t="s">
        <v>344</v>
      </c>
      <c r="B82" t="s">
        <v>308</v>
      </c>
      <c r="C82" t="s">
        <v>619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620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hidden="1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621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621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621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622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623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623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624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624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625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626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627</v>
      </c>
      <c r="F96">
        <v>500</v>
      </c>
      <c r="G96" t="s">
        <v>261</v>
      </c>
      <c r="J96">
        <v>1.823</v>
      </c>
      <c r="L96" s="79" t="s">
        <v>628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629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629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630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hidden="1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hidden="1" x14ac:dyDescent="0.3">
      <c r="A102" t="s">
        <v>354</v>
      </c>
      <c r="B102" s="78" t="s">
        <v>228</v>
      </c>
      <c r="C102" t="s">
        <v>631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632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hidden="1" x14ac:dyDescent="0.3">
      <c r="A103" t="s">
        <v>352</v>
      </c>
      <c r="B103" t="s">
        <v>263</v>
      </c>
      <c r="C103" t="s">
        <v>631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633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hidden="1" x14ac:dyDescent="0.3">
      <c r="A104" t="s">
        <v>351</v>
      </c>
      <c r="B104" t="s">
        <v>228</v>
      </c>
      <c r="C104" t="s">
        <v>631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632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hidden="1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hidden="1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hidden="1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hidden="1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hidden="1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hidden="1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hidden="1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hidden="1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hidden="1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hidden="1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hidden="1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hidden="1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hidden="1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hidden="1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hidden="1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hidden="1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hidden="1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hidden="1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hidden="1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hidden="1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hidden="1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hidden="1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hidden="1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hidden="1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hidden="1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hidden="1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hidden="1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hidden="1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hidden="1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hidden="1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hidden="1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hidden="1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hidden="1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hidden="1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hidden="1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hidden="1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hidden="1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hidden="1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hidden="1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hidden="1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hidden="1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hidden="1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hidden="1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hidden="1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hidden="1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hidden="1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hidden="1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hidden="1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hidden="1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hidden="1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hidden="1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hidden="1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hidden="1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hidden="1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hidden="1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hidden="1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hidden="1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hidden="1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hidden="1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hidden="1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hidden="1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hidden="1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hidden="1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hidden="1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hidden="1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hidden="1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hidden="1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hidden="1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hidden="1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hidden="1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hidden="1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hidden="1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hidden="1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hidden="1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hidden="1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hidden="1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hidden="1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hidden="1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hidden="1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hidden="1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hidden="1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hidden="1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hidden="1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hidden="1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hidden="1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hidden="1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hidden="1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hidden="1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hidden="1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hidden="1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hidden="1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hidden="1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hidden="1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hidden="1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hidden="1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hidden="1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hidden="1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hidden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Alabama,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Alabama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hidden="1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hidden="1" x14ac:dyDescent="0.3">
      <c r="T204" t="str">
        <f t="shared" si="66"/>
        <v/>
      </c>
    </row>
    <row r="205" spans="20:86" hidden="1" x14ac:dyDescent="0.3">
      <c r="T205" t="str">
        <f t="shared" si="66"/>
        <v/>
      </c>
      <c r="X205" t="s">
        <v>53</v>
      </c>
    </row>
    <row r="206" spans="20:86" hidden="1" x14ac:dyDescent="0.3">
      <c r="X206" t="s">
        <v>498</v>
      </c>
    </row>
    <row r="207" spans="20:86" hidden="1" x14ac:dyDescent="0.3">
      <c r="X207" t="s">
        <v>74</v>
      </c>
    </row>
    <row r="208" spans="20:86" hidden="1" x14ac:dyDescent="0.3">
      <c r="X208" t="s">
        <v>121</v>
      </c>
    </row>
    <row r="209" spans="24:24" hidden="1" x14ac:dyDescent="0.3">
      <c r="X209" t="s">
        <v>50</v>
      </c>
    </row>
    <row r="210" spans="24:24" hidden="1" x14ac:dyDescent="0.3">
      <c r="X210" t="s">
        <v>112</v>
      </c>
    </row>
    <row r="211" spans="24:24" hidden="1" x14ac:dyDescent="0.3">
      <c r="X211" t="s">
        <v>103</v>
      </c>
    </row>
    <row r="212" spans="24:24" hidden="1" x14ac:dyDescent="0.3">
      <c r="X212" t="s">
        <v>499</v>
      </c>
    </row>
    <row r="213" spans="24:24" hidden="1" x14ac:dyDescent="0.3">
      <c r="X213" t="s">
        <v>500</v>
      </c>
    </row>
    <row r="214" spans="24:24" hidden="1" x14ac:dyDescent="0.3">
      <c r="X214" t="s">
        <v>74</v>
      </c>
    </row>
    <row r="215" spans="24:24" hidden="1" x14ac:dyDescent="0.3">
      <c r="X215" t="s">
        <v>501</v>
      </c>
    </row>
    <row r="216" spans="24:24" hidden="1" x14ac:dyDescent="0.3">
      <c r="X216" t="s">
        <v>139</v>
      </c>
    </row>
    <row r="217" spans="24:24" hidden="1" x14ac:dyDescent="0.3">
      <c r="X217" t="s">
        <v>83</v>
      </c>
    </row>
    <row r="218" spans="24:24" hidden="1" x14ac:dyDescent="0.3">
      <c r="X218" t="s">
        <v>502</v>
      </c>
    </row>
    <row r="219" spans="24:24" hidden="1" x14ac:dyDescent="0.3">
      <c r="X219" t="s">
        <v>47</v>
      </c>
    </row>
    <row r="220" spans="24:24" hidden="1" x14ac:dyDescent="0.3">
      <c r="X220" t="s">
        <v>112</v>
      </c>
    </row>
    <row r="221" spans="24:24" hidden="1" x14ac:dyDescent="0.3">
      <c r="X221" t="s">
        <v>503</v>
      </c>
    </row>
    <row r="222" spans="24:24" hidden="1" x14ac:dyDescent="0.3">
      <c r="X222" t="s">
        <v>270</v>
      </c>
    </row>
    <row r="223" spans="24:24" hidden="1" x14ac:dyDescent="0.3">
      <c r="X223" t="s">
        <v>504</v>
      </c>
    </row>
    <row r="224" spans="24:24" hidden="1" x14ac:dyDescent="0.3">
      <c r="X224" t="s">
        <v>139</v>
      </c>
    </row>
    <row r="225" spans="24:24" hidden="1" x14ac:dyDescent="0.3">
      <c r="X225" t="s">
        <v>112</v>
      </c>
    </row>
    <row r="226" spans="24:24" hidden="1" x14ac:dyDescent="0.3">
      <c r="X226" t="s">
        <v>47</v>
      </c>
    </row>
    <row r="227" spans="24:24" hidden="1" x14ac:dyDescent="0.3">
      <c r="X227" t="s">
        <v>47</v>
      </c>
    </row>
    <row r="228" spans="24:24" hidden="1" x14ac:dyDescent="0.3">
      <c r="X228" t="s">
        <v>47</v>
      </c>
    </row>
    <row r="229" spans="24:24" hidden="1" x14ac:dyDescent="0.3">
      <c r="X229" t="s">
        <v>505</v>
      </c>
    </row>
    <row r="230" spans="24:24" hidden="1" x14ac:dyDescent="0.3">
      <c r="X230" t="s">
        <v>139</v>
      </c>
    </row>
    <row r="231" spans="24:24" hidden="1" x14ac:dyDescent="0.3">
      <c r="X231" t="s">
        <v>506</v>
      </c>
    </row>
    <row r="232" spans="24:24" hidden="1" x14ac:dyDescent="0.3">
      <c r="X232" t="s">
        <v>507</v>
      </c>
    </row>
    <row r="233" spans="24:24" hidden="1" x14ac:dyDescent="0.3">
      <c r="X233" t="s">
        <v>100</v>
      </c>
    </row>
    <row r="234" spans="24:24" hidden="1" x14ac:dyDescent="0.3">
      <c r="X234" t="s">
        <v>508</v>
      </c>
    </row>
    <row r="235" spans="24:24" hidden="1" x14ac:dyDescent="0.3">
      <c r="X235" t="s">
        <v>100</v>
      </c>
    </row>
    <row r="236" spans="24:24" hidden="1" x14ac:dyDescent="0.3">
      <c r="X236" t="s">
        <v>83</v>
      </c>
    </row>
    <row r="237" spans="24:24" hidden="1" x14ac:dyDescent="0.3">
      <c r="X237" t="s">
        <v>67</v>
      </c>
    </row>
    <row r="238" spans="24:24" hidden="1" x14ac:dyDescent="0.3">
      <c r="X238" t="s">
        <v>71</v>
      </c>
    </row>
    <row r="239" spans="24:24" hidden="1" x14ac:dyDescent="0.3">
      <c r="X239" t="s">
        <v>18</v>
      </c>
    </row>
    <row r="240" spans="24:24" hidden="1" x14ac:dyDescent="0.3">
      <c r="X240" t="s">
        <v>157</v>
      </c>
    </row>
    <row r="241" spans="24:24" hidden="1" x14ac:dyDescent="0.3">
      <c r="X241" t="s">
        <v>509</v>
      </c>
    </row>
  </sheetData>
  <autoFilter ref="A1:Q241" xr:uid="{00000000-0001-0000-0100-000000000000}">
    <filterColumn colId="14">
      <filters>
        <filter val="Alumoweld"/>
      </filters>
    </filterColumn>
  </autoFilter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TL_Geometry!$A$3:$A$65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Y201"/>
  <sheetViews>
    <sheetView workbookViewId="0">
      <pane xSplit="4" ySplit="1" topLeftCell="E20" activePane="bottomRight" state="frozen"/>
      <selection pane="topRight" activeCell="E1" sqref="E1"/>
      <selection pane="bottomLeft" activeCell="A2" sqref="A2"/>
      <selection pane="bottomRight" activeCell="B32" sqref="B32:C32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7" x14ac:dyDescent="0.3">
      <c r="A1" s="74" t="s">
        <v>545</v>
      </c>
      <c r="B1" s="74" t="s">
        <v>387</v>
      </c>
      <c r="C1" s="77" t="s">
        <v>551</v>
      </c>
      <c r="D1" s="77" t="s">
        <v>463</v>
      </c>
      <c r="E1" s="77" t="s">
        <v>462</v>
      </c>
      <c r="F1" s="74" t="s">
        <v>542</v>
      </c>
      <c r="G1" s="74" t="s">
        <v>637</v>
      </c>
      <c r="H1" s="74" t="s">
        <v>636</v>
      </c>
      <c r="I1" s="74" t="s">
        <v>388</v>
      </c>
      <c r="J1" s="74" t="s">
        <v>389</v>
      </c>
      <c r="K1" s="74" t="s">
        <v>544</v>
      </c>
      <c r="L1" s="74" t="s">
        <v>543</v>
      </c>
      <c r="M1" s="74" t="s">
        <v>604</v>
      </c>
      <c r="N1" s="74" t="s">
        <v>605</v>
      </c>
      <c r="O1" s="74" t="s">
        <v>605</v>
      </c>
      <c r="P1" s="74"/>
      <c r="Q1" t="s">
        <v>495</v>
      </c>
    </row>
    <row r="2" spans="1:17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4" si="0">_xlfn.CONCAT(A2,B2)</f>
        <v>ACSRWaxwing</v>
      </c>
    </row>
    <row r="3" spans="1:17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</row>
    <row r="4" spans="1:17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</row>
    <row r="5" spans="1:17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ref="Q5" si="1">_xlfn.CONCAT(A5,B5)</f>
        <v>ACSRLinnet</v>
      </c>
    </row>
    <row r="6" spans="1:17" x14ac:dyDescent="0.3">
      <c r="A6" t="s">
        <v>230</v>
      </c>
      <c r="B6" t="s">
        <v>666</v>
      </c>
      <c r="C6">
        <v>336.4</v>
      </c>
      <c r="D6" t="s">
        <v>429</v>
      </c>
      <c r="E6">
        <v>0.72099999999999997</v>
      </c>
      <c r="F6" s="84">
        <v>5.0599999999999999E-2</v>
      </c>
      <c r="G6" s="84">
        <v>5.1700000000000003E-2</v>
      </c>
      <c r="H6" s="84">
        <v>5.6800000000000003E-2</v>
      </c>
      <c r="I6" s="84">
        <v>5.7954545454545398E-2</v>
      </c>
      <c r="J6" s="84">
        <v>0.54900000000000004</v>
      </c>
      <c r="K6" s="84">
        <v>8.5400000000000004E-2</v>
      </c>
      <c r="L6">
        <v>530</v>
      </c>
      <c r="Q6" t="str">
        <f t="shared" si="0"/>
        <v>ACSRLinnet_EX_K4_1</v>
      </c>
    </row>
    <row r="7" spans="1:17" x14ac:dyDescent="0.3">
      <c r="A7" t="s">
        <v>230</v>
      </c>
      <c r="B7" t="s">
        <v>367</v>
      </c>
      <c r="C7" s="75">
        <v>336.4</v>
      </c>
      <c r="D7" t="s">
        <v>422</v>
      </c>
      <c r="E7">
        <v>0.74099999999999999</v>
      </c>
      <c r="F7" s="84">
        <v>5.0200000000000002E-2</v>
      </c>
      <c r="G7" s="84">
        <v>5.1299999999999998E-2</v>
      </c>
      <c r="H7" s="84">
        <v>5.6300000000000003E-2</v>
      </c>
      <c r="I7" s="84">
        <v>6.1400000000000003E-2</v>
      </c>
      <c r="J7" s="84">
        <v>0.54400000000000004</v>
      </c>
      <c r="K7" s="84">
        <v>8.43E-2</v>
      </c>
      <c r="L7">
        <v>530</v>
      </c>
      <c r="Q7" t="str">
        <f t="shared" si="0"/>
        <v>ACSROriole</v>
      </c>
    </row>
    <row r="8" spans="1:17" x14ac:dyDescent="0.3">
      <c r="A8" t="s">
        <v>230</v>
      </c>
      <c r="B8" t="s">
        <v>368</v>
      </c>
      <c r="C8">
        <v>397.5</v>
      </c>
      <c r="D8" t="s">
        <v>456</v>
      </c>
      <c r="E8">
        <v>0.74299999999999999</v>
      </c>
      <c r="F8" s="84">
        <v>4.3200000000000002E-2</v>
      </c>
      <c r="G8" s="84">
        <v>4.4299999999999999E-2</v>
      </c>
      <c r="H8" s="84">
        <v>4.87E-2</v>
      </c>
      <c r="I8" s="84">
        <v>5.28E-2</v>
      </c>
      <c r="J8" s="84">
        <v>0.54400000000000004</v>
      </c>
      <c r="K8" s="84">
        <v>8.5599999999999996E-2</v>
      </c>
      <c r="L8">
        <v>575</v>
      </c>
      <c r="Q8" t="str">
        <f t="shared" si="0"/>
        <v>ACSRChickadee</v>
      </c>
    </row>
    <row r="9" spans="1:17" x14ac:dyDescent="0.3">
      <c r="A9" t="s">
        <v>230</v>
      </c>
      <c r="B9" t="s">
        <v>369</v>
      </c>
      <c r="C9">
        <v>397.5</v>
      </c>
      <c r="D9" t="s">
        <v>429</v>
      </c>
      <c r="E9">
        <v>0.78300000000000003</v>
      </c>
      <c r="F9" s="84">
        <v>4.2799999999999998E-2</v>
      </c>
      <c r="G9" s="84">
        <v>4.3799999999999999E-2</v>
      </c>
      <c r="H9" s="84">
        <v>4.8099999999999997E-2</v>
      </c>
      <c r="I9" s="84">
        <v>5.2499999999999998E-2</v>
      </c>
      <c r="J9" s="84">
        <v>0.53900000000000003</v>
      </c>
      <c r="K9" s="84">
        <v>8.3500000000000005E-2</v>
      </c>
      <c r="L9">
        <v>590</v>
      </c>
      <c r="Q9" t="str">
        <f t="shared" si="0"/>
        <v>ACSRIbis</v>
      </c>
    </row>
    <row r="10" spans="1:17" x14ac:dyDescent="0.3">
      <c r="A10" t="s">
        <v>230</v>
      </c>
      <c r="B10" t="s">
        <v>452</v>
      </c>
      <c r="C10">
        <v>477</v>
      </c>
      <c r="D10" t="s">
        <v>456</v>
      </c>
      <c r="E10">
        <v>0.81399999999999995</v>
      </c>
      <c r="F10" s="84">
        <v>3.5999999999999997E-2</v>
      </c>
      <c r="G10" s="84">
        <v>3.6900000000000002E-2</v>
      </c>
      <c r="H10" s="84">
        <v>4.0500000000000001E-2</v>
      </c>
      <c r="I10" s="84">
        <v>4.41E-2</v>
      </c>
      <c r="J10" s="84">
        <v>0.52800000000000002</v>
      </c>
      <c r="K10" s="84">
        <v>8.3500000000000005E-2</v>
      </c>
      <c r="L10">
        <v>640</v>
      </c>
      <c r="Q10" t="str">
        <f t="shared" si="0"/>
        <v>ACSRPelican</v>
      </c>
    </row>
    <row r="11" spans="1:17" x14ac:dyDescent="0.3">
      <c r="A11" t="s">
        <v>230</v>
      </c>
      <c r="B11" t="s">
        <v>370</v>
      </c>
      <c r="C11">
        <v>477</v>
      </c>
      <c r="D11" t="s">
        <v>457</v>
      </c>
      <c r="E11">
        <v>0.84599999999999997</v>
      </c>
      <c r="F11" s="84">
        <v>3.5799999999999998E-2</v>
      </c>
      <c r="G11" s="84">
        <v>3.6700000000000003E-2</v>
      </c>
      <c r="H11" s="84">
        <v>4.0300000000000002E-2</v>
      </c>
      <c r="I11" s="84">
        <v>4.3900000000000002E-2</v>
      </c>
      <c r="J11" s="84">
        <v>0.52400000000000002</v>
      </c>
      <c r="K11" s="84">
        <v>8.1799999999999998E-2</v>
      </c>
      <c r="L11">
        <v>670</v>
      </c>
      <c r="Q11" t="str">
        <f t="shared" si="0"/>
        <v>ACSRFlicker</v>
      </c>
    </row>
    <row r="12" spans="1:17" x14ac:dyDescent="0.3">
      <c r="A12" t="s">
        <v>230</v>
      </c>
      <c r="B12" t="s">
        <v>451</v>
      </c>
      <c r="C12">
        <v>477</v>
      </c>
      <c r="D12" t="s">
        <v>429</v>
      </c>
      <c r="E12">
        <v>0.85799999999999998</v>
      </c>
      <c r="F12" s="84">
        <v>3.5700000000000003E-2</v>
      </c>
      <c r="G12" s="84">
        <v>3.6600000000000001E-2</v>
      </c>
      <c r="H12" s="84">
        <v>4.02E-2</v>
      </c>
      <c r="I12" s="84">
        <v>4.3799999999999999E-2</v>
      </c>
      <c r="J12" s="84">
        <v>0.52200000000000002</v>
      </c>
      <c r="K12" s="84">
        <v>8.14E-2</v>
      </c>
      <c r="L12">
        <v>660</v>
      </c>
      <c r="Q12" t="str">
        <f t="shared" si="0"/>
        <v>ACSRHawk</v>
      </c>
    </row>
    <row r="13" spans="1:17" x14ac:dyDescent="0.3">
      <c r="A13" t="s">
        <v>230</v>
      </c>
      <c r="B13" t="s">
        <v>371</v>
      </c>
      <c r="C13">
        <v>477</v>
      </c>
      <c r="D13" t="s">
        <v>422</v>
      </c>
      <c r="E13">
        <v>0.88300000000000001</v>
      </c>
      <c r="F13" s="84">
        <v>3.5400000000000001E-2</v>
      </c>
      <c r="G13" s="84">
        <v>3.6200000000000003E-2</v>
      </c>
      <c r="H13" s="84">
        <v>3.9800000000000002E-2</v>
      </c>
      <c r="I13" s="84">
        <v>4.3400000000000001E-2</v>
      </c>
      <c r="J13" s="84">
        <v>0.51700000000000002</v>
      </c>
      <c r="K13" s="84">
        <v>8.0299999999999996E-2</v>
      </c>
      <c r="L13">
        <v>660</v>
      </c>
      <c r="Q13" t="str">
        <f t="shared" si="0"/>
        <v>ACSRHen</v>
      </c>
    </row>
    <row r="14" spans="1:17" x14ac:dyDescent="0.3">
      <c r="A14" t="s">
        <v>230</v>
      </c>
      <c r="B14" t="s">
        <v>372</v>
      </c>
      <c r="C14">
        <v>556.5</v>
      </c>
      <c r="D14" t="s">
        <v>456</v>
      </c>
      <c r="E14">
        <v>0.879</v>
      </c>
      <c r="F14" s="84">
        <v>3.09E-2</v>
      </c>
      <c r="G14" s="84">
        <v>3.1800000000000002E-2</v>
      </c>
      <c r="H14" s="84">
        <v>3.4799999999999998E-2</v>
      </c>
      <c r="I14" s="84">
        <v>3.7900000000000003E-2</v>
      </c>
      <c r="J14" s="84">
        <v>0.51800000000000002</v>
      </c>
      <c r="K14" s="84">
        <v>8.1799999999999998E-2</v>
      </c>
      <c r="L14">
        <v>710</v>
      </c>
      <c r="Q14" t="str">
        <f t="shared" si="0"/>
        <v>ACSROsprey</v>
      </c>
    </row>
    <row r="15" spans="1:17" x14ac:dyDescent="0.3">
      <c r="A15" t="s">
        <v>230</v>
      </c>
      <c r="B15" t="s">
        <v>373</v>
      </c>
      <c r="C15">
        <v>556.5</v>
      </c>
      <c r="D15" t="s">
        <v>457</v>
      </c>
      <c r="E15">
        <v>0.91400000000000003</v>
      </c>
      <c r="F15" s="84">
        <v>3.0700000000000002E-2</v>
      </c>
      <c r="G15" s="84">
        <v>3.1399999999999997E-2</v>
      </c>
      <c r="H15" s="84">
        <v>3.4700000000000002E-2</v>
      </c>
      <c r="I15" s="84">
        <v>3.7699999999999997E-2</v>
      </c>
      <c r="J15" s="84">
        <v>0.51200000000000001</v>
      </c>
      <c r="K15" s="84">
        <v>8.0100000000000005E-2</v>
      </c>
      <c r="L15">
        <v>720</v>
      </c>
      <c r="Q15" t="str">
        <f t="shared" si="0"/>
        <v>ACSRParakeet</v>
      </c>
    </row>
    <row r="16" spans="1:17" x14ac:dyDescent="0.3">
      <c r="A16" t="s">
        <v>230</v>
      </c>
      <c r="B16" t="s">
        <v>374</v>
      </c>
      <c r="C16">
        <v>556.5</v>
      </c>
      <c r="D16" t="s">
        <v>429</v>
      </c>
      <c r="E16">
        <v>0.92700000000000005</v>
      </c>
      <c r="F16" s="84">
        <v>3.0499999999999999E-2</v>
      </c>
      <c r="G16" s="84">
        <v>3.1399999999999997E-2</v>
      </c>
      <c r="H16" s="84">
        <v>3.4500000000000003E-2</v>
      </c>
      <c r="I16" s="84">
        <v>3.7499999999999999E-2</v>
      </c>
      <c r="J16" s="84">
        <v>0.51</v>
      </c>
      <c r="K16" s="84">
        <v>7.9500000000000001E-2</v>
      </c>
      <c r="L16">
        <v>730</v>
      </c>
      <c r="Q16" t="str">
        <f t="shared" si="0"/>
        <v>ACSRDove</v>
      </c>
    </row>
    <row r="17" spans="1:25" x14ac:dyDescent="0.3">
      <c r="A17" t="s">
        <v>230</v>
      </c>
      <c r="B17" t="s">
        <v>375</v>
      </c>
      <c r="C17">
        <v>636</v>
      </c>
      <c r="D17" t="s">
        <v>457</v>
      </c>
      <c r="E17">
        <v>0.97699999999999998</v>
      </c>
      <c r="F17" s="84">
        <v>2.6800000000000001E-2</v>
      </c>
      <c r="G17" s="84">
        <v>2.7699999999999999E-2</v>
      </c>
      <c r="H17" s="84">
        <v>3.0300000000000001E-2</v>
      </c>
      <c r="I17" s="84">
        <v>3.3000000000000002E-2</v>
      </c>
      <c r="J17" s="84">
        <v>0.502</v>
      </c>
      <c r="K17" s="84">
        <v>7.8600000000000003E-2</v>
      </c>
      <c r="L17">
        <v>780</v>
      </c>
      <c r="Q17" t="str">
        <f t="shared" si="0"/>
        <v>ACSRRook</v>
      </c>
    </row>
    <row r="18" spans="1:25" x14ac:dyDescent="0.3">
      <c r="A18" t="s">
        <v>230</v>
      </c>
      <c r="B18" t="s">
        <v>376</v>
      </c>
      <c r="C18">
        <v>636</v>
      </c>
      <c r="D18" t="s">
        <v>429</v>
      </c>
      <c r="E18">
        <v>0.99</v>
      </c>
      <c r="F18" s="84">
        <v>2.6700000000000002E-2</v>
      </c>
      <c r="G18" s="84">
        <v>2.75E-2</v>
      </c>
      <c r="H18" s="84">
        <v>3.0099999999999998E-2</v>
      </c>
      <c r="I18" s="84">
        <v>3.2800000000000003E-2</v>
      </c>
      <c r="J18" s="84">
        <v>0.499</v>
      </c>
      <c r="K18" s="84">
        <v>7.8E-2</v>
      </c>
      <c r="L18">
        <v>790</v>
      </c>
      <c r="Q18" t="str">
        <f t="shared" si="0"/>
        <v>ACSRGrosbeak</v>
      </c>
    </row>
    <row r="19" spans="1:25" x14ac:dyDescent="0.3">
      <c r="A19" t="s">
        <v>230</v>
      </c>
      <c r="B19" t="s">
        <v>377</v>
      </c>
      <c r="C19">
        <v>795</v>
      </c>
      <c r="D19" t="s">
        <v>429</v>
      </c>
      <c r="E19">
        <v>1.1080000000000001</v>
      </c>
      <c r="F19" s="84">
        <v>2.1399999999999999E-2</v>
      </c>
      <c r="G19" s="84">
        <v>2.2200000000000001E-2</v>
      </c>
      <c r="H19" s="84">
        <v>2.4199999999999999E-2</v>
      </c>
      <c r="I19" s="84">
        <v>2.63E-2</v>
      </c>
      <c r="J19" s="84">
        <v>0.48199999999999998</v>
      </c>
      <c r="K19" s="84">
        <v>7.5600000000000001E-2</v>
      </c>
      <c r="L19">
        <v>910</v>
      </c>
      <c r="Q19" t="str">
        <f t="shared" si="0"/>
        <v>ACSRDrake</v>
      </c>
    </row>
    <row r="20" spans="1:25" x14ac:dyDescent="0.3">
      <c r="A20" t="s">
        <v>230</v>
      </c>
      <c r="B20" t="s">
        <v>378</v>
      </c>
      <c r="C20">
        <v>795</v>
      </c>
      <c r="D20" t="s">
        <v>406</v>
      </c>
      <c r="E20">
        <v>1.0629999999999999</v>
      </c>
      <c r="F20" s="84">
        <v>2.1600000000000001E-2</v>
      </c>
      <c r="G20" s="84">
        <v>2.2499999999999999E-2</v>
      </c>
      <c r="H20" s="84">
        <v>2.46E-2</v>
      </c>
      <c r="I20" s="84">
        <v>2.6700000000000002E-2</v>
      </c>
      <c r="J20" s="84">
        <v>0.48799999999999999</v>
      </c>
      <c r="K20" s="84">
        <v>7.6899999999999996E-2</v>
      </c>
      <c r="L20">
        <v>890</v>
      </c>
      <c r="Q20" t="str">
        <f t="shared" si="0"/>
        <v>ACSRTern</v>
      </c>
    </row>
    <row r="21" spans="1:25" x14ac:dyDescent="0.3">
      <c r="A21" t="s">
        <v>230</v>
      </c>
      <c r="B21" t="s">
        <v>379</v>
      </c>
      <c r="C21">
        <v>954</v>
      </c>
      <c r="D21" t="s">
        <v>406</v>
      </c>
      <c r="E21">
        <v>1.165</v>
      </c>
      <c r="F21" s="84">
        <v>1.7999999999999999E-2</v>
      </c>
      <c r="G21" s="84">
        <v>1.8800000000000001E-2</v>
      </c>
      <c r="H21" s="84">
        <v>2.06E-2</v>
      </c>
      <c r="I21" s="84">
        <v>2.23E-2</v>
      </c>
      <c r="J21" s="84">
        <v>0.47399999999999998</v>
      </c>
      <c r="K21" s="84">
        <v>7.4800000000000005E-2</v>
      </c>
      <c r="L21">
        <v>970</v>
      </c>
      <c r="Q21" t="str">
        <f t="shared" si="0"/>
        <v>ACSRRail</v>
      </c>
    </row>
    <row r="22" spans="1:25" x14ac:dyDescent="0.3">
      <c r="A22" t="s">
        <v>230</v>
      </c>
      <c r="B22" t="s">
        <v>380</v>
      </c>
      <c r="C22">
        <v>954</v>
      </c>
      <c r="D22" t="s">
        <v>415</v>
      </c>
      <c r="E22">
        <v>1.196</v>
      </c>
      <c r="F22" s="84">
        <v>1.7899999999999999E-2</v>
      </c>
      <c r="G22" s="84">
        <v>1.8599999999999998E-2</v>
      </c>
      <c r="H22" s="84">
        <v>2.0500000000000001E-2</v>
      </c>
      <c r="I22" s="84">
        <v>2.2200000000000001E-2</v>
      </c>
      <c r="J22" s="84">
        <v>0.47</v>
      </c>
      <c r="K22" s="84">
        <v>7.3700000000000002E-2</v>
      </c>
      <c r="L22">
        <v>990</v>
      </c>
      <c r="Q22" t="str">
        <f t="shared" si="0"/>
        <v>ACSRCardinal</v>
      </c>
      <c r="Y22">
        <f t="shared" ref="Y22:Y32" si="2">(1.779/60)*LN(1/(E22*0.5/12))*5.28</f>
        <v>0.46951059056034328</v>
      </c>
    </row>
    <row r="23" spans="1:25" s="81" customFormat="1" x14ac:dyDescent="0.3">
      <c r="A23" s="81" t="s">
        <v>230</v>
      </c>
      <c r="B23" s="81" t="s">
        <v>447</v>
      </c>
      <c r="C23" s="81">
        <v>1033.5</v>
      </c>
      <c r="D23" s="81" t="s">
        <v>406</v>
      </c>
      <c r="E23" s="81">
        <v>1.2130000000000001</v>
      </c>
      <c r="F23" s="87">
        <f>0.0167</f>
        <v>1.67E-2</v>
      </c>
      <c r="G23" s="87">
        <f>0.0924/5.28</f>
        <v>1.7499999999999998E-2</v>
      </c>
      <c r="H23" s="87">
        <f>0.1011/5.28</f>
        <v>1.9147727272727271E-2</v>
      </c>
      <c r="I23" s="89">
        <v>2.1000000000000001E-2</v>
      </c>
      <c r="J23" s="87">
        <f>0.0885*5.28</f>
        <v>0.46727999999999997</v>
      </c>
      <c r="K23" s="87">
        <f>0.39*(1/5.28)</f>
        <v>7.3863636363636367E-2</v>
      </c>
      <c r="L23" s="81">
        <v>1030</v>
      </c>
      <c r="Q23" t="str">
        <f t="shared" si="0"/>
        <v>ACSROrtolan</v>
      </c>
      <c r="U23" s="81" t="s">
        <v>458</v>
      </c>
      <c r="W23" s="78" t="s">
        <v>486</v>
      </c>
      <c r="Y23">
        <f t="shared" si="2"/>
        <v>0.46730101963483411</v>
      </c>
    </row>
    <row r="24" spans="1:25" s="83" customFormat="1" x14ac:dyDescent="0.3">
      <c r="A24" s="83" t="s">
        <v>230</v>
      </c>
      <c r="B24" s="83" t="s">
        <v>381</v>
      </c>
      <c r="C24" s="83">
        <v>1033.5</v>
      </c>
      <c r="D24" s="83" t="s">
        <v>415</v>
      </c>
      <c r="E24" s="83">
        <v>1.246</v>
      </c>
      <c r="F24" s="88">
        <v>1.6500000000000001E-2</v>
      </c>
      <c r="G24" s="88">
        <v>1.72E-2</v>
      </c>
      <c r="H24" s="88">
        <v>1.89E-2</v>
      </c>
      <c r="I24" s="88">
        <v>2.0500000000000001E-2</v>
      </c>
      <c r="J24" s="88">
        <v>0.46400000000000002</v>
      </c>
      <c r="K24" s="88">
        <v>7.2900000000000006E-2</v>
      </c>
      <c r="L24" s="83">
        <v>1040</v>
      </c>
      <c r="Q24" t="str">
        <f t="shared" si="0"/>
        <v>ACSRCurlew</v>
      </c>
      <c r="U24" s="83" t="s">
        <v>459</v>
      </c>
      <c r="Y24">
        <f t="shared" si="2"/>
        <v>0.46309888366360913</v>
      </c>
    </row>
    <row r="25" spans="1:25" x14ac:dyDescent="0.3">
      <c r="A25" t="s">
        <v>230</v>
      </c>
      <c r="B25" t="s">
        <v>382</v>
      </c>
      <c r="C25">
        <v>1113</v>
      </c>
      <c r="D25" t="s">
        <v>406</v>
      </c>
      <c r="E25" s="79">
        <v>1.2589999999999999</v>
      </c>
      <c r="F25" s="84">
        <v>1.55E-2</v>
      </c>
      <c r="G25" s="84">
        <v>1.6299999999999999E-2</v>
      </c>
      <c r="H25" s="84">
        <v>1.78E-2</v>
      </c>
      <c r="I25" s="84">
        <v>1.9300000000000001E-2</v>
      </c>
      <c r="J25" s="84">
        <v>0.46100000000000002</v>
      </c>
      <c r="K25" s="84">
        <v>7.3099999999999998E-2</v>
      </c>
      <c r="L25">
        <v>1070</v>
      </c>
      <c r="Q25" t="str">
        <f t="shared" si="0"/>
        <v>ACSRBluejay</v>
      </c>
      <c r="Y25">
        <f t="shared" si="2"/>
        <v>0.46147397805813245</v>
      </c>
    </row>
    <row r="26" spans="1:25" s="81" customFormat="1" x14ac:dyDescent="0.3">
      <c r="A26" s="81" t="s">
        <v>230</v>
      </c>
      <c r="B26" s="81" t="s">
        <v>449</v>
      </c>
      <c r="C26" s="81">
        <v>1113</v>
      </c>
      <c r="D26" s="81" t="s">
        <v>410</v>
      </c>
      <c r="E26" s="81">
        <v>1.2929999999999999</v>
      </c>
      <c r="F26" s="87">
        <v>1.55E-2</v>
      </c>
      <c r="G26" s="87">
        <f>0.0856/5.28</f>
        <v>1.6212121212121209E-2</v>
      </c>
      <c r="H26" s="87">
        <f>0.0937/5.28</f>
        <v>1.7746212121212121E-2</v>
      </c>
      <c r="I26" s="89">
        <v>0.02</v>
      </c>
      <c r="J26" s="87">
        <f>0.0866*5.28</f>
        <v>0.45724799999999999</v>
      </c>
      <c r="K26" s="87">
        <f>0.38*(1/5.28)</f>
        <v>7.1969696969696975E-2</v>
      </c>
      <c r="L26">
        <v>1070</v>
      </c>
      <c r="M26"/>
      <c r="N26"/>
      <c r="O26"/>
      <c r="P26"/>
      <c r="Q26" t="str">
        <f t="shared" si="0"/>
        <v>ACSRFinch</v>
      </c>
      <c r="U26" s="81" t="s">
        <v>458</v>
      </c>
      <c r="W26" s="78" t="s">
        <v>486</v>
      </c>
      <c r="Y26">
        <f t="shared" si="2"/>
        <v>0.45730228294635122</v>
      </c>
    </row>
    <row r="27" spans="1:25" x14ac:dyDescent="0.3">
      <c r="A27" t="s">
        <v>230</v>
      </c>
      <c r="B27" t="s">
        <v>383</v>
      </c>
      <c r="C27">
        <v>1272</v>
      </c>
      <c r="D27" t="s">
        <v>406</v>
      </c>
      <c r="E27">
        <v>1.345</v>
      </c>
      <c r="F27" s="84">
        <v>1.35E-2</v>
      </c>
      <c r="G27" s="84">
        <v>1.44E-2</v>
      </c>
      <c r="H27" s="84">
        <v>1.5699999999999999E-2</v>
      </c>
      <c r="I27" s="84">
        <v>1.7000000000000001E-2</v>
      </c>
      <c r="J27" s="84">
        <v>0.45100000000000001</v>
      </c>
      <c r="K27" s="84">
        <v>7.1599999999999997E-2</v>
      </c>
      <c r="L27">
        <v>1160</v>
      </c>
      <c r="Q27" t="str">
        <f t="shared" si="0"/>
        <v>ACSRBittern</v>
      </c>
      <c r="Y27">
        <f t="shared" si="2"/>
        <v>0.45112960771703275</v>
      </c>
    </row>
    <row r="28" spans="1:25" s="81" customFormat="1" x14ac:dyDescent="0.3">
      <c r="A28" s="81" t="s">
        <v>230</v>
      </c>
      <c r="B28" s="81" t="s">
        <v>460</v>
      </c>
      <c r="C28" s="81">
        <v>1272</v>
      </c>
      <c r="D28" s="81" t="s">
        <v>410</v>
      </c>
      <c r="E28" s="81">
        <v>1.3819999999999999</v>
      </c>
      <c r="F28" s="87">
        <v>1.35E-2</v>
      </c>
      <c r="G28" s="87">
        <f>0.0751/5.28</f>
        <v>1.4223484848484848E-2</v>
      </c>
      <c r="H28" s="87">
        <f>0.0821/5.28</f>
        <v>1.5549242424242425E-2</v>
      </c>
      <c r="I28" s="89">
        <v>1.7000000000000001E-2</v>
      </c>
      <c r="J28" s="87">
        <f>0.0847*5.28</f>
        <v>0.447216</v>
      </c>
      <c r="K28" s="87">
        <f>0.372*(1/5.28)</f>
        <v>7.045454545454545E-2</v>
      </c>
      <c r="L28" s="81">
        <v>1180</v>
      </c>
      <c r="Q28" t="str">
        <f t="shared" si="0"/>
        <v>ACSRPheasant</v>
      </c>
      <c r="S28"/>
      <c r="U28" s="81" t="s">
        <v>458</v>
      </c>
      <c r="W28" s="78" t="s">
        <v>486</v>
      </c>
      <c r="Y28">
        <f t="shared" si="2"/>
        <v>0.44688114458234635</v>
      </c>
    </row>
    <row r="29" spans="1:25" s="81" customFormat="1" x14ac:dyDescent="0.3">
      <c r="A29" s="81" t="s">
        <v>230</v>
      </c>
      <c r="B29" s="81" t="s">
        <v>439</v>
      </c>
      <c r="C29" s="81">
        <v>1431</v>
      </c>
      <c r="D29" s="81" t="s">
        <v>406</v>
      </c>
      <c r="E29" s="81">
        <v>1.427</v>
      </c>
      <c r="F29" s="87">
        <v>1.21E-2</v>
      </c>
      <c r="G29" s="87">
        <f>0.0684/5.28</f>
        <v>1.2954545454545455E-2</v>
      </c>
      <c r="H29" s="87">
        <f>0.0746/5.28</f>
        <v>1.4128787878787878E-2</v>
      </c>
      <c r="I29" s="89">
        <v>1.4999999999999999E-2</v>
      </c>
      <c r="J29" s="87">
        <f>0.0837*5.28</f>
        <v>0.441936</v>
      </c>
      <c r="K29" s="87">
        <f>0.371*(1/5.28)</f>
        <v>7.0265151515151517E-2</v>
      </c>
      <c r="L29" s="81">
        <v>1260</v>
      </c>
      <c r="Q29" t="str">
        <f t="shared" si="0"/>
        <v>ACSRBobolink</v>
      </c>
      <c r="S29"/>
      <c r="U29" s="81" t="s">
        <v>458</v>
      </c>
      <c r="W29" s="78" t="s">
        <v>486</v>
      </c>
      <c r="Y29">
        <f t="shared" si="2"/>
        <v>0.44186480940860945</v>
      </c>
    </row>
    <row r="30" spans="1:25" s="81" customFormat="1" x14ac:dyDescent="0.3">
      <c r="A30" s="81" t="s">
        <v>230</v>
      </c>
      <c r="B30" s="81" t="s">
        <v>461</v>
      </c>
      <c r="C30" s="81">
        <v>1431</v>
      </c>
      <c r="D30" s="81" t="s">
        <v>410</v>
      </c>
      <c r="E30" s="81">
        <v>1.4650000000000001</v>
      </c>
      <c r="F30" s="87">
        <v>1.2E-2</v>
      </c>
      <c r="G30" s="87">
        <f>0.0673/5.28</f>
        <v>1.274621212121212E-2</v>
      </c>
      <c r="H30" s="87">
        <f>0.0735/5.28</f>
        <v>1.3920454545454545E-2</v>
      </c>
      <c r="I30" s="89">
        <v>1.6E-2</v>
      </c>
      <c r="J30" s="87">
        <f>0.0829*5.28</f>
        <v>0.43771200000000005</v>
      </c>
      <c r="K30" s="87">
        <f>0.365*(1/5.28)</f>
        <v>6.9128787878787873E-2</v>
      </c>
      <c r="L30" s="81">
        <v>1270</v>
      </c>
      <c r="Q30" t="str">
        <f t="shared" si="0"/>
        <v>ACSRPlover</v>
      </c>
      <c r="S30"/>
      <c r="U30" s="81" t="s">
        <v>458</v>
      </c>
      <c r="W30" s="78" t="s">
        <v>486</v>
      </c>
      <c r="Y30">
        <f t="shared" si="2"/>
        <v>0.43775048132961991</v>
      </c>
    </row>
    <row r="31" spans="1:25" x14ac:dyDescent="0.3">
      <c r="A31" t="s">
        <v>230</v>
      </c>
      <c r="B31" t="s">
        <v>384</v>
      </c>
      <c r="C31">
        <v>1590</v>
      </c>
      <c r="D31" s="79" t="s">
        <v>406</v>
      </c>
      <c r="E31" s="79">
        <v>1.502</v>
      </c>
      <c r="F31" s="84">
        <v>1.0800000000000001E-2</v>
      </c>
      <c r="G31" s="84">
        <v>1.17E-2</v>
      </c>
      <c r="H31" s="84">
        <v>1.2800000000000001E-2</v>
      </c>
      <c r="I31" s="84">
        <v>1.38E-2</v>
      </c>
      <c r="J31" s="84">
        <v>0.434</v>
      </c>
      <c r="K31" s="84">
        <v>6.8900000000000003E-2</v>
      </c>
      <c r="L31">
        <v>1340</v>
      </c>
      <c r="Q31" t="str">
        <f t="shared" si="0"/>
        <v>ACSRLapwing</v>
      </c>
      <c r="Y31">
        <f t="shared" si="2"/>
        <v>0.43384571267784378</v>
      </c>
    </row>
    <row r="32" spans="1:25" x14ac:dyDescent="0.3">
      <c r="A32" t="s">
        <v>230</v>
      </c>
      <c r="B32" t="s">
        <v>385</v>
      </c>
      <c r="C32">
        <v>1590</v>
      </c>
      <c r="D32" s="79" t="s">
        <v>410</v>
      </c>
      <c r="E32" s="79">
        <v>1.5449999999999999</v>
      </c>
      <c r="F32" s="84">
        <v>1.0800000000000001E-2</v>
      </c>
      <c r="G32" s="84">
        <v>1.1599999999999999E-2</v>
      </c>
      <c r="H32" s="84">
        <v>1.29E-2</v>
      </c>
      <c r="I32" s="84">
        <v>1.4E-2</v>
      </c>
      <c r="J32" s="84">
        <v>0.43</v>
      </c>
      <c r="K32" s="84">
        <v>6.7799999999999999E-2</v>
      </c>
      <c r="L32">
        <v>1360</v>
      </c>
      <c r="Q32" t="str">
        <f t="shared" si="0"/>
        <v>ACSRFalcon</v>
      </c>
      <c r="Y32">
        <f t="shared" si="2"/>
        <v>0.42942682003556393</v>
      </c>
    </row>
    <row r="33" spans="1:25" x14ac:dyDescent="0.3">
      <c r="A33" t="s">
        <v>230</v>
      </c>
      <c r="B33" t="s">
        <v>386</v>
      </c>
      <c r="C33">
        <v>2156</v>
      </c>
      <c r="D33" s="79" t="s">
        <v>421</v>
      </c>
      <c r="E33" s="79">
        <v>1.762</v>
      </c>
      <c r="F33" s="84">
        <v>8.0099999999999998E-3</v>
      </c>
      <c r="G33" s="84">
        <v>9.0299999999999998E-3</v>
      </c>
      <c r="H33" s="84">
        <v>9.7699999999999992E-3</v>
      </c>
      <c r="I33" s="84">
        <v>1.0500000000000001E-2</v>
      </c>
      <c r="J33" s="84">
        <v>0.40899999999999997</v>
      </c>
      <c r="K33" s="84">
        <v>6.5199999999999994E-2</v>
      </c>
      <c r="L33">
        <v>1610</v>
      </c>
      <c r="Q33" t="str">
        <f t="shared" si="0"/>
        <v>ACSRBluebird</v>
      </c>
      <c r="Y33">
        <f>(1.779/60)*LN(1/(E33*0.5/12))*5.28</f>
        <v>0.40885187681726176</v>
      </c>
    </row>
    <row r="34" spans="1:25" x14ac:dyDescent="0.3">
      <c r="A34" t="s">
        <v>303</v>
      </c>
      <c r="B34" t="s">
        <v>390</v>
      </c>
      <c r="C34">
        <v>266.8</v>
      </c>
      <c r="D34" s="79" t="s">
        <v>484</v>
      </c>
      <c r="E34" s="81">
        <v>0.59299999999999997</v>
      </c>
      <c r="F34" s="84">
        <v>6.4799999999999996E-2</v>
      </c>
      <c r="G34" s="84">
        <v>6.6299999999999998E-2</v>
      </c>
      <c r="H34" s="84">
        <v>7.2700000000000001E-2</v>
      </c>
      <c r="I34" s="84">
        <v>7.9399999999999998E-2</v>
      </c>
      <c r="J34" s="84">
        <v>0.58099999999999996</v>
      </c>
      <c r="K34" s="84">
        <v>6.4799999999999996E-2</v>
      </c>
      <c r="L34" s="76">
        <v>445</v>
      </c>
      <c r="M34" s="98"/>
      <c r="N34" s="98"/>
      <c r="O34" s="98"/>
      <c r="P34" s="98"/>
      <c r="Q34" t="str">
        <f t="shared" si="0"/>
        <v>AACLaurel</v>
      </c>
      <c r="Y34">
        <f t="shared" ref="Y34:Y97" si="3">(1.779/60)*LN(1/(E34*0.5/12))*5.28</f>
        <v>0.57933863413195119</v>
      </c>
    </row>
    <row r="35" spans="1:25" x14ac:dyDescent="0.3">
      <c r="A35" t="s">
        <v>303</v>
      </c>
      <c r="B35" t="s">
        <v>391</v>
      </c>
      <c r="C35">
        <v>336.4</v>
      </c>
      <c r="D35" s="79" t="s">
        <v>484</v>
      </c>
      <c r="E35" s="81">
        <v>0.66600000000000004</v>
      </c>
      <c r="F35" s="84">
        <v>5.1299999999999998E-2</v>
      </c>
      <c r="G35" s="84">
        <v>5.2699999999999997E-2</v>
      </c>
      <c r="H35" s="84">
        <v>5.7799999999999997E-2</v>
      </c>
      <c r="I35" s="84">
        <v>6.2899999999999998E-2</v>
      </c>
      <c r="J35" s="84">
        <v>0.56000000000000005</v>
      </c>
      <c r="K35" s="84">
        <v>5.1299999999999998E-2</v>
      </c>
      <c r="L35" s="76">
        <v>510</v>
      </c>
      <c r="M35" s="98"/>
      <c r="N35" s="98"/>
      <c r="O35" s="98"/>
      <c r="P35" s="98"/>
      <c r="Q35" t="str">
        <f t="shared" ref="Q35:Q66" si="4">_xlfn.CONCAT(A35,B35)</f>
        <v>AACTulip</v>
      </c>
      <c r="Y35">
        <f t="shared" si="3"/>
        <v>0.56116368718140408</v>
      </c>
    </row>
    <row r="36" spans="1:25" x14ac:dyDescent="0.3">
      <c r="A36" t="s">
        <v>303</v>
      </c>
      <c r="B36" t="s">
        <v>392</v>
      </c>
      <c r="C36">
        <v>477</v>
      </c>
      <c r="D36" s="79" t="s">
        <v>484</v>
      </c>
      <c r="E36" s="81">
        <v>0.79200000000000004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4"/>
        <v>AACCosmos</v>
      </c>
      <c r="Y36">
        <f t="shared" si="3"/>
        <v>0.53403765267251102</v>
      </c>
    </row>
    <row r="37" spans="1:25" x14ac:dyDescent="0.3">
      <c r="A37" t="s">
        <v>303</v>
      </c>
      <c r="B37" t="s">
        <v>393</v>
      </c>
      <c r="C37">
        <v>477</v>
      </c>
      <c r="D37" s="79" t="s">
        <v>483</v>
      </c>
      <c r="E37" s="81">
        <v>0.79500000000000004</v>
      </c>
      <c r="F37" s="84">
        <v>3.6299999999999999E-2</v>
      </c>
      <c r="G37" s="84">
        <v>3.73E-2</v>
      </c>
      <c r="H37" s="84">
        <v>4.0899999999999999E-2</v>
      </c>
      <c r="I37" s="84">
        <v>4.4499999999999998E-2</v>
      </c>
      <c r="J37" s="84">
        <v>0.53300000000000003</v>
      </c>
      <c r="K37" s="84">
        <v>3.6299999999999999E-2</v>
      </c>
      <c r="L37" s="76">
        <v>640</v>
      </c>
      <c r="M37" s="98"/>
      <c r="N37" s="98"/>
      <c r="O37" s="98"/>
      <c r="P37" s="98"/>
      <c r="Q37" t="str">
        <f t="shared" si="4"/>
        <v>AACSyringa</v>
      </c>
      <c r="Y37">
        <f t="shared" si="3"/>
        <v>0.53344577295047813</v>
      </c>
    </row>
    <row r="38" spans="1:25" x14ac:dyDescent="0.3">
      <c r="A38" t="s">
        <v>303</v>
      </c>
      <c r="B38" t="s">
        <v>394</v>
      </c>
      <c r="C38">
        <v>500</v>
      </c>
      <c r="D38" s="79" t="s">
        <v>484</v>
      </c>
      <c r="E38" s="81">
        <v>0.81100000000000005</v>
      </c>
      <c r="F38" s="84">
        <v>3.4599999999999999E-2</v>
      </c>
      <c r="G38" s="84">
        <v>3.56E-2</v>
      </c>
      <c r="H38" s="84">
        <v>3.9E-2</v>
      </c>
      <c r="I38" s="84">
        <v>4.2599999999999999E-2</v>
      </c>
      <c r="J38" s="84">
        <v>0.53300000000000003</v>
      </c>
      <c r="K38" s="84">
        <v>3.4599999999999999E-2</v>
      </c>
      <c r="L38" s="76">
        <v>660</v>
      </c>
      <c r="M38" s="98"/>
      <c r="N38" s="98"/>
      <c r="O38" s="98"/>
      <c r="P38" s="98"/>
      <c r="Q38" t="str">
        <f t="shared" si="4"/>
        <v>AACZinnia</v>
      </c>
      <c r="Y38">
        <f t="shared" si="3"/>
        <v>0.53032632727596696</v>
      </c>
    </row>
    <row r="39" spans="1:25" x14ac:dyDescent="0.3">
      <c r="A39" t="s">
        <v>303</v>
      </c>
      <c r="B39" t="s">
        <v>395</v>
      </c>
      <c r="C39">
        <v>556.5</v>
      </c>
      <c r="D39" s="79" t="s">
        <v>484</v>
      </c>
      <c r="E39" s="81">
        <v>0.85599999999999998</v>
      </c>
      <c r="F39" s="84">
        <v>3.1099999999999999E-2</v>
      </c>
      <c r="G39" s="84">
        <v>3.2000000000000001E-2</v>
      </c>
      <c r="H39" s="84">
        <v>3.5200000000000002E-2</v>
      </c>
      <c r="I39" s="84">
        <v>3.8300000000000001E-2</v>
      </c>
      <c r="J39" s="84">
        <v>0.52200000000000002</v>
      </c>
      <c r="K39" s="84">
        <v>3.1099999999999999E-2</v>
      </c>
      <c r="L39" s="76">
        <v>700</v>
      </c>
      <c r="M39" s="98"/>
      <c r="N39" s="98"/>
      <c r="O39" s="98"/>
      <c r="P39" s="98"/>
      <c r="Q39" t="str">
        <f t="shared" si="4"/>
        <v>AACDahlia</v>
      </c>
      <c r="Y39">
        <f t="shared" si="3"/>
        <v>0.52187215575810109</v>
      </c>
    </row>
    <row r="40" spans="1:25" x14ac:dyDescent="0.3">
      <c r="A40" t="s">
        <v>303</v>
      </c>
      <c r="B40" t="s">
        <v>396</v>
      </c>
      <c r="C40">
        <v>636</v>
      </c>
      <c r="D40" s="79" t="s">
        <v>483</v>
      </c>
      <c r="E40" s="81">
        <v>0.91800000000000004</v>
      </c>
      <c r="F40" s="84">
        <v>2.7199999999999998E-2</v>
      </c>
      <c r="G40" s="84">
        <v>2.8199999999999999E-2</v>
      </c>
      <c r="H40" s="84">
        <v>3.09E-2</v>
      </c>
      <c r="I40" s="84">
        <v>3.3500000000000002E-2</v>
      </c>
      <c r="J40" s="84">
        <v>0.51100000000000001</v>
      </c>
      <c r="K40" s="84">
        <v>2.7199999999999998E-2</v>
      </c>
      <c r="L40" s="76">
        <v>760</v>
      </c>
      <c r="M40" s="98"/>
      <c r="N40" s="98"/>
      <c r="O40" s="98"/>
      <c r="P40" s="98"/>
      <c r="Q40" t="str">
        <f t="shared" si="4"/>
        <v>AACOrchid</v>
      </c>
      <c r="Y40">
        <f t="shared" si="3"/>
        <v>0.51092494178742409</v>
      </c>
    </row>
    <row r="41" spans="1:25" x14ac:dyDescent="0.3">
      <c r="A41" t="s">
        <v>303</v>
      </c>
      <c r="B41" t="s">
        <v>397</v>
      </c>
      <c r="C41">
        <v>715</v>
      </c>
      <c r="D41" s="79" t="s">
        <v>483</v>
      </c>
      <c r="E41" s="81">
        <v>0.97399999999999998</v>
      </c>
      <c r="F41" s="84">
        <v>2.41E-2</v>
      </c>
      <c r="G41" s="84">
        <v>2.5000000000000001E-2</v>
      </c>
      <c r="H41" s="84">
        <v>2.75E-2</v>
      </c>
      <c r="I41" s="84">
        <v>2.9899999999999999E-2</v>
      </c>
      <c r="J41" s="84">
        <v>0.502</v>
      </c>
      <c r="K41" s="84">
        <v>2.41E-2</v>
      </c>
      <c r="L41" s="76">
        <v>820</v>
      </c>
      <c r="M41" s="98"/>
      <c r="N41" s="98"/>
      <c r="O41" s="98"/>
      <c r="P41" s="98"/>
      <c r="Q41" t="str">
        <f t="shared" si="4"/>
        <v>AACViolet</v>
      </c>
      <c r="Y41">
        <f t="shared" si="3"/>
        <v>0.50165488527599689</v>
      </c>
    </row>
    <row r="42" spans="1:25" x14ac:dyDescent="0.3">
      <c r="A42" t="s">
        <v>303</v>
      </c>
      <c r="B42" t="s">
        <v>455</v>
      </c>
      <c r="C42">
        <v>795</v>
      </c>
      <c r="D42" s="79" t="s">
        <v>483</v>
      </c>
      <c r="E42" s="81">
        <v>1.026</v>
      </c>
      <c r="F42" s="84">
        <v>2.1700000000000001E-2</v>
      </c>
      <c r="G42" s="84">
        <v>2.2700000000000001E-2</v>
      </c>
      <c r="H42" s="84">
        <v>2.4799999999999999E-2</v>
      </c>
      <c r="I42" s="84">
        <v>2.69E-2</v>
      </c>
      <c r="J42" s="84">
        <v>0.49399999999999999</v>
      </c>
      <c r="K42" s="84">
        <v>2.1700000000000001E-2</v>
      </c>
      <c r="L42" s="76">
        <v>880</v>
      </c>
      <c r="M42" s="98"/>
      <c r="N42" s="98"/>
      <c r="O42" s="98"/>
      <c r="P42" s="98"/>
      <c r="Q42" t="str">
        <f t="shared" si="4"/>
        <v>AACArbutus</v>
      </c>
      <c r="Y42">
        <f t="shared" si="3"/>
        <v>0.49351234615964823</v>
      </c>
    </row>
    <row r="43" spans="1:25" x14ac:dyDescent="0.3">
      <c r="A43" t="s">
        <v>303</v>
      </c>
      <c r="B43" t="s">
        <v>398</v>
      </c>
      <c r="C43">
        <v>954</v>
      </c>
      <c r="D43" s="79" t="s">
        <v>483</v>
      </c>
      <c r="E43" s="81">
        <v>1.1240000000000001</v>
      </c>
      <c r="F43" s="84">
        <v>1.8100000000000002E-2</v>
      </c>
      <c r="G43" s="84">
        <v>1.9099999999999999E-2</v>
      </c>
      <c r="H43" s="84">
        <v>2.0799999999999999E-2</v>
      </c>
      <c r="I43" s="84">
        <v>2.2700000000000001E-2</v>
      </c>
      <c r="J43" s="84">
        <v>0.47899999999999998</v>
      </c>
      <c r="K43" s="84">
        <v>1.8100000000000002E-2</v>
      </c>
      <c r="L43" s="76">
        <v>980</v>
      </c>
      <c r="M43" s="98"/>
      <c r="N43" s="98"/>
      <c r="O43" s="98"/>
      <c r="P43" s="98"/>
      <c r="Q43" t="str">
        <f t="shared" si="4"/>
        <v>AACMagnolia</v>
      </c>
      <c r="Y43">
        <f t="shared" si="3"/>
        <v>0.47923073266826544</v>
      </c>
    </row>
    <row r="44" spans="1:25" x14ac:dyDescent="0.3">
      <c r="A44" t="s">
        <v>303</v>
      </c>
      <c r="B44" t="s">
        <v>399</v>
      </c>
      <c r="C44">
        <v>1033.5</v>
      </c>
      <c r="D44" s="79" t="s">
        <v>483</v>
      </c>
      <c r="E44" s="81">
        <v>1.17</v>
      </c>
      <c r="F44" s="84">
        <v>1.67E-2</v>
      </c>
      <c r="G44" s="84">
        <v>1.77E-2</v>
      </c>
      <c r="H44" s="84">
        <v>1.9300000000000001E-2</v>
      </c>
      <c r="I44" s="84">
        <v>2.1000000000000001E-2</v>
      </c>
      <c r="J44" s="84">
        <v>0.47299999999999998</v>
      </c>
      <c r="K44" s="84">
        <v>1.67E-2</v>
      </c>
      <c r="L44" s="76">
        <v>1030</v>
      </c>
      <c r="M44" s="98"/>
      <c r="N44" s="98"/>
      <c r="O44" s="98"/>
      <c r="P44" s="98"/>
      <c r="Q44" t="str">
        <f t="shared" si="4"/>
        <v>AACBluebell</v>
      </c>
      <c r="Y44">
        <f t="shared" si="3"/>
        <v>0.47295143236498099</v>
      </c>
    </row>
    <row r="45" spans="1:25" x14ac:dyDescent="0.3">
      <c r="A45" t="s">
        <v>303</v>
      </c>
      <c r="B45" s="81" t="s">
        <v>448</v>
      </c>
      <c r="C45" s="81">
        <v>1113</v>
      </c>
      <c r="D45" s="81" t="s">
        <v>412</v>
      </c>
      <c r="E45" s="81">
        <v>1.216</v>
      </c>
      <c r="F45" s="87">
        <v>1.55E-2</v>
      </c>
      <c r="G45" s="87">
        <v>1.6500000000000001E-2</v>
      </c>
      <c r="H45" s="89">
        <v>1.9E-2</v>
      </c>
      <c r="I45" s="87">
        <v>1.95E-2</v>
      </c>
      <c r="J45" s="87">
        <v>0.46700000000000003</v>
      </c>
      <c r="K45" s="87">
        <v>7.4399999999999994E-2</v>
      </c>
      <c r="L45" s="94">
        <v>1050</v>
      </c>
      <c r="M45" s="99"/>
      <c r="N45" s="99"/>
      <c r="O45" s="99"/>
      <c r="P45" s="99"/>
      <c r="Q45" t="str">
        <f t="shared" si="4"/>
        <v>AACMarigold</v>
      </c>
      <c r="T45" s="93"/>
      <c r="Y45">
        <f t="shared" si="3"/>
        <v>0.46691431215125517</v>
      </c>
    </row>
    <row r="46" spans="1:25" x14ac:dyDescent="0.3">
      <c r="A46" t="s">
        <v>303</v>
      </c>
      <c r="B46" t="s">
        <v>400</v>
      </c>
      <c r="C46">
        <v>1351.5</v>
      </c>
      <c r="D46" s="79" t="s">
        <v>412</v>
      </c>
      <c r="E46" s="81">
        <v>1.34</v>
      </c>
      <c r="F46" s="84">
        <v>1.2800000000000001E-2</v>
      </c>
      <c r="G46" s="84">
        <v>1.38E-2</v>
      </c>
      <c r="H46" s="84">
        <v>1.5100000000000001E-2</v>
      </c>
      <c r="I46" s="84">
        <v>1.6299999999999999E-2</v>
      </c>
      <c r="J46" s="84">
        <v>0.45200000000000001</v>
      </c>
      <c r="K46" s="84">
        <v>1.2800000000000001E-2</v>
      </c>
      <c r="L46" s="76">
        <v>1210</v>
      </c>
      <c r="M46" s="98"/>
      <c r="N46" s="98"/>
      <c r="O46" s="98"/>
      <c r="P46" s="98"/>
      <c r="Q46" t="str">
        <f t="shared" si="4"/>
        <v>AACColumbine</v>
      </c>
      <c r="Y46">
        <f t="shared" si="3"/>
        <v>0.45171266984352415</v>
      </c>
    </row>
    <row r="47" spans="1:25" x14ac:dyDescent="0.3">
      <c r="A47" t="s">
        <v>303</v>
      </c>
      <c r="B47" t="s">
        <v>401</v>
      </c>
      <c r="C47">
        <v>1590</v>
      </c>
      <c r="D47" s="79" t="s">
        <v>412</v>
      </c>
      <c r="E47" s="81">
        <v>1.454</v>
      </c>
      <c r="F47" s="84">
        <v>1.2800000000000001E-2</v>
      </c>
      <c r="G47" s="84">
        <v>1.2E-2</v>
      </c>
      <c r="H47" s="84">
        <v>1.2999999999999999E-2</v>
      </c>
      <c r="I47" s="84">
        <v>1.41E-2</v>
      </c>
      <c r="J47" s="84">
        <v>0.439</v>
      </c>
      <c r="K47" s="84">
        <v>1.2800000000000001E-2</v>
      </c>
      <c r="L47" s="76">
        <v>1230</v>
      </c>
      <c r="M47" s="98"/>
      <c r="N47" s="98"/>
      <c r="O47" s="98"/>
      <c r="P47" s="98"/>
      <c r="Q47" t="str">
        <f t="shared" si="4"/>
        <v>AACCoreopsis</v>
      </c>
      <c r="Y47">
        <f t="shared" si="3"/>
        <v>0.43893039236199505</v>
      </c>
    </row>
    <row r="48" spans="1:25" x14ac:dyDescent="0.3">
      <c r="A48" t="s">
        <v>303</v>
      </c>
      <c r="B48" t="s">
        <v>402</v>
      </c>
      <c r="C48">
        <v>2000</v>
      </c>
      <c r="D48" s="79" t="s">
        <v>485</v>
      </c>
      <c r="E48" s="81">
        <v>1.63</v>
      </c>
      <c r="F48" s="84">
        <v>8.6499999999999997E-3</v>
      </c>
      <c r="G48" s="84">
        <v>9.9399999999999992E-3</v>
      </c>
      <c r="H48" s="84">
        <v>1.0699999999999999E-2</v>
      </c>
      <c r="I48" s="84">
        <v>1.15E-2</v>
      </c>
      <c r="J48" s="84">
        <v>0.42099999999999999</v>
      </c>
      <c r="K48" s="84">
        <v>8.6499999999999997E-3</v>
      </c>
      <c r="L48" s="76">
        <v>1520</v>
      </c>
      <c r="M48" s="98"/>
      <c r="N48" s="98"/>
      <c r="O48" s="98"/>
      <c r="P48" s="98"/>
      <c r="Q48" t="str">
        <f t="shared" si="4"/>
        <v>AACCowslip</v>
      </c>
      <c r="Y48">
        <f t="shared" si="3"/>
        <v>0.42104250476873906</v>
      </c>
    </row>
    <row r="49" spans="1:25" x14ac:dyDescent="0.3">
      <c r="A49" t="s">
        <v>303</v>
      </c>
      <c r="B49" t="s">
        <v>403</v>
      </c>
      <c r="C49">
        <v>2500</v>
      </c>
      <c r="D49" s="79" t="s">
        <v>485</v>
      </c>
      <c r="E49" s="81">
        <v>1.823</v>
      </c>
      <c r="F49" s="84">
        <v>6.9899999999999997E-3</v>
      </c>
      <c r="G49" s="84">
        <v>8.4499999999999992E-3</v>
      </c>
      <c r="H49" s="84">
        <v>9.0699999999999999E-3</v>
      </c>
      <c r="I49" s="84">
        <v>9.7000000000000003E-3</v>
      </c>
      <c r="J49" s="84">
        <v>0.40400000000000003</v>
      </c>
      <c r="K49" s="84">
        <v>6.9899999999999997E-3</v>
      </c>
      <c r="L49" s="76">
        <v>1700</v>
      </c>
      <c r="M49" s="98"/>
      <c r="N49" s="98"/>
      <c r="O49" s="98"/>
      <c r="P49" s="98"/>
      <c r="Q49" t="str">
        <f t="shared" si="4"/>
        <v>AACLupine</v>
      </c>
      <c r="Y49">
        <f t="shared" si="3"/>
        <v>0.40352379103034908</v>
      </c>
    </row>
    <row r="50" spans="1:25" x14ac:dyDescent="0.3">
      <c r="A50" t="s">
        <v>362</v>
      </c>
      <c r="B50" s="75" t="s">
        <v>546</v>
      </c>
      <c r="C50" s="75">
        <v>1439.2</v>
      </c>
      <c r="D50" s="75" t="s">
        <v>412</v>
      </c>
      <c r="E50" s="97">
        <v>1.3819999999999999</v>
      </c>
      <c r="F50" s="84">
        <v>1.4E-2</v>
      </c>
      <c r="G50" s="89">
        <f>F50*(1/0.983)*1.03</f>
        <v>1.4669379450661244E-2</v>
      </c>
      <c r="H50" s="89">
        <f>F50*(1/0.906)*1.03</f>
        <v>1.5916114790286977E-2</v>
      </c>
      <c r="I50" s="89">
        <f>F50*(1/0.84)*1.03</f>
        <v>1.7166666666666667E-2</v>
      </c>
      <c r="J50" s="92">
        <v>0</v>
      </c>
      <c r="K50" s="92">
        <v>0</v>
      </c>
      <c r="L50" s="90">
        <v>897</v>
      </c>
      <c r="M50" s="100"/>
      <c r="N50" s="100"/>
      <c r="O50" s="100"/>
      <c r="P50" s="100"/>
      <c r="Q50" t="str">
        <f t="shared" si="4"/>
        <v>AAAC1439_2</v>
      </c>
      <c r="V50" s="91" t="s">
        <v>512</v>
      </c>
      <c r="Y50">
        <f t="shared" si="3"/>
        <v>0.44688114458234635</v>
      </c>
    </row>
    <row r="51" spans="1:25" x14ac:dyDescent="0.3">
      <c r="A51" t="s">
        <v>362</v>
      </c>
      <c r="B51" s="75" t="s">
        <v>547</v>
      </c>
      <c r="C51" s="75">
        <v>1348.8</v>
      </c>
      <c r="D51" s="75" t="s">
        <v>412</v>
      </c>
      <c r="E51" s="97">
        <v>1.3380000000000001</v>
      </c>
      <c r="F51" s="84">
        <v>1.494E-2</v>
      </c>
      <c r="G51" s="89">
        <f t="shared" ref="G51:G61" si="5">F51*(1/0.983)*1.03</f>
        <v>1.5654323499491356E-2</v>
      </c>
      <c r="H51" s="89">
        <f t="shared" ref="H51:H61" si="6">F51*(1/0.906)*1.03</f>
        <v>1.6984768211920527E-2</v>
      </c>
      <c r="I51" s="89">
        <f t="shared" ref="I51:I61" si="7">F51*(1/0.84)*1.03</f>
        <v>1.8319285714285715E-2</v>
      </c>
      <c r="J51" s="92">
        <v>0</v>
      </c>
      <c r="K51" s="92">
        <v>0</v>
      </c>
      <c r="L51" s="90">
        <v>865</v>
      </c>
      <c r="M51" s="100"/>
      <c r="N51" s="100"/>
      <c r="O51" s="100"/>
      <c r="P51" s="100"/>
      <c r="Q51" t="str">
        <f t="shared" si="4"/>
        <v>AAAC1348_8</v>
      </c>
      <c r="Y51">
        <f t="shared" si="3"/>
        <v>0.45194650409162812</v>
      </c>
    </row>
    <row r="52" spans="1:25" x14ac:dyDescent="0.3">
      <c r="A52" t="s">
        <v>362</v>
      </c>
      <c r="B52" s="75" t="s">
        <v>548</v>
      </c>
      <c r="C52" s="75">
        <v>1259.5999999999999</v>
      </c>
      <c r="D52" s="75" t="s">
        <v>412</v>
      </c>
      <c r="E52" s="97">
        <v>1.2929999999999999</v>
      </c>
      <c r="F52" s="84">
        <v>1.6E-2</v>
      </c>
      <c r="G52" s="89">
        <f t="shared" si="5"/>
        <v>1.6765005086469994E-2</v>
      </c>
      <c r="H52" s="89">
        <f t="shared" si="6"/>
        <v>1.8189845474613685E-2</v>
      </c>
      <c r="I52" s="89">
        <f t="shared" si="7"/>
        <v>1.9619047619047623E-2</v>
      </c>
      <c r="J52" s="92">
        <v>0</v>
      </c>
      <c r="K52" s="92">
        <v>0</v>
      </c>
      <c r="L52" s="90">
        <v>831</v>
      </c>
      <c r="M52" s="100"/>
      <c r="N52" s="100"/>
      <c r="O52" s="100"/>
      <c r="P52" s="100"/>
      <c r="Q52" t="str">
        <f t="shared" si="4"/>
        <v>AAAC1259_6</v>
      </c>
      <c r="Y52">
        <f t="shared" si="3"/>
        <v>0.45730228294635122</v>
      </c>
    </row>
    <row r="53" spans="1:25" x14ac:dyDescent="0.3">
      <c r="A53" t="s">
        <v>362</v>
      </c>
      <c r="B53" s="75" t="s">
        <v>549</v>
      </c>
      <c r="C53" s="75">
        <v>1165.0999999999999</v>
      </c>
      <c r="D53" s="75" t="s">
        <v>412</v>
      </c>
      <c r="E53" s="97">
        <v>1.2450000000000001</v>
      </c>
      <c r="F53" s="84">
        <v>1.7299999999999999E-2</v>
      </c>
      <c r="G53" s="89">
        <f t="shared" si="5"/>
        <v>1.8127161749745678E-2</v>
      </c>
      <c r="H53" s="89">
        <f t="shared" si="6"/>
        <v>1.9667770419426047E-2</v>
      </c>
      <c r="I53" s="89">
        <f t="shared" si="7"/>
        <v>2.1213095238095236E-2</v>
      </c>
      <c r="J53" s="92">
        <v>0</v>
      </c>
      <c r="K53" s="92">
        <v>0</v>
      </c>
      <c r="L53" s="90">
        <v>794</v>
      </c>
      <c r="M53" s="100"/>
      <c r="N53" s="100"/>
      <c r="O53" s="100"/>
      <c r="P53" s="100"/>
      <c r="Q53" t="str">
        <f t="shared" si="4"/>
        <v>AAAC1165_1</v>
      </c>
      <c r="Y53">
        <f t="shared" si="3"/>
        <v>0.46322457776911691</v>
      </c>
    </row>
    <row r="54" spans="1:25" x14ac:dyDescent="0.3">
      <c r="A54" t="s">
        <v>362</v>
      </c>
      <c r="B54" s="75" t="s">
        <v>550</v>
      </c>
      <c r="C54" s="75">
        <v>1077.4000000000001</v>
      </c>
      <c r="D54" s="75" t="s">
        <v>412</v>
      </c>
      <c r="E54" s="97">
        <v>1.196</v>
      </c>
      <c r="F54" s="84">
        <v>1.8700000000000001E-2</v>
      </c>
      <c r="G54" s="89">
        <f t="shared" si="5"/>
        <v>1.9594099694811802E-2</v>
      </c>
      <c r="H54" s="89">
        <f t="shared" si="6"/>
        <v>2.1259381898454749E-2</v>
      </c>
      <c r="I54" s="89">
        <f t="shared" si="7"/>
        <v>2.2929761904761908E-2</v>
      </c>
      <c r="J54" s="92">
        <v>0</v>
      </c>
      <c r="K54" s="92">
        <v>0</v>
      </c>
      <c r="L54" s="90">
        <v>760</v>
      </c>
      <c r="M54" s="100"/>
      <c r="N54" s="100"/>
      <c r="O54" s="100"/>
      <c r="P54" s="100"/>
      <c r="Q54" t="str">
        <f t="shared" si="4"/>
        <v>AAAC1077_4</v>
      </c>
      <c r="Y54">
        <f t="shared" si="3"/>
        <v>0.46951059056034328</v>
      </c>
    </row>
    <row r="55" spans="1:25" x14ac:dyDescent="0.3">
      <c r="A55" t="s">
        <v>362</v>
      </c>
      <c r="B55" t="s">
        <v>476</v>
      </c>
      <c r="C55" s="75">
        <v>927.2</v>
      </c>
      <c r="D55" s="75" t="s">
        <v>483</v>
      </c>
      <c r="E55" s="85">
        <v>1.1080000000000001</v>
      </c>
      <c r="F55" s="84">
        <v>2.1729999999999999E-2</v>
      </c>
      <c r="G55" s="89">
        <f t="shared" si="5"/>
        <v>2.2768972533062055E-2</v>
      </c>
      <c r="H55" s="89">
        <f t="shared" si="6"/>
        <v>2.4704083885209709E-2</v>
      </c>
      <c r="I55" s="89">
        <f t="shared" si="7"/>
        <v>2.6645119047619046E-2</v>
      </c>
      <c r="J55" s="87">
        <v>0.67800000000000005</v>
      </c>
      <c r="K55" s="87">
        <v>0.107</v>
      </c>
      <c r="L55" s="90">
        <v>694</v>
      </c>
      <c r="M55" s="100"/>
      <c r="N55" s="100"/>
      <c r="O55" s="100"/>
      <c r="P55" s="100"/>
      <c r="Q55" t="str">
        <f t="shared" si="4"/>
        <v>AAACGreeley</v>
      </c>
      <c r="V55" s="81" t="s">
        <v>494</v>
      </c>
      <c r="Y55">
        <f t="shared" si="3"/>
        <v>0.48147524423316179</v>
      </c>
    </row>
    <row r="56" spans="1:25" x14ac:dyDescent="0.3">
      <c r="A56" t="s">
        <v>362</v>
      </c>
      <c r="B56" t="s">
        <v>477</v>
      </c>
      <c r="C56" s="75">
        <v>740.8</v>
      </c>
      <c r="D56" s="75" t="s">
        <v>483</v>
      </c>
      <c r="E56" s="85">
        <v>0.99099999999999999</v>
      </c>
      <c r="F56" s="84">
        <v>2.7199999999999998E-2</v>
      </c>
      <c r="G56" s="89">
        <f t="shared" si="5"/>
        <v>2.8500508646998983E-2</v>
      </c>
      <c r="H56" s="89">
        <f t="shared" si="6"/>
        <v>3.0922737306843261E-2</v>
      </c>
      <c r="I56" s="89">
        <f t="shared" si="7"/>
        <v>3.3352380952380953E-2</v>
      </c>
      <c r="J56" s="87">
        <v>0.71499999999999997</v>
      </c>
      <c r="K56" s="87">
        <v>0.112</v>
      </c>
      <c r="L56" s="90">
        <v>607</v>
      </c>
      <c r="M56" s="100"/>
      <c r="N56" s="100"/>
      <c r="O56" s="100"/>
      <c r="P56" s="100"/>
      <c r="Q56" t="str">
        <f t="shared" si="4"/>
        <v>AAACFlint</v>
      </c>
      <c r="V56" s="78" t="s">
        <v>496</v>
      </c>
      <c r="Y56">
        <f t="shared" si="3"/>
        <v>0.49894602990541487</v>
      </c>
    </row>
    <row r="57" spans="1:25" x14ac:dyDescent="0.3">
      <c r="A57" t="s">
        <v>362</v>
      </c>
      <c r="B57" t="s">
        <v>478</v>
      </c>
      <c r="C57" s="75">
        <v>652.4</v>
      </c>
      <c r="D57" s="75" t="s">
        <v>484</v>
      </c>
      <c r="E57" s="85">
        <v>0.92700000000000005</v>
      </c>
      <c r="F57" s="84">
        <v>0.30890000000000001</v>
      </c>
      <c r="G57" s="89">
        <f t="shared" si="5"/>
        <v>0.32366937945066127</v>
      </c>
      <c r="H57" s="89">
        <f t="shared" si="6"/>
        <v>0.35117770419426042</v>
      </c>
      <c r="I57" s="89">
        <f t="shared" si="7"/>
        <v>0.37877023809523813</v>
      </c>
      <c r="J57" s="87">
        <v>0.751</v>
      </c>
      <c r="K57" s="87">
        <v>0.11799999999999999</v>
      </c>
      <c r="L57" s="90">
        <v>564</v>
      </c>
      <c r="M57" s="100"/>
      <c r="N57" s="100"/>
      <c r="O57" s="100"/>
      <c r="P57" s="100"/>
      <c r="Q57" t="str">
        <f t="shared" si="4"/>
        <v>AAACElgin</v>
      </c>
      <c r="Y57">
        <f t="shared" si="3"/>
        <v>0.50939759308737731</v>
      </c>
    </row>
    <row r="58" spans="1:25" x14ac:dyDescent="0.3">
      <c r="A58" t="s">
        <v>362</v>
      </c>
      <c r="B58" t="s">
        <v>479</v>
      </c>
      <c r="C58" s="75">
        <v>559.5</v>
      </c>
      <c r="D58" s="75" t="s">
        <v>484</v>
      </c>
      <c r="E58" s="85">
        <v>0.85799999999999998</v>
      </c>
      <c r="F58" s="84">
        <v>3.6020000000000003E-2</v>
      </c>
      <c r="G58" s="89">
        <f t="shared" si="5"/>
        <v>3.774221770091557E-2</v>
      </c>
      <c r="H58" s="89">
        <f t="shared" si="6"/>
        <v>4.094988962472406E-2</v>
      </c>
      <c r="I58" s="89">
        <f t="shared" si="7"/>
        <v>4.4167380952380958E-2</v>
      </c>
      <c r="J58" s="87">
        <v>0.52200000000000002</v>
      </c>
      <c r="K58" s="87">
        <v>8.2900000000000001E-2</v>
      </c>
      <c r="L58" s="90">
        <v>514</v>
      </c>
      <c r="M58" s="100"/>
      <c r="N58" s="100"/>
      <c r="O58" s="100"/>
      <c r="P58" s="100"/>
      <c r="Q58" t="str">
        <f t="shared" si="4"/>
        <v>AAACDarien</v>
      </c>
      <c r="Y58">
        <f t="shared" si="3"/>
        <v>0.52150680670080363</v>
      </c>
    </row>
    <row r="59" spans="1:25" x14ac:dyDescent="0.3">
      <c r="A59" t="s">
        <v>362</v>
      </c>
      <c r="B59" t="s">
        <v>480</v>
      </c>
      <c r="C59" s="75">
        <v>465.4</v>
      </c>
      <c r="D59" s="75" t="s">
        <v>484</v>
      </c>
      <c r="E59" s="85">
        <v>0.78300000000000003</v>
      </c>
      <c r="F59" s="84">
        <v>4.3299999999999998E-2</v>
      </c>
      <c r="G59" s="89">
        <f t="shared" si="5"/>
        <v>4.537029501525941E-2</v>
      </c>
      <c r="H59" s="89">
        <f t="shared" si="6"/>
        <v>4.9226269315673282E-2</v>
      </c>
      <c r="I59" s="89">
        <f t="shared" si="7"/>
        <v>5.3094047619047617E-2</v>
      </c>
      <c r="J59" s="87">
        <v>0.53600000000000003</v>
      </c>
      <c r="K59" s="87">
        <v>8.5099999999999995E-2</v>
      </c>
      <c r="L59" s="90">
        <v>461</v>
      </c>
      <c r="M59" s="100"/>
      <c r="N59" s="100"/>
      <c r="O59" s="100"/>
      <c r="P59" s="100"/>
      <c r="Q59" t="str">
        <f t="shared" si="4"/>
        <v>AAACCairo</v>
      </c>
      <c r="Y59">
        <f t="shared" si="3"/>
        <v>0.53582683786109098</v>
      </c>
    </row>
    <row r="60" spans="1:25" x14ac:dyDescent="0.3">
      <c r="A60" t="s">
        <v>362</v>
      </c>
      <c r="B60" t="s">
        <v>481</v>
      </c>
      <c r="C60" s="75">
        <v>394.5</v>
      </c>
      <c r="D60" s="75" t="s">
        <v>484</v>
      </c>
      <c r="E60" s="85">
        <v>0.72099999999999997</v>
      </c>
      <c r="F60" s="84">
        <v>5.1069999999999997E-2</v>
      </c>
      <c r="G60" s="89">
        <f t="shared" si="5"/>
        <v>5.35118006103764E-2</v>
      </c>
      <c r="H60" s="89">
        <f t="shared" si="6"/>
        <v>5.8059713024282554E-2</v>
      </c>
      <c r="I60" s="89">
        <f t="shared" si="7"/>
        <v>6.2621547619047618E-2</v>
      </c>
      <c r="J60" s="87">
        <v>0.54900000000000004</v>
      </c>
      <c r="K60" s="87">
        <v>8.6999999999999994E-2</v>
      </c>
      <c r="L60" s="90">
        <v>417</v>
      </c>
      <c r="M60" s="100"/>
      <c r="N60" s="100"/>
      <c r="O60" s="100"/>
      <c r="P60" s="100"/>
      <c r="Q60" t="str">
        <f t="shared" si="4"/>
        <v>AAACCanton</v>
      </c>
      <c r="Y60">
        <f t="shared" si="3"/>
        <v>0.54874136946360974</v>
      </c>
    </row>
    <row r="61" spans="1:25" x14ac:dyDescent="0.3">
      <c r="A61" t="s">
        <v>362</v>
      </c>
      <c r="B61" t="s">
        <v>482</v>
      </c>
      <c r="C61" s="75">
        <v>312.8</v>
      </c>
      <c r="D61" s="75" t="s">
        <v>484</v>
      </c>
      <c r="E61" s="85">
        <v>0.64200000000000002</v>
      </c>
      <c r="F61" s="84">
        <v>6.4430000000000001E-2</v>
      </c>
      <c r="G61" s="89">
        <f t="shared" si="5"/>
        <v>6.7510579857578856E-2</v>
      </c>
      <c r="H61" s="89">
        <f t="shared" si="6"/>
        <v>7.3248233995584972E-2</v>
      </c>
      <c r="I61" s="89">
        <f t="shared" si="7"/>
        <v>7.9003452380952383E-2</v>
      </c>
      <c r="J61" s="87">
        <v>0.56699999999999995</v>
      </c>
      <c r="K61" s="87">
        <v>8.9599999999999999E-2</v>
      </c>
      <c r="L61" s="90">
        <v>362</v>
      </c>
      <c r="M61" s="100"/>
      <c r="N61" s="100"/>
      <c r="O61" s="100"/>
      <c r="P61" s="100"/>
      <c r="Q61" t="str">
        <f t="shared" si="4"/>
        <v>AAACButte</v>
      </c>
      <c r="Y61">
        <f t="shared" si="3"/>
        <v>0.56690935956457233</v>
      </c>
    </row>
    <row r="62" spans="1:25" x14ac:dyDescent="0.3">
      <c r="A62" t="s">
        <v>261</v>
      </c>
      <c r="B62" t="s">
        <v>452</v>
      </c>
      <c r="C62">
        <v>503.6</v>
      </c>
      <c r="D62" t="s">
        <v>488</v>
      </c>
      <c r="E62">
        <v>0.81399999999999995</v>
      </c>
      <c r="F62">
        <v>3.5400000000000001E-2</v>
      </c>
      <c r="G62">
        <v>3.6400000000000002E-2</v>
      </c>
      <c r="H62" s="89">
        <f>(G62+I62)/2</f>
        <v>3.9849999999999997E-2</v>
      </c>
      <c r="I62">
        <v>4.3299999999999998E-2</v>
      </c>
      <c r="J62">
        <v>0.53100000000000003</v>
      </c>
      <c r="K62">
        <v>8.4099999999999994E-2</v>
      </c>
      <c r="Q62" t="str">
        <f t="shared" si="4"/>
        <v>ACARPelican</v>
      </c>
      <c r="V62" s="78"/>
      <c r="Y62">
        <f t="shared" si="3"/>
        <v>0.52974828846541344</v>
      </c>
    </row>
    <row r="63" spans="1:25" x14ac:dyDescent="0.3">
      <c r="A63" t="s">
        <v>261</v>
      </c>
      <c r="B63" t="s">
        <v>372</v>
      </c>
      <c r="C63">
        <v>587.20000000000005</v>
      </c>
      <c r="D63" t="s">
        <v>488</v>
      </c>
      <c r="E63">
        <v>0.879</v>
      </c>
      <c r="F63">
        <v>3.0300000000000001E-2</v>
      </c>
      <c r="G63">
        <v>3.1199999999999999E-2</v>
      </c>
      <c r="H63" s="89">
        <f t="shared" ref="H63:H89" si="8">(G63+I63)/2</f>
        <v>3.415E-2</v>
      </c>
      <c r="I63">
        <v>3.7100000000000001E-2</v>
      </c>
      <c r="J63">
        <v>0.51800000000000002</v>
      </c>
      <c r="K63">
        <v>8.2400000000000001E-2</v>
      </c>
      <c r="Q63" t="str">
        <f t="shared" si="4"/>
        <v>ACAROsprey</v>
      </c>
      <c r="Y63">
        <f t="shared" si="3"/>
        <v>0.51772125438143324</v>
      </c>
    </row>
    <row r="64" spans="1:25" x14ac:dyDescent="0.3">
      <c r="A64" t="s">
        <v>261</v>
      </c>
      <c r="B64" t="s">
        <v>374</v>
      </c>
      <c r="C64">
        <v>649.5</v>
      </c>
      <c r="D64" t="s">
        <v>489</v>
      </c>
      <c r="E64">
        <v>0.92700000000000005</v>
      </c>
      <c r="F64">
        <v>2.87E-2</v>
      </c>
      <c r="G64">
        <v>2.9499999999999998E-2</v>
      </c>
      <c r="H64" s="89">
        <f t="shared" si="8"/>
        <v>3.2199999999999999E-2</v>
      </c>
      <c r="I64">
        <v>3.49E-2</v>
      </c>
      <c r="J64">
        <v>0.50900000000000001</v>
      </c>
      <c r="K64">
        <v>8.1199999999999994E-2</v>
      </c>
      <c r="Q64" t="str">
        <f t="shared" si="4"/>
        <v>ACARDove</v>
      </c>
      <c r="Y64">
        <f t="shared" si="3"/>
        <v>0.50939759308737731</v>
      </c>
    </row>
    <row r="65" spans="1:25" x14ac:dyDescent="0.3">
      <c r="A65" t="s">
        <v>261</v>
      </c>
      <c r="B65" t="s">
        <v>374</v>
      </c>
      <c r="C65">
        <v>653.1</v>
      </c>
      <c r="D65" t="s">
        <v>490</v>
      </c>
      <c r="E65">
        <v>0.92700000000000005</v>
      </c>
      <c r="F65">
        <v>2.7900000000000001E-2</v>
      </c>
      <c r="G65">
        <v>2.8799999999999999E-2</v>
      </c>
      <c r="H65" s="89">
        <f t="shared" si="8"/>
        <v>3.1449999999999999E-2</v>
      </c>
      <c r="I65">
        <v>3.4099999999999998E-2</v>
      </c>
      <c r="J65">
        <v>0.50900000000000001</v>
      </c>
      <c r="K65">
        <v>8.1100000000000005E-2</v>
      </c>
      <c r="L65" s="91">
        <v>760</v>
      </c>
      <c r="M65" s="91"/>
      <c r="N65" s="91"/>
      <c r="O65" s="91"/>
      <c r="P65" s="91"/>
      <c r="Q65" t="str">
        <f t="shared" si="4"/>
        <v>ACARDove</v>
      </c>
      <c r="Y65">
        <f t="shared" si="3"/>
        <v>0.50939759308737731</v>
      </c>
    </row>
    <row r="66" spans="1:25" x14ac:dyDescent="0.3">
      <c r="A66" t="s">
        <v>261</v>
      </c>
      <c r="B66" t="s">
        <v>376</v>
      </c>
      <c r="C66">
        <v>739.8</v>
      </c>
      <c r="D66" t="s">
        <v>489</v>
      </c>
      <c r="E66">
        <v>0.99</v>
      </c>
      <c r="F66">
        <v>2.52E-2</v>
      </c>
      <c r="G66">
        <v>2.5899999999999999E-2</v>
      </c>
      <c r="H66" s="89">
        <f t="shared" si="8"/>
        <v>2.8299999999999999E-2</v>
      </c>
      <c r="I66">
        <v>3.0700000000000002E-2</v>
      </c>
      <c r="J66">
        <v>0.499</v>
      </c>
      <c r="K66">
        <v>7.9299999999999995E-2</v>
      </c>
      <c r="L66" s="91">
        <v>814</v>
      </c>
      <c r="M66" s="91"/>
      <c r="N66" s="91"/>
      <c r="O66" s="91"/>
      <c r="P66" s="91"/>
      <c r="Q66" t="str">
        <f t="shared" si="4"/>
        <v>ACARGrosbeak</v>
      </c>
      <c r="Y66">
        <f t="shared" si="3"/>
        <v>0.49910408342716894</v>
      </c>
    </row>
    <row r="67" spans="1:25" x14ac:dyDescent="0.3">
      <c r="A67" t="s">
        <v>261</v>
      </c>
      <c r="B67" t="s">
        <v>378</v>
      </c>
      <c r="C67">
        <v>853.7</v>
      </c>
      <c r="D67" t="s">
        <v>422</v>
      </c>
      <c r="E67">
        <v>1.0629999999999999</v>
      </c>
      <c r="F67">
        <v>2.0799999999999999E-2</v>
      </c>
      <c r="G67">
        <v>2.1600000000000001E-2</v>
      </c>
      <c r="H67" s="89">
        <f t="shared" si="8"/>
        <v>2.3650000000000001E-2</v>
      </c>
      <c r="I67">
        <v>2.5700000000000001E-2</v>
      </c>
      <c r="J67">
        <v>0.48799999999999999</v>
      </c>
      <c r="K67">
        <v>7.7700000000000005E-2</v>
      </c>
      <c r="L67" s="91">
        <v>907</v>
      </c>
      <c r="M67" s="91"/>
      <c r="N67" s="91"/>
      <c r="O67" s="91"/>
      <c r="P67" s="91"/>
      <c r="Q67" t="str">
        <f t="shared" ref="Q67:Q98" si="9">_xlfn.CONCAT(A67,B67)</f>
        <v>ACARTern</v>
      </c>
      <c r="Y67">
        <f t="shared" si="3"/>
        <v>0.48796612325365452</v>
      </c>
    </row>
    <row r="68" spans="1:25" x14ac:dyDescent="0.3">
      <c r="A68" t="s">
        <v>261</v>
      </c>
      <c r="B68" t="s">
        <v>378</v>
      </c>
      <c r="C68">
        <v>853.7</v>
      </c>
      <c r="D68" t="s">
        <v>491</v>
      </c>
      <c r="E68">
        <v>1.0629999999999999</v>
      </c>
      <c r="F68">
        <v>2.1299999999999999E-2</v>
      </c>
      <c r="G68">
        <v>2.2200000000000001E-2</v>
      </c>
      <c r="H68" s="89">
        <f t="shared" si="8"/>
        <v>2.4199999999999999E-2</v>
      </c>
      <c r="I68">
        <v>2.6200000000000001E-2</v>
      </c>
      <c r="J68">
        <v>0.48799999999999999</v>
      </c>
      <c r="K68">
        <v>7.7700000000000005E-2</v>
      </c>
      <c r="Q68" t="str">
        <f t="shared" si="9"/>
        <v>ACARTern</v>
      </c>
      <c r="Y68">
        <f t="shared" si="3"/>
        <v>0.48796612325365452</v>
      </c>
    </row>
    <row r="69" spans="1:25" x14ac:dyDescent="0.3">
      <c r="A69" t="s">
        <v>261</v>
      </c>
      <c r="B69" t="s">
        <v>377</v>
      </c>
      <c r="C69">
        <v>927.2</v>
      </c>
      <c r="D69" t="s">
        <v>491</v>
      </c>
      <c r="E69">
        <v>1.1080000000000001</v>
      </c>
      <c r="F69">
        <v>2.0799999999999999E-2</v>
      </c>
      <c r="G69">
        <v>2.1600000000000001E-2</v>
      </c>
      <c r="H69" s="89">
        <f t="shared" si="8"/>
        <v>2.3400000000000001E-2</v>
      </c>
      <c r="I69">
        <v>2.52E-2</v>
      </c>
      <c r="J69">
        <v>0.48199999999999998</v>
      </c>
      <c r="K69">
        <v>7.6700000000000004E-2</v>
      </c>
      <c r="Q69" t="str">
        <f t="shared" si="9"/>
        <v>ACARDrake</v>
      </c>
      <c r="Y69">
        <f t="shared" si="3"/>
        <v>0.48147524423316179</v>
      </c>
    </row>
    <row r="70" spans="1:25" x14ac:dyDescent="0.3">
      <c r="A70" t="s">
        <v>261</v>
      </c>
      <c r="B70" t="s">
        <v>379</v>
      </c>
      <c r="C70">
        <v>1024.5</v>
      </c>
      <c r="D70" t="s">
        <v>422</v>
      </c>
      <c r="E70">
        <v>1.165</v>
      </c>
      <c r="F70">
        <v>1.7299999999999999E-2</v>
      </c>
      <c r="G70">
        <v>1.8200000000000001E-2</v>
      </c>
      <c r="H70" s="89">
        <f t="shared" si="8"/>
        <v>1.985E-2</v>
      </c>
      <c r="I70">
        <v>2.1499999999999998E-2</v>
      </c>
      <c r="J70">
        <v>0.47399999999999998</v>
      </c>
      <c r="K70">
        <v>7.5600000000000001E-2</v>
      </c>
      <c r="L70" s="91">
        <v>1015</v>
      </c>
      <c r="M70" s="91"/>
      <c r="N70" s="91"/>
      <c r="O70" s="91"/>
      <c r="P70" s="91"/>
      <c r="Q70" t="str">
        <f t="shared" si="9"/>
        <v>ACARRail</v>
      </c>
      <c r="Y70">
        <f t="shared" si="3"/>
        <v>0.47362189163384222</v>
      </c>
    </row>
    <row r="71" spans="1:25" x14ac:dyDescent="0.3">
      <c r="A71" t="s">
        <v>261</v>
      </c>
      <c r="B71" t="s">
        <v>379</v>
      </c>
      <c r="C71">
        <v>1024.5</v>
      </c>
      <c r="D71" t="s">
        <v>491</v>
      </c>
      <c r="E71">
        <v>1.165</v>
      </c>
      <c r="F71">
        <v>1.78E-2</v>
      </c>
      <c r="G71">
        <v>1.8599999999999998E-2</v>
      </c>
      <c r="H71" s="89">
        <f t="shared" si="8"/>
        <v>2.0249999999999997E-2</v>
      </c>
      <c r="I71">
        <v>2.1899999999999999E-2</v>
      </c>
      <c r="J71">
        <v>0.47399999999999998</v>
      </c>
      <c r="K71">
        <v>7.5600000000000001E-2</v>
      </c>
      <c r="Q71" t="str">
        <f t="shared" si="9"/>
        <v>ACARRail</v>
      </c>
      <c r="V71" s="91" t="s">
        <v>511</v>
      </c>
      <c r="Y71">
        <f t="shared" si="3"/>
        <v>0.47362189163384222</v>
      </c>
    </row>
    <row r="72" spans="1:25" x14ac:dyDescent="0.3">
      <c r="A72" t="s">
        <v>261</v>
      </c>
      <c r="B72" t="s">
        <v>380</v>
      </c>
      <c r="C72">
        <v>1080.5999999999999</v>
      </c>
      <c r="D72" t="s">
        <v>491</v>
      </c>
      <c r="E72">
        <v>1.196</v>
      </c>
      <c r="F72">
        <v>1.6799999999999999E-2</v>
      </c>
      <c r="G72">
        <v>1.7600000000000001E-2</v>
      </c>
      <c r="H72" s="89">
        <f t="shared" si="8"/>
        <v>1.9200000000000002E-2</v>
      </c>
      <c r="I72">
        <v>2.0799999999999999E-2</v>
      </c>
      <c r="J72">
        <v>0.47</v>
      </c>
      <c r="K72">
        <v>7.4999999999999997E-2</v>
      </c>
      <c r="Q72" t="str">
        <f t="shared" si="9"/>
        <v>ACARCardinal</v>
      </c>
      <c r="Y72">
        <f t="shared" si="3"/>
        <v>0.46951059056034328</v>
      </c>
    </row>
    <row r="73" spans="1:25" x14ac:dyDescent="0.3">
      <c r="A73" t="s">
        <v>261</v>
      </c>
      <c r="B73" t="s">
        <v>380</v>
      </c>
      <c r="C73">
        <v>1080.5999999999999</v>
      </c>
      <c r="D73" t="s">
        <v>489</v>
      </c>
      <c r="E73">
        <v>1.196</v>
      </c>
      <c r="F73">
        <v>1.72E-2</v>
      </c>
      <c r="G73">
        <v>1.8100000000000002E-2</v>
      </c>
      <c r="H73" s="89">
        <f t="shared" si="8"/>
        <v>1.9700000000000002E-2</v>
      </c>
      <c r="I73">
        <v>2.1299999999999999E-2</v>
      </c>
      <c r="J73">
        <v>0.47</v>
      </c>
      <c r="K73">
        <v>7.4999999999999997E-2</v>
      </c>
      <c r="L73" s="91">
        <v>1028</v>
      </c>
      <c r="M73" s="91"/>
      <c r="N73" s="91"/>
      <c r="O73" s="91"/>
      <c r="P73" s="91"/>
      <c r="Q73" t="str">
        <f t="shared" si="9"/>
        <v>ACARCardinal</v>
      </c>
      <c r="Y73">
        <f t="shared" si="3"/>
        <v>0.46951059056034328</v>
      </c>
    </row>
    <row r="74" spans="1:25" x14ac:dyDescent="0.3">
      <c r="A74" t="s">
        <v>261</v>
      </c>
      <c r="B74" t="s">
        <v>447</v>
      </c>
      <c r="C74">
        <v>1109</v>
      </c>
      <c r="D74" t="s">
        <v>422</v>
      </c>
      <c r="E74">
        <v>1.212</v>
      </c>
      <c r="F74">
        <v>1.6E-2</v>
      </c>
      <c r="G74">
        <v>1.6899999999999998E-2</v>
      </c>
      <c r="H74" s="89">
        <f t="shared" si="8"/>
        <v>1.84E-2</v>
      </c>
      <c r="I74">
        <v>1.9900000000000001E-2</v>
      </c>
      <c r="J74">
        <v>0.46800000000000003</v>
      </c>
      <c r="K74">
        <v>7.4700000000000003E-2</v>
      </c>
      <c r="L74" s="91">
        <v>1065</v>
      </c>
      <c r="M74" s="91"/>
      <c r="N74" s="91"/>
      <c r="O74" s="91"/>
      <c r="P74" s="91"/>
      <c r="Q74" t="str">
        <f t="shared" si="9"/>
        <v>ACAROrtolan</v>
      </c>
      <c r="Y74">
        <f t="shared" si="3"/>
        <v>0.46743013469369926</v>
      </c>
    </row>
    <row r="75" spans="1:25" x14ac:dyDescent="0.3">
      <c r="A75" t="s">
        <v>261</v>
      </c>
      <c r="B75" t="s">
        <v>447</v>
      </c>
      <c r="C75">
        <v>1109</v>
      </c>
      <c r="D75" t="s">
        <v>491</v>
      </c>
      <c r="E75">
        <v>1.212</v>
      </c>
      <c r="F75">
        <v>1.6400000000000001E-2</v>
      </c>
      <c r="G75">
        <v>1.72E-2</v>
      </c>
      <c r="H75" s="89">
        <f t="shared" si="8"/>
        <v>1.8749999999999999E-2</v>
      </c>
      <c r="I75">
        <v>2.0299999999999999E-2</v>
      </c>
      <c r="J75">
        <v>0.46800000000000003</v>
      </c>
      <c r="K75">
        <v>7.4700000000000003E-2</v>
      </c>
      <c r="Q75" t="str">
        <f t="shared" si="9"/>
        <v>ACAROrtolan</v>
      </c>
      <c r="Y75">
        <f t="shared" si="3"/>
        <v>0.46743013469369926</v>
      </c>
    </row>
    <row r="76" spans="1:25" x14ac:dyDescent="0.3">
      <c r="A76" t="s">
        <v>261</v>
      </c>
      <c r="B76" t="s">
        <v>381</v>
      </c>
      <c r="C76">
        <v>1172</v>
      </c>
      <c r="D76" t="s">
        <v>422</v>
      </c>
      <c r="E76">
        <v>1.246</v>
      </c>
      <c r="F76">
        <v>1.52E-2</v>
      </c>
      <c r="G76">
        <v>1.6E-2</v>
      </c>
      <c r="H76" s="89">
        <f t="shared" si="8"/>
        <v>1.745E-2</v>
      </c>
      <c r="I76">
        <v>1.89E-2</v>
      </c>
      <c r="J76">
        <v>0.46300000000000002</v>
      </c>
      <c r="K76">
        <v>7.3999999999999996E-2</v>
      </c>
      <c r="L76" s="91">
        <v>1101</v>
      </c>
      <c r="M76" s="91"/>
      <c r="N76" s="91"/>
      <c r="O76" s="91"/>
      <c r="P76" s="91"/>
      <c r="Q76" t="str">
        <f t="shared" si="9"/>
        <v>ACARCurlew</v>
      </c>
      <c r="Y76">
        <f t="shared" si="3"/>
        <v>0.46309888366360913</v>
      </c>
    </row>
    <row r="77" spans="1:25" x14ac:dyDescent="0.3">
      <c r="A77" t="s">
        <v>261</v>
      </c>
      <c r="B77" t="s">
        <v>381</v>
      </c>
      <c r="C77">
        <v>1172</v>
      </c>
      <c r="D77" t="s">
        <v>489</v>
      </c>
      <c r="E77">
        <v>1.246</v>
      </c>
      <c r="F77">
        <v>1.5900000000000001E-2</v>
      </c>
      <c r="G77">
        <v>1.66E-2</v>
      </c>
      <c r="H77" s="89">
        <f t="shared" si="8"/>
        <v>1.805E-2</v>
      </c>
      <c r="I77">
        <v>1.95E-2</v>
      </c>
      <c r="J77">
        <v>0.46300000000000002</v>
      </c>
      <c r="K77">
        <v>7.3999999999999996E-2</v>
      </c>
      <c r="Q77" t="str">
        <f t="shared" si="9"/>
        <v>ACARCurlew</v>
      </c>
      <c r="Y77">
        <f t="shared" si="3"/>
        <v>0.46309888366360913</v>
      </c>
    </row>
    <row r="78" spans="1:25" x14ac:dyDescent="0.3">
      <c r="A78" t="s">
        <v>261</v>
      </c>
      <c r="B78" t="s">
        <v>382</v>
      </c>
      <c r="C78">
        <v>1198</v>
      </c>
      <c r="D78" t="s">
        <v>422</v>
      </c>
      <c r="E78">
        <v>1.2589999999999999</v>
      </c>
      <c r="F78">
        <v>1.4800000000000001E-2</v>
      </c>
      <c r="G78">
        <v>1.55E-2</v>
      </c>
      <c r="H78" s="89">
        <f t="shared" si="8"/>
        <v>1.695E-2</v>
      </c>
      <c r="I78">
        <v>1.84E-2</v>
      </c>
      <c r="J78">
        <v>0.46200000000000002</v>
      </c>
      <c r="K78">
        <v>7.3800000000000004E-2</v>
      </c>
      <c r="L78" s="91">
        <v>1115</v>
      </c>
      <c r="M78" s="91"/>
      <c r="N78" s="91"/>
      <c r="O78" s="91"/>
      <c r="P78" s="91"/>
      <c r="Q78" t="str">
        <f t="shared" si="9"/>
        <v>ACARBluejay</v>
      </c>
      <c r="Y78">
        <f t="shared" si="3"/>
        <v>0.46147397805813245</v>
      </c>
    </row>
    <row r="79" spans="1:25" x14ac:dyDescent="0.3">
      <c r="A79" t="s">
        <v>261</v>
      </c>
      <c r="B79" t="s">
        <v>382</v>
      </c>
      <c r="C79">
        <v>1198</v>
      </c>
      <c r="D79" t="s">
        <v>491</v>
      </c>
      <c r="E79">
        <v>1.2589999999999999</v>
      </c>
      <c r="F79">
        <v>1.52E-2</v>
      </c>
      <c r="G79">
        <v>1.5900000000000001E-2</v>
      </c>
      <c r="H79" s="89">
        <f t="shared" si="8"/>
        <v>1.7350000000000001E-2</v>
      </c>
      <c r="I79">
        <v>1.8800000000000001E-2</v>
      </c>
      <c r="J79">
        <v>0.46200000000000002</v>
      </c>
      <c r="K79">
        <v>7.3800000000000004E-2</v>
      </c>
      <c r="Q79" t="str">
        <f t="shared" si="9"/>
        <v>ACARBluejay</v>
      </c>
      <c r="Y79">
        <f t="shared" si="3"/>
        <v>0.46147397805813245</v>
      </c>
    </row>
    <row r="80" spans="1:25" x14ac:dyDescent="0.3">
      <c r="A80" t="s">
        <v>261</v>
      </c>
      <c r="B80" t="s">
        <v>432</v>
      </c>
      <c r="C80">
        <v>1277</v>
      </c>
      <c r="D80" t="s">
        <v>415</v>
      </c>
      <c r="E80">
        <v>1.302</v>
      </c>
      <c r="F80">
        <v>1.38E-2</v>
      </c>
      <c r="G80">
        <v>1.49E-2</v>
      </c>
      <c r="H80" s="89">
        <f t="shared" si="8"/>
        <v>1.6149999999999998E-2</v>
      </c>
      <c r="I80">
        <v>1.7399999999999999E-2</v>
      </c>
      <c r="J80">
        <v>0.45600000000000002</v>
      </c>
      <c r="K80">
        <v>7.2900000000000006E-2</v>
      </c>
      <c r="Q80" t="str">
        <f t="shared" si="9"/>
        <v>ACARBunting</v>
      </c>
      <c r="Y80">
        <f t="shared" si="3"/>
        <v>0.45621636876578664</v>
      </c>
    </row>
    <row r="81" spans="1:25" x14ac:dyDescent="0.3">
      <c r="A81" t="s">
        <v>261</v>
      </c>
      <c r="B81" t="s">
        <v>432</v>
      </c>
      <c r="C81">
        <v>1277</v>
      </c>
      <c r="D81" t="s">
        <v>492</v>
      </c>
      <c r="E81">
        <v>1.302</v>
      </c>
      <c r="F81">
        <v>1.4200000000000001E-2</v>
      </c>
      <c r="G81">
        <v>1.52E-2</v>
      </c>
      <c r="H81" s="89">
        <f t="shared" si="8"/>
        <v>1.6500000000000001E-2</v>
      </c>
      <c r="I81">
        <v>1.78E-2</v>
      </c>
      <c r="J81">
        <v>0.45600000000000002</v>
      </c>
      <c r="K81">
        <v>7.2900000000000006E-2</v>
      </c>
      <c r="Q81" t="str">
        <f t="shared" si="9"/>
        <v>ACARBunting</v>
      </c>
      <c r="Y81">
        <f t="shared" si="3"/>
        <v>0.45621636876578664</v>
      </c>
    </row>
    <row r="82" spans="1:25" x14ac:dyDescent="0.3">
      <c r="A82" t="s">
        <v>261</v>
      </c>
      <c r="B82" t="s">
        <v>383</v>
      </c>
      <c r="C82">
        <v>1361.5</v>
      </c>
      <c r="D82" t="s">
        <v>415</v>
      </c>
      <c r="E82">
        <v>1.345</v>
      </c>
      <c r="F82">
        <v>1.29E-2</v>
      </c>
      <c r="G82">
        <v>1.38E-2</v>
      </c>
      <c r="H82" s="89">
        <f t="shared" si="8"/>
        <v>1.5049999999999999E-2</v>
      </c>
      <c r="I82">
        <v>1.6299999999999999E-2</v>
      </c>
      <c r="J82">
        <v>0.45100000000000001</v>
      </c>
      <c r="K82">
        <v>7.2099999999999997E-2</v>
      </c>
      <c r="Q82" t="str">
        <f t="shared" si="9"/>
        <v>ACARBittern</v>
      </c>
      <c r="Y82">
        <f t="shared" si="3"/>
        <v>0.45112960771703275</v>
      </c>
    </row>
    <row r="83" spans="1:25" x14ac:dyDescent="0.3">
      <c r="A83" t="s">
        <v>261</v>
      </c>
      <c r="B83" t="s">
        <v>439</v>
      </c>
      <c r="C83">
        <v>1534.4</v>
      </c>
      <c r="D83" t="s">
        <v>492</v>
      </c>
      <c r="E83">
        <v>1.427</v>
      </c>
      <c r="F83">
        <v>1.18E-2</v>
      </c>
      <c r="G83">
        <v>1.2699999999999999E-2</v>
      </c>
      <c r="H83" s="89">
        <f t="shared" si="8"/>
        <v>1.3950000000000001E-2</v>
      </c>
      <c r="I83">
        <v>1.52E-2</v>
      </c>
      <c r="J83">
        <v>0.442</v>
      </c>
      <c r="K83">
        <v>7.0800000000000002E-2</v>
      </c>
      <c r="L83" s="91">
        <v>1314</v>
      </c>
      <c r="M83" s="91"/>
      <c r="N83" s="91"/>
      <c r="O83" s="91"/>
      <c r="P83" s="91"/>
      <c r="Q83" t="str">
        <f t="shared" si="9"/>
        <v>ACARBobolink</v>
      </c>
      <c r="Y83">
        <f t="shared" si="3"/>
        <v>0.44186480940860945</v>
      </c>
    </row>
    <row r="84" spans="1:25" x14ac:dyDescent="0.3">
      <c r="A84" t="s">
        <v>261</v>
      </c>
      <c r="B84" t="s">
        <v>384</v>
      </c>
      <c r="C84">
        <v>1703</v>
      </c>
      <c r="D84" t="s">
        <v>409</v>
      </c>
      <c r="E84">
        <v>1.504</v>
      </c>
      <c r="F84">
        <v>1.0500000000000001E-2</v>
      </c>
      <c r="G84">
        <v>1.15E-2</v>
      </c>
      <c r="H84" s="89">
        <f t="shared" si="8"/>
        <v>1.2500000000000001E-2</v>
      </c>
      <c r="I84">
        <v>1.35E-2</v>
      </c>
      <c r="J84">
        <v>0.434</v>
      </c>
      <c r="K84">
        <v>6.9599999999999995E-2</v>
      </c>
      <c r="Q84" t="str">
        <f t="shared" si="9"/>
        <v>ACARLapwing</v>
      </c>
      <c r="Y84">
        <f t="shared" si="3"/>
        <v>0.43363739328582723</v>
      </c>
    </row>
    <row r="85" spans="1:25" x14ac:dyDescent="0.3">
      <c r="A85" t="s">
        <v>261</v>
      </c>
      <c r="B85" t="s">
        <v>385</v>
      </c>
      <c r="C85">
        <v>1798</v>
      </c>
      <c r="D85" t="s">
        <v>492</v>
      </c>
      <c r="E85">
        <v>1.5449999999999999</v>
      </c>
      <c r="F85">
        <v>1.01E-2</v>
      </c>
      <c r="G85">
        <v>1.0999999999999999E-2</v>
      </c>
      <c r="H85" s="89">
        <f t="shared" si="8"/>
        <v>1.1900000000000001E-2</v>
      </c>
      <c r="I85">
        <v>1.2800000000000001E-2</v>
      </c>
      <c r="J85">
        <v>0.43</v>
      </c>
      <c r="K85">
        <v>6.9000000000000006E-2</v>
      </c>
      <c r="Q85" t="str">
        <f t="shared" si="9"/>
        <v>ACARFalcon</v>
      </c>
      <c r="Y85">
        <f t="shared" si="3"/>
        <v>0.42942682003556393</v>
      </c>
    </row>
    <row r="86" spans="1:25" x14ac:dyDescent="0.3">
      <c r="A86" t="s">
        <v>261</v>
      </c>
      <c r="B86" t="s">
        <v>487</v>
      </c>
      <c r="C86">
        <v>1933</v>
      </c>
      <c r="D86" t="s">
        <v>492</v>
      </c>
      <c r="E86">
        <v>1.6020000000000001</v>
      </c>
      <c r="F86">
        <v>9.4000000000000004E-3</v>
      </c>
      <c r="G86">
        <v>1.0200000000000001E-2</v>
      </c>
      <c r="H86" s="89">
        <f t="shared" si="8"/>
        <v>1.1200000000000002E-2</v>
      </c>
      <c r="I86">
        <v>1.2200000000000001E-2</v>
      </c>
      <c r="J86">
        <v>0.42399999999999999</v>
      </c>
      <c r="K86">
        <v>6.8199999999999997E-2</v>
      </c>
      <c r="L86" s="91">
        <v>1465</v>
      </c>
      <c r="M86" s="91"/>
      <c r="N86" s="91"/>
      <c r="O86" s="91"/>
      <c r="P86" s="91"/>
      <c r="Q86" t="str">
        <f t="shared" si="9"/>
        <v>ACARChukar</v>
      </c>
      <c r="Y86">
        <f t="shared" si="3"/>
        <v>0.4237551072873767</v>
      </c>
    </row>
    <row r="87" spans="1:25" x14ac:dyDescent="0.3">
      <c r="A87" t="s">
        <v>261</v>
      </c>
      <c r="B87" t="s">
        <v>386</v>
      </c>
      <c r="C87">
        <v>2338</v>
      </c>
      <c r="D87" t="s">
        <v>492</v>
      </c>
      <c r="E87">
        <v>1.762</v>
      </c>
      <c r="F87">
        <v>7.7999999999999996E-3</v>
      </c>
      <c r="G87">
        <v>8.8999999999999999E-3</v>
      </c>
      <c r="H87" s="89">
        <f t="shared" si="8"/>
        <v>9.6000000000000009E-3</v>
      </c>
      <c r="I87">
        <v>1.03E-2</v>
      </c>
      <c r="J87">
        <v>0.40899999999999997</v>
      </c>
      <c r="K87">
        <v>6.6000000000000003E-2</v>
      </c>
      <c r="Q87" t="str">
        <f t="shared" si="9"/>
        <v>ACARBluebird</v>
      </c>
      <c r="Y87">
        <f t="shared" si="3"/>
        <v>0.40885187681726176</v>
      </c>
    </row>
    <row r="88" spans="1:25" x14ac:dyDescent="0.3">
      <c r="A88" t="s">
        <v>261</v>
      </c>
      <c r="B88" t="s">
        <v>386</v>
      </c>
      <c r="C88">
        <v>2338</v>
      </c>
      <c r="D88" t="s">
        <v>409</v>
      </c>
      <c r="E88">
        <v>1.762</v>
      </c>
      <c r="F88">
        <v>7.7000000000000002E-3</v>
      </c>
      <c r="G88">
        <v>8.8000000000000005E-3</v>
      </c>
      <c r="H88" s="89">
        <f t="shared" si="8"/>
        <v>9.5000000000000015E-3</v>
      </c>
      <c r="I88">
        <v>1.0200000000000001E-2</v>
      </c>
      <c r="J88">
        <v>0.40899999999999997</v>
      </c>
      <c r="K88">
        <v>6.6000000000000003E-2</v>
      </c>
      <c r="Q88" t="str">
        <f t="shared" si="9"/>
        <v>ACARBluebird</v>
      </c>
      <c r="Y88">
        <f t="shared" si="3"/>
        <v>0.40885187681726176</v>
      </c>
    </row>
    <row r="89" spans="1:25" x14ac:dyDescent="0.3">
      <c r="A89" t="s">
        <v>261</v>
      </c>
      <c r="B89" t="s">
        <v>493</v>
      </c>
      <c r="C89" s="75">
        <v>2493</v>
      </c>
      <c r="D89" t="s">
        <v>418</v>
      </c>
      <c r="E89" s="75">
        <v>1.821</v>
      </c>
      <c r="F89">
        <v>7.4000000000000003E-3</v>
      </c>
      <c r="G89" s="75">
        <v>8.6999999999999994E-3</v>
      </c>
      <c r="H89" s="89">
        <f t="shared" si="8"/>
        <v>9.3500000000000007E-3</v>
      </c>
      <c r="I89" s="75">
        <v>0.01</v>
      </c>
      <c r="J89">
        <v>0.40400000000000003</v>
      </c>
      <c r="K89" s="75">
        <v>6.5199999999999994E-2</v>
      </c>
      <c r="L89" s="96">
        <v>1670</v>
      </c>
      <c r="M89" s="96"/>
      <c r="N89" s="96"/>
      <c r="O89" s="96"/>
      <c r="P89" s="96"/>
      <c r="Q89" t="str">
        <f t="shared" si="9"/>
        <v>ACARKingfisher</v>
      </c>
      <c r="Y89">
        <f t="shared" si="3"/>
        <v>0.4036956373703266</v>
      </c>
    </row>
    <row r="90" spans="1:25" x14ac:dyDescent="0.3">
      <c r="A90" t="s">
        <v>513</v>
      </c>
      <c r="B90" t="s">
        <v>514</v>
      </c>
      <c r="C90">
        <v>383.2</v>
      </c>
      <c r="D90" s="102" t="s">
        <v>638</v>
      </c>
      <c r="E90">
        <v>0.68</v>
      </c>
      <c r="F90" s="86">
        <v>4.392045454545454E-2</v>
      </c>
      <c r="G90" s="86">
        <v>4.496212121212121E-2</v>
      </c>
      <c r="H90" s="92">
        <v>0</v>
      </c>
      <c r="I90" s="92">
        <v>0</v>
      </c>
      <c r="J90" s="86">
        <v>0.55809600000000026</v>
      </c>
      <c r="K90" s="86">
        <v>8.659090909090908E-2</v>
      </c>
      <c r="L90">
        <v>558</v>
      </c>
      <c r="Q90" t="str">
        <f t="shared" si="9"/>
        <v>ACCCOCEANSIDE</v>
      </c>
      <c r="T90" s="86"/>
      <c r="Y90">
        <f t="shared" si="3"/>
        <v>0.55790691594470943</v>
      </c>
    </row>
    <row r="91" spans="1:25" x14ac:dyDescent="0.3">
      <c r="A91" t="s">
        <v>513</v>
      </c>
      <c r="B91" t="s">
        <v>515</v>
      </c>
      <c r="C91">
        <v>430.5</v>
      </c>
      <c r="D91" s="102" t="s">
        <v>639</v>
      </c>
      <c r="E91">
        <v>0.72</v>
      </c>
      <c r="F91" s="86">
        <v>3.8920454545454543E-2</v>
      </c>
      <c r="G91" s="86">
        <v>3.9829545454545451E-2</v>
      </c>
      <c r="H91" s="92">
        <v>0</v>
      </c>
      <c r="I91" s="92">
        <v>0</v>
      </c>
      <c r="J91" s="86">
        <v>0.54912000000000005</v>
      </c>
      <c r="K91" s="86">
        <v>8.5340909090909092E-2</v>
      </c>
      <c r="L91">
        <v>602</v>
      </c>
      <c r="Q91" t="str">
        <f t="shared" si="9"/>
        <v>ACCCLINNET</v>
      </c>
      <c r="T91" s="86"/>
      <c r="Y91">
        <f t="shared" si="3"/>
        <v>0.54895865194123783</v>
      </c>
    </row>
    <row r="92" spans="1:25" x14ac:dyDescent="0.3">
      <c r="A92" t="s">
        <v>513</v>
      </c>
      <c r="B92" t="s">
        <v>516</v>
      </c>
      <c r="C92">
        <v>438.6</v>
      </c>
      <c r="D92" s="102" t="s">
        <v>640</v>
      </c>
      <c r="E92">
        <v>0.74099999999999999</v>
      </c>
      <c r="F92" s="86">
        <v>3.8238636363636364E-2</v>
      </c>
      <c r="G92" s="86">
        <v>3.9109848484848483E-2</v>
      </c>
      <c r="H92" s="92">
        <v>0</v>
      </c>
      <c r="I92" s="92">
        <v>0</v>
      </c>
      <c r="J92" s="86">
        <v>0.54489599999999994</v>
      </c>
      <c r="K92" s="86">
        <v>8.4412878787878787E-2</v>
      </c>
      <c r="L92">
        <v>612</v>
      </c>
      <c r="Q92" t="str">
        <f t="shared" si="9"/>
        <v>ACCCORIOLE</v>
      </c>
      <c r="T92" s="86"/>
      <c r="Y92">
        <f t="shared" si="3"/>
        <v>0.54445787379249022</v>
      </c>
    </row>
    <row r="93" spans="1:25" x14ac:dyDescent="0.3">
      <c r="A93" t="s">
        <v>513</v>
      </c>
      <c r="B93" t="s">
        <v>517</v>
      </c>
      <c r="C93">
        <v>454</v>
      </c>
      <c r="D93" s="102" t="s">
        <v>641</v>
      </c>
      <c r="E93">
        <v>0.77</v>
      </c>
      <c r="F93" s="86">
        <v>3.6950757575757574E-2</v>
      </c>
      <c r="G93" s="86">
        <v>3.7803030303030304E-2</v>
      </c>
      <c r="H93" s="92">
        <v>0</v>
      </c>
      <c r="I93" s="92">
        <v>0</v>
      </c>
      <c r="J93" s="86">
        <v>0.53856000000000004</v>
      </c>
      <c r="K93" s="86">
        <v>8.3428030303030296E-2</v>
      </c>
      <c r="L93">
        <v>628</v>
      </c>
      <c r="Q93" t="str">
        <f t="shared" si="9"/>
        <v>ACCCWACO</v>
      </c>
      <c r="T93" s="86"/>
      <c r="Y93">
        <f t="shared" si="3"/>
        <v>0.53844785980340149</v>
      </c>
    </row>
    <row r="94" spans="1:25" x14ac:dyDescent="0.3">
      <c r="A94" t="s">
        <v>513</v>
      </c>
      <c r="B94" t="s">
        <v>518</v>
      </c>
      <c r="C94">
        <v>529.79999999999995</v>
      </c>
      <c r="D94" s="102" t="s">
        <v>642</v>
      </c>
      <c r="E94">
        <v>0.80700000000000005</v>
      </c>
      <c r="F94" s="86">
        <v>3.1647727272727272E-2</v>
      </c>
      <c r="G94" s="86">
        <v>3.2424242424242418E-2</v>
      </c>
      <c r="H94" s="92">
        <v>0</v>
      </c>
      <c r="I94" s="92">
        <v>0</v>
      </c>
      <c r="J94" s="86">
        <v>0.53116799999999997</v>
      </c>
      <c r="K94" s="86">
        <v>8.2670454545454547E-2</v>
      </c>
      <c r="L94">
        <v>687</v>
      </c>
      <c r="Q94" t="str">
        <f t="shared" si="9"/>
        <v>ACCCLAREDO</v>
      </c>
      <c r="T94" s="86"/>
      <c r="Y94">
        <f t="shared" si="3"/>
        <v>0.53110038076884614</v>
      </c>
    </row>
    <row r="95" spans="1:25" x14ac:dyDescent="0.3">
      <c r="A95" t="s">
        <v>513</v>
      </c>
      <c r="B95" t="s">
        <v>519</v>
      </c>
      <c r="C95">
        <v>609.5</v>
      </c>
      <c r="D95" s="102" t="s">
        <v>643</v>
      </c>
      <c r="E95">
        <v>0.88200000000000001</v>
      </c>
      <c r="F95" s="86">
        <v>2.7537878787878788E-2</v>
      </c>
      <c r="G95" s="86">
        <v>2.8238636363636365E-2</v>
      </c>
      <c r="H95" s="92">
        <v>0</v>
      </c>
      <c r="I95" s="92">
        <v>0</v>
      </c>
      <c r="J95" s="86">
        <v>0.51744000000000012</v>
      </c>
      <c r="K95" s="86">
        <v>8.0359848484848478E-2</v>
      </c>
      <c r="L95">
        <v>753</v>
      </c>
      <c r="Q95" t="str">
        <f t="shared" si="9"/>
        <v>ACCCIRVING</v>
      </c>
      <c r="T95" s="86"/>
      <c r="Y95">
        <f t="shared" si="3"/>
        <v>0.51718785693186797</v>
      </c>
    </row>
    <row r="96" spans="1:25" x14ac:dyDescent="0.3">
      <c r="A96" t="s">
        <v>513</v>
      </c>
      <c r="B96" t="s">
        <v>520</v>
      </c>
      <c r="C96">
        <v>611.29999999999995</v>
      </c>
      <c r="D96" s="102" t="s">
        <v>644</v>
      </c>
      <c r="E96">
        <v>0.85799999999999998</v>
      </c>
      <c r="F96" s="86">
        <v>2.7424242424242424E-2</v>
      </c>
      <c r="G96" s="86">
        <v>2.8124999999999997E-2</v>
      </c>
      <c r="H96" s="92">
        <v>0</v>
      </c>
      <c r="I96" s="92">
        <v>0</v>
      </c>
      <c r="J96" s="86">
        <v>0.52166400000000002</v>
      </c>
      <c r="K96" s="86">
        <v>8.136363636363636E-2</v>
      </c>
      <c r="L96">
        <v>753</v>
      </c>
      <c r="Q96" t="str">
        <f t="shared" si="9"/>
        <v>ACCCHAWK</v>
      </c>
      <c r="T96" s="86"/>
      <c r="Y96">
        <f t="shared" si="3"/>
        <v>0.52150680670080363</v>
      </c>
    </row>
    <row r="97" spans="1:25" x14ac:dyDescent="0.3">
      <c r="A97" t="s">
        <v>513</v>
      </c>
      <c r="B97" t="s">
        <v>521</v>
      </c>
      <c r="C97">
        <v>713.5</v>
      </c>
      <c r="D97" s="102" t="s">
        <v>429</v>
      </c>
      <c r="E97">
        <v>0.92700000000000005</v>
      </c>
      <c r="F97" s="86">
        <v>2.3484848484848483E-2</v>
      </c>
      <c r="G97" s="86">
        <v>2.4128787878787882E-2</v>
      </c>
      <c r="H97" s="92">
        <v>0</v>
      </c>
      <c r="I97" s="92">
        <v>0</v>
      </c>
      <c r="J97" s="86">
        <v>0.50952000000000008</v>
      </c>
      <c r="K97" s="86">
        <v>7.9545454545454544E-2</v>
      </c>
      <c r="L97">
        <v>826</v>
      </c>
      <c r="Q97" t="str">
        <f t="shared" si="9"/>
        <v>ACCCDOVE</v>
      </c>
      <c r="T97" s="86"/>
      <c r="Y97">
        <f t="shared" si="3"/>
        <v>0.50939759308737731</v>
      </c>
    </row>
    <row r="98" spans="1:25" x14ac:dyDescent="0.3">
      <c r="A98" t="s">
        <v>513</v>
      </c>
      <c r="B98" t="s">
        <v>522</v>
      </c>
      <c r="C98">
        <v>784.7</v>
      </c>
      <c r="D98" s="102" t="s">
        <v>645</v>
      </c>
      <c r="E98">
        <v>0.99</v>
      </c>
      <c r="F98" s="86">
        <v>2.1439393939393939E-2</v>
      </c>
      <c r="G98" s="86">
        <v>2.2121212121212121E-2</v>
      </c>
      <c r="H98" s="92">
        <v>0</v>
      </c>
      <c r="I98" s="92">
        <v>0</v>
      </c>
      <c r="J98" s="86">
        <v>0.49948800000000004</v>
      </c>
      <c r="K98" s="86">
        <v>7.7784090909090914E-2</v>
      </c>
      <c r="L98">
        <v>879</v>
      </c>
      <c r="Q98" t="str">
        <f t="shared" si="9"/>
        <v>ACCCAMARILLO</v>
      </c>
      <c r="T98" s="86"/>
      <c r="Y98">
        <f t="shared" ref="Y98:Y161" si="10">(1.779/60)*LN(1/(E98*0.5/12))*5.28</f>
        <v>0.49910408342716894</v>
      </c>
    </row>
    <row r="99" spans="1:25" x14ac:dyDescent="0.3">
      <c r="A99" t="s">
        <v>513</v>
      </c>
      <c r="B99" t="s">
        <v>523</v>
      </c>
      <c r="C99">
        <v>821.4</v>
      </c>
      <c r="D99" s="102" t="s">
        <v>646</v>
      </c>
      <c r="E99">
        <v>0.99</v>
      </c>
      <c r="F99" s="86">
        <v>2.0473484848484848E-2</v>
      </c>
      <c r="G99" s="86">
        <v>2.1098484848484849E-2</v>
      </c>
      <c r="H99" s="92">
        <v>0</v>
      </c>
      <c r="I99" s="92">
        <v>0</v>
      </c>
      <c r="J99" s="86">
        <v>0.49948800000000004</v>
      </c>
      <c r="K99" s="86">
        <v>7.8049242424242424E-2</v>
      </c>
      <c r="L99">
        <v>898</v>
      </c>
      <c r="Q99" t="str">
        <f t="shared" ref="Q99:Q130" si="11">_xlfn.CONCAT(A99,B99)</f>
        <v>ACCCGROSBEAK</v>
      </c>
      <c r="T99" s="86"/>
      <c r="Y99">
        <f t="shared" si="10"/>
        <v>0.49910408342716894</v>
      </c>
    </row>
    <row r="100" spans="1:25" x14ac:dyDescent="0.3">
      <c r="A100" t="s">
        <v>513</v>
      </c>
      <c r="B100" t="s">
        <v>524</v>
      </c>
      <c r="C100">
        <v>903.9</v>
      </c>
      <c r="D100" s="102" t="s">
        <v>647</v>
      </c>
      <c r="E100">
        <v>1.04</v>
      </c>
      <c r="F100" s="86">
        <v>1.8541666666666665E-2</v>
      </c>
      <c r="G100" s="86">
        <v>1.9147727272727271E-2</v>
      </c>
      <c r="H100" s="92">
        <v>0</v>
      </c>
      <c r="I100" s="92">
        <v>0</v>
      </c>
      <c r="J100" s="86">
        <v>0.49156800000000006</v>
      </c>
      <c r="K100" s="86">
        <v>7.6912878787878794E-2</v>
      </c>
      <c r="L100">
        <v>956</v>
      </c>
      <c r="Q100" t="str">
        <f t="shared" si="11"/>
        <v>ACCCLUBBOCK</v>
      </c>
      <c r="T100" s="86"/>
      <c r="Y100">
        <f t="shared" si="10"/>
        <v>0.49139060216305908</v>
      </c>
    </row>
    <row r="101" spans="1:25" x14ac:dyDescent="0.3">
      <c r="A101" t="s">
        <v>513</v>
      </c>
      <c r="B101" t="s">
        <v>525</v>
      </c>
      <c r="C101">
        <v>1011.3</v>
      </c>
      <c r="D101" s="102" t="s">
        <v>648</v>
      </c>
      <c r="E101">
        <v>1.0900000000000001</v>
      </c>
      <c r="F101" s="86">
        <v>1.6571969696969696E-2</v>
      </c>
      <c r="G101" s="86">
        <v>1.7178030303030303E-2</v>
      </c>
      <c r="H101" s="92">
        <v>0</v>
      </c>
      <c r="I101" s="92">
        <v>0</v>
      </c>
      <c r="J101" s="86">
        <v>0.48417600000000005</v>
      </c>
      <c r="K101" s="86">
        <v>7.5890151515151508E-2</v>
      </c>
      <c r="L101">
        <v>1022</v>
      </c>
      <c r="Q101" t="str">
        <f t="shared" si="11"/>
        <v>ACCCGALVESTON</v>
      </c>
      <c r="T101" s="86"/>
      <c r="Y101">
        <f t="shared" si="10"/>
        <v>0.48403939254670236</v>
      </c>
    </row>
    <row r="102" spans="1:25" x14ac:dyDescent="0.3">
      <c r="A102" t="s">
        <v>513</v>
      </c>
      <c r="B102" t="s">
        <v>526</v>
      </c>
      <c r="C102">
        <v>1025.5999999999999</v>
      </c>
      <c r="D102" s="102" t="s">
        <v>649</v>
      </c>
      <c r="E102">
        <v>1.1080000000000001</v>
      </c>
      <c r="F102" s="86">
        <v>1.6344696969696971E-2</v>
      </c>
      <c r="G102" s="86">
        <v>1.6893939393939392E-2</v>
      </c>
      <c r="H102" s="92">
        <v>0</v>
      </c>
      <c r="I102" s="92">
        <v>0</v>
      </c>
      <c r="J102" s="86">
        <v>0.48153600000000002</v>
      </c>
      <c r="K102" s="86">
        <v>7.5397727272727269E-2</v>
      </c>
      <c r="L102">
        <v>1036</v>
      </c>
      <c r="Q102" t="str">
        <f t="shared" si="11"/>
        <v>ACCCDRAKE</v>
      </c>
      <c r="T102" s="86"/>
      <c r="Y102">
        <f t="shared" si="10"/>
        <v>0.48147524423316179</v>
      </c>
    </row>
    <row r="103" spans="1:25" x14ac:dyDescent="0.3">
      <c r="A103" t="s">
        <v>513</v>
      </c>
      <c r="B103" t="s">
        <v>527</v>
      </c>
      <c r="C103">
        <v>1033</v>
      </c>
      <c r="D103" s="102" t="s">
        <v>650</v>
      </c>
      <c r="E103">
        <v>1.1399999999999999</v>
      </c>
      <c r="F103" s="86">
        <v>1.6325757575757573E-2</v>
      </c>
      <c r="G103" s="86">
        <v>1.7007575757575756E-2</v>
      </c>
      <c r="H103" s="92">
        <v>0</v>
      </c>
      <c r="I103" s="92">
        <v>0</v>
      </c>
      <c r="J103" s="86">
        <v>0.47731200000000001</v>
      </c>
      <c r="K103" s="86">
        <v>7.4621212121212116E-2</v>
      </c>
      <c r="L103">
        <v>1042</v>
      </c>
      <c r="Q103" t="str">
        <f t="shared" si="11"/>
        <v>ACCCCURLEW</v>
      </c>
      <c r="T103" s="86"/>
      <c r="Y103">
        <f t="shared" si="10"/>
        <v>0.47701794671238418</v>
      </c>
    </row>
    <row r="104" spans="1:25" x14ac:dyDescent="0.3">
      <c r="A104" t="s">
        <v>513</v>
      </c>
      <c r="B104" t="s">
        <v>528</v>
      </c>
      <c r="C104">
        <v>1059.5</v>
      </c>
      <c r="D104" s="102" t="s">
        <v>651</v>
      </c>
      <c r="E104">
        <v>1.127</v>
      </c>
      <c r="F104" s="86">
        <v>1.5909090909090911E-2</v>
      </c>
      <c r="G104" s="86">
        <v>1.659090909090909E-2</v>
      </c>
      <c r="H104" s="92">
        <v>0</v>
      </c>
      <c r="I104" s="92">
        <v>0</v>
      </c>
      <c r="J104" s="86">
        <v>0.47889600000000004</v>
      </c>
      <c r="K104" s="86">
        <v>7.5208333333333335E-2</v>
      </c>
      <c r="L104">
        <v>1050</v>
      </c>
      <c r="Q104" t="str">
        <f t="shared" si="11"/>
        <v>ACCCPLANO</v>
      </c>
      <c r="T104" s="86"/>
      <c r="Y104">
        <f t="shared" si="10"/>
        <v>0.47881344588188807</v>
      </c>
    </row>
    <row r="105" spans="1:25" x14ac:dyDescent="0.3">
      <c r="A105" t="s">
        <v>513</v>
      </c>
      <c r="B105" t="s">
        <v>529</v>
      </c>
      <c r="C105">
        <v>1103</v>
      </c>
      <c r="D105" s="102" t="s">
        <v>652</v>
      </c>
      <c r="E105">
        <v>1.1459999999999999</v>
      </c>
      <c r="F105" s="86">
        <v>1.5265151515151515E-2</v>
      </c>
      <c r="G105" s="86">
        <v>1.596590909090909E-2</v>
      </c>
      <c r="H105" s="92">
        <v>0</v>
      </c>
      <c r="I105" s="92">
        <v>0</v>
      </c>
      <c r="J105" s="86">
        <v>0.47625600000000001</v>
      </c>
      <c r="K105" s="86">
        <v>7.4848484848484845E-2</v>
      </c>
      <c r="L105">
        <v>1076</v>
      </c>
      <c r="Q105" t="str">
        <f t="shared" si="11"/>
        <v>ACCCCORPUS_CHRISTI</v>
      </c>
      <c r="T105" s="86"/>
      <c r="Y105">
        <f t="shared" si="10"/>
        <v>0.47619614954969663</v>
      </c>
    </row>
    <row r="106" spans="1:25" x14ac:dyDescent="0.3">
      <c r="A106" t="s">
        <v>513</v>
      </c>
      <c r="B106" t="s">
        <v>530</v>
      </c>
      <c r="C106">
        <v>1151</v>
      </c>
      <c r="D106" s="102" t="s">
        <v>653</v>
      </c>
      <c r="E106">
        <v>1.177</v>
      </c>
      <c r="F106" s="86">
        <v>1.4640151515151514E-2</v>
      </c>
      <c r="G106" s="86">
        <v>1.5321969696969697E-2</v>
      </c>
      <c r="H106" s="92">
        <v>0</v>
      </c>
      <c r="I106" s="92">
        <v>0</v>
      </c>
      <c r="J106" s="86">
        <v>0.47203200000000001</v>
      </c>
      <c r="K106" s="86">
        <v>7.4147727272727268E-2</v>
      </c>
      <c r="L106">
        <v>1106</v>
      </c>
      <c r="Q106" t="str">
        <f t="shared" si="11"/>
        <v>ACCCARLINGTON</v>
      </c>
      <c r="T106" s="86"/>
      <c r="Y106">
        <f t="shared" si="10"/>
        <v>0.47201758724403226</v>
      </c>
    </row>
    <row r="107" spans="1:25" x14ac:dyDescent="0.3">
      <c r="A107" t="s">
        <v>513</v>
      </c>
      <c r="B107" t="s">
        <v>531</v>
      </c>
      <c r="C107">
        <v>1221.8</v>
      </c>
      <c r="D107" s="102" t="s">
        <v>654</v>
      </c>
      <c r="E107">
        <v>1.198</v>
      </c>
      <c r="F107" s="86">
        <v>1.3787878787878788E-2</v>
      </c>
      <c r="G107" s="86">
        <v>1.4431818181818181E-2</v>
      </c>
      <c r="H107" s="92">
        <v>0</v>
      </c>
      <c r="I107" s="92">
        <v>0</v>
      </c>
      <c r="J107" s="86">
        <v>0.46939200000000003</v>
      </c>
      <c r="K107" s="86">
        <v>7.3863636363636367E-2</v>
      </c>
      <c r="L107">
        <v>1146</v>
      </c>
      <c r="Q107" t="str">
        <f t="shared" si="11"/>
        <v>ACCCCARDINAL</v>
      </c>
      <c r="T107" s="86"/>
      <c r="Y107">
        <f t="shared" si="10"/>
        <v>0.46924901656465273</v>
      </c>
    </row>
    <row r="108" spans="1:25" x14ac:dyDescent="0.3">
      <c r="A108" t="s">
        <v>513</v>
      </c>
      <c r="B108" t="s">
        <v>532</v>
      </c>
      <c r="C108">
        <v>1300.4000000000001</v>
      </c>
      <c r="D108" s="102" t="s">
        <v>655</v>
      </c>
      <c r="E108">
        <v>1.24</v>
      </c>
      <c r="F108" s="86">
        <v>1.2954545454545455E-2</v>
      </c>
      <c r="G108" s="86">
        <v>1.365530303030303E-2</v>
      </c>
      <c r="H108" s="92">
        <v>0</v>
      </c>
      <c r="I108" s="92">
        <v>0</v>
      </c>
      <c r="J108" s="86">
        <v>0.46411200000000008</v>
      </c>
      <c r="K108" s="86">
        <v>7.3011363636363638E-2</v>
      </c>
      <c r="L108">
        <v>1189</v>
      </c>
      <c r="Q108" t="str">
        <f t="shared" si="11"/>
        <v>ACCCFORT_WORTH</v>
      </c>
      <c r="T108" s="86"/>
      <c r="Y108">
        <f t="shared" si="10"/>
        <v>0.46385456654683954</v>
      </c>
    </row>
    <row r="109" spans="1:25" x14ac:dyDescent="0.3">
      <c r="A109" t="s">
        <v>513</v>
      </c>
      <c r="B109" t="s">
        <v>533</v>
      </c>
      <c r="C109">
        <v>1349.9</v>
      </c>
      <c r="D109" s="102" t="s">
        <v>656</v>
      </c>
      <c r="E109">
        <v>1.252</v>
      </c>
      <c r="F109" s="86">
        <v>1.2481060606060605E-2</v>
      </c>
      <c r="G109" s="86">
        <v>1.321969696969697E-2</v>
      </c>
      <c r="H109" s="92">
        <v>0</v>
      </c>
      <c r="I109" s="92">
        <v>0</v>
      </c>
      <c r="J109" s="86">
        <v>0.46252799999999999</v>
      </c>
      <c r="K109" s="86">
        <v>7.2916666666666671E-2</v>
      </c>
      <c r="L109">
        <v>1212</v>
      </c>
      <c r="Q109" t="str">
        <f t="shared" si="11"/>
        <v>ACCCEL_PASO</v>
      </c>
      <c r="T109" s="86"/>
      <c r="Y109">
        <f t="shared" si="10"/>
        <v>0.46234683097635998</v>
      </c>
    </row>
    <row r="110" spans="1:25" x14ac:dyDescent="0.3">
      <c r="A110" t="s">
        <v>513</v>
      </c>
      <c r="B110" t="s">
        <v>534</v>
      </c>
      <c r="C110">
        <v>1428.6</v>
      </c>
      <c r="D110" s="102" t="s">
        <v>657</v>
      </c>
      <c r="E110">
        <v>1.294</v>
      </c>
      <c r="F110" s="86">
        <v>1.1799242424242424E-2</v>
      </c>
      <c r="G110" s="86">
        <v>1.2518939393939395E-2</v>
      </c>
      <c r="H110" s="92">
        <v>0</v>
      </c>
      <c r="I110" s="92">
        <v>0</v>
      </c>
      <c r="J110" s="86">
        <v>0.45724799999999999</v>
      </c>
      <c r="K110" s="86">
        <v>7.2102272727272723E-2</v>
      </c>
      <c r="L110">
        <v>1257</v>
      </c>
      <c r="Q110" t="str">
        <f t="shared" si="11"/>
        <v>ACCCBEAUMONT</v>
      </c>
      <c r="T110" s="86"/>
      <c r="Y110">
        <f t="shared" si="10"/>
        <v>0.45718125317611752</v>
      </c>
    </row>
    <row r="111" spans="1:25" x14ac:dyDescent="0.3">
      <c r="A111" t="s">
        <v>513</v>
      </c>
      <c r="B111" t="s">
        <v>535</v>
      </c>
      <c r="C111">
        <v>1474.9</v>
      </c>
      <c r="D111" s="102" t="s">
        <v>658</v>
      </c>
      <c r="E111">
        <v>1.3149999999999999</v>
      </c>
      <c r="F111" s="86">
        <v>1.1420454545454544E-2</v>
      </c>
      <c r="G111" s="86">
        <v>1.1799242424242424E-2</v>
      </c>
      <c r="H111" s="92">
        <v>0</v>
      </c>
      <c r="I111" s="92">
        <v>0</v>
      </c>
      <c r="J111" s="86">
        <v>0.45460800000000001</v>
      </c>
      <c r="K111" s="86">
        <v>7.1723484848484842E-2</v>
      </c>
      <c r="L111">
        <v>1302</v>
      </c>
      <c r="Q111" t="str">
        <f t="shared" si="11"/>
        <v>ACCCSAN_ANTONIO</v>
      </c>
      <c r="T111" s="86"/>
      <c r="Y111">
        <f t="shared" si="10"/>
        <v>0.45466100557096645</v>
      </c>
    </row>
    <row r="112" spans="1:25" x14ac:dyDescent="0.3">
      <c r="A112" t="s">
        <v>513</v>
      </c>
      <c r="B112" t="s">
        <v>536</v>
      </c>
      <c r="C112">
        <v>1581.6</v>
      </c>
      <c r="D112" s="102" t="s">
        <v>659</v>
      </c>
      <c r="E112">
        <v>1.345</v>
      </c>
      <c r="F112" s="86">
        <v>1.0719696969696969E-2</v>
      </c>
      <c r="G112" s="86">
        <v>1.1420454545454544E-2</v>
      </c>
      <c r="H112" s="92">
        <v>0</v>
      </c>
      <c r="I112" s="92">
        <v>0</v>
      </c>
      <c r="J112" s="86">
        <v>0.45144000000000006</v>
      </c>
      <c r="K112" s="86">
        <v>7.1363636363636365E-2</v>
      </c>
      <c r="L112">
        <v>1331</v>
      </c>
      <c r="Q112" t="str">
        <f t="shared" si="11"/>
        <v>ACCCBITTERN</v>
      </c>
      <c r="T112" s="86"/>
      <c r="Y112">
        <f t="shared" si="10"/>
        <v>0.45112960771703275</v>
      </c>
    </row>
    <row r="113" spans="1:25" x14ac:dyDescent="0.3">
      <c r="A113" t="s">
        <v>513</v>
      </c>
      <c r="B113" t="s">
        <v>537</v>
      </c>
      <c r="C113">
        <v>1794.9</v>
      </c>
      <c r="D113" s="102" t="s">
        <v>660</v>
      </c>
      <c r="E113">
        <v>1.452</v>
      </c>
      <c r="F113" s="86">
        <v>9.4128787878787878E-3</v>
      </c>
      <c r="G113" s="86">
        <v>1.0340909090909092E-2</v>
      </c>
      <c r="H113" s="92">
        <v>0</v>
      </c>
      <c r="I113" s="92">
        <v>0</v>
      </c>
      <c r="J113" s="86">
        <v>0.43929600000000002</v>
      </c>
      <c r="K113" s="86">
        <v>6.9545454545454549E-2</v>
      </c>
      <c r="L113">
        <v>1434</v>
      </c>
      <c r="Q113" t="str">
        <f t="shared" si="11"/>
        <v>ACCCDALLAS</v>
      </c>
      <c r="T113" s="86"/>
      <c r="Y113">
        <f t="shared" si="10"/>
        <v>0.43914588035197105</v>
      </c>
    </row>
    <row r="114" spans="1:25" x14ac:dyDescent="0.3">
      <c r="A114" t="s">
        <v>513</v>
      </c>
      <c r="B114" t="s">
        <v>538</v>
      </c>
      <c r="C114">
        <v>1927.4</v>
      </c>
      <c r="D114" s="102" t="s">
        <v>661</v>
      </c>
      <c r="E114">
        <v>1.506</v>
      </c>
      <c r="F114" s="86">
        <v>8.6931818181818186E-3</v>
      </c>
      <c r="G114" s="86">
        <v>9.6590909090909088E-3</v>
      </c>
      <c r="H114" s="92">
        <v>0</v>
      </c>
      <c r="I114" s="92">
        <v>0</v>
      </c>
      <c r="J114" s="86">
        <v>0.43348800000000004</v>
      </c>
      <c r="K114" s="86">
        <v>6.8655303030303025E-2</v>
      </c>
      <c r="L114">
        <v>1502</v>
      </c>
      <c r="Q114" t="str">
        <f t="shared" si="11"/>
        <v>ACCCHOUSTON</v>
      </c>
      <c r="T114" s="86"/>
      <c r="Y114">
        <f t="shared" si="10"/>
        <v>0.43342935073029359</v>
      </c>
    </row>
    <row r="115" spans="1:25" x14ac:dyDescent="0.3">
      <c r="A115" t="s">
        <v>513</v>
      </c>
      <c r="B115" t="s">
        <v>539</v>
      </c>
      <c r="C115">
        <v>1948.9</v>
      </c>
      <c r="D115" s="102" t="s">
        <v>662</v>
      </c>
      <c r="E115">
        <v>1.504</v>
      </c>
      <c r="F115" s="86">
        <v>8.6742424242424246E-3</v>
      </c>
      <c r="G115" s="86">
        <v>9.6022727272727267E-3</v>
      </c>
      <c r="H115" s="92">
        <v>0</v>
      </c>
      <c r="I115" s="92">
        <v>0</v>
      </c>
      <c r="J115" s="86">
        <v>0.43401600000000001</v>
      </c>
      <c r="K115" s="86">
        <v>6.8806818181818177E-2</v>
      </c>
      <c r="L115">
        <v>1502</v>
      </c>
      <c r="Q115" t="str">
        <f t="shared" si="11"/>
        <v>ACCCLAPWING</v>
      </c>
      <c r="T115" s="86"/>
      <c r="Y115">
        <f t="shared" si="10"/>
        <v>0.43363739328582723</v>
      </c>
    </row>
    <row r="116" spans="1:25" x14ac:dyDescent="0.3">
      <c r="A116" t="s">
        <v>513</v>
      </c>
      <c r="B116" t="s">
        <v>540</v>
      </c>
      <c r="C116">
        <v>2045.1</v>
      </c>
      <c r="D116" s="102" t="s">
        <v>663</v>
      </c>
      <c r="E116">
        <v>1.5449999999999999</v>
      </c>
      <c r="F116" s="86">
        <v>8.257575757575757E-3</v>
      </c>
      <c r="G116" s="86">
        <v>9.0719696969696964E-3</v>
      </c>
      <c r="H116" s="92">
        <v>0</v>
      </c>
      <c r="I116" s="92">
        <v>0</v>
      </c>
      <c r="J116" s="86">
        <v>0.42979200000000001</v>
      </c>
      <c r="K116" s="86">
        <v>6.8125000000000005E-2</v>
      </c>
      <c r="L116">
        <v>1555</v>
      </c>
      <c r="Q116" t="str">
        <f t="shared" si="11"/>
        <v>ACCCFALCON</v>
      </c>
      <c r="T116" s="86"/>
      <c r="Y116">
        <f t="shared" si="10"/>
        <v>0.42942682003556393</v>
      </c>
    </row>
    <row r="117" spans="1:25" x14ac:dyDescent="0.3">
      <c r="A117" t="s">
        <v>513</v>
      </c>
      <c r="B117" t="s">
        <v>541</v>
      </c>
      <c r="C117">
        <v>2740.6</v>
      </c>
      <c r="D117" s="102" t="s">
        <v>664</v>
      </c>
      <c r="E117">
        <v>1.762</v>
      </c>
      <c r="F117" s="86">
        <v>6.1742424242424232E-3</v>
      </c>
      <c r="G117" s="86">
        <v>7.329545454545454E-3</v>
      </c>
      <c r="H117" s="92">
        <v>0</v>
      </c>
      <c r="I117" s="92">
        <v>0</v>
      </c>
      <c r="J117" s="86">
        <v>0.40920000000000001</v>
      </c>
      <c r="K117" s="86">
        <v>6.5246212121212108E-2</v>
      </c>
      <c r="L117">
        <v>1808</v>
      </c>
      <c r="Q117" t="str">
        <f t="shared" si="11"/>
        <v>ACCCBLUEBIRD</v>
      </c>
      <c r="T117" s="86"/>
      <c r="Y117">
        <f>(1.779/60)*LN(1/(E117*0.5/12))*5.28</f>
        <v>0.40885187681726176</v>
      </c>
    </row>
    <row r="118" spans="1:25" x14ac:dyDescent="0.3">
      <c r="A118" t="s">
        <v>582</v>
      </c>
      <c r="B118" t="s">
        <v>366</v>
      </c>
      <c r="C118">
        <v>266.8</v>
      </c>
      <c r="D118" t="s">
        <v>429</v>
      </c>
      <c r="E118">
        <v>0.64200000000000002</v>
      </c>
      <c r="F118">
        <v>6.1899999999999997E-2</v>
      </c>
      <c r="G118">
        <v>6.3299999999999995E-2</v>
      </c>
      <c r="I118">
        <v>7.6200000000000004E-2</v>
      </c>
      <c r="J118">
        <v>0.56499999999999995</v>
      </c>
      <c r="K118">
        <v>8.7999999999999995E-2</v>
      </c>
      <c r="M118">
        <v>366.9</v>
      </c>
      <c r="N118">
        <v>9.6999999999999993</v>
      </c>
      <c r="O118">
        <v>11.4</v>
      </c>
      <c r="Q118" t="str">
        <f t="shared" si="11"/>
        <v>ACSSPartridge</v>
      </c>
      <c r="Y118">
        <f t="shared" si="10"/>
        <v>0.56690935956457233</v>
      </c>
    </row>
    <row r="119" spans="1:25" x14ac:dyDescent="0.3">
      <c r="A119" t="s">
        <v>582</v>
      </c>
      <c r="B119" t="s">
        <v>367</v>
      </c>
      <c r="C119">
        <v>336.4</v>
      </c>
      <c r="D119" t="s">
        <v>422</v>
      </c>
      <c r="E119">
        <v>0.74099999999999999</v>
      </c>
      <c r="F119">
        <v>4.8800000000000003E-2</v>
      </c>
      <c r="G119">
        <v>4.99E-2</v>
      </c>
      <c r="I119">
        <v>6.0100000000000001E-2</v>
      </c>
      <c r="J119">
        <v>0.54400000000000004</v>
      </c>
      <c r="K119">
        <v>8.4000000000000005E-2</v>
      </c>
      <c r="M119">
        <v>526.4</v>
      </c>
      <c r="N119">
        <v>16.3</v>
      </c>
      <c r="O119">
        <v>19.100000000000001</v>
      </c>
      <c r="Q119" t="str">
        <f t="shared" si="11"/>
        <v>ACSSOriole</v>
      </c>
      <c r="Y119">
        <f t="shared" si="10"/>
        <v>0.54445787379249022</v>
      </c>
    </row>
    <row r="120" spans="1:25" x14ac:dyDescent="0.3">
      <c r="A120" t="s">
        <v>582</v>
      </c>
      <c r="B120" t="s">
        <v>453</v>
      </c>
      <c r="C120">
        <v>336.4</v>
      </c>
      <c r="D120" t="s">
        <v>429</v>
      </c>
      <c r="E120">
        <v>0.72</v>
      </c>
      <c r="F120">
        <v>4.9200000000000001E-2</v>
      </c>
      <c r="G120">
        <v>5.0299999999999997E-2</v>
      </c>
      <c r="I120">
        <v>6.0499999999999998E-2</v>
      </c>
      <c r="J120">
        <v>0.54900000000000004</v>
      </c>
      <c r="K120">
        <v>8.5000000000000006E-2</v>
      </c>
      <c r="M120">
        <v>462</v>
      </c>
      <c r="N120">
        <v>12.3</v>
      </c>
      <c r="O120">
        <v>14.4</v>
      </c>
      <c r="Q120" t="str">
        <f t="shared" si="11"/>
        <v>ACSSLinnet</v>
      </c>
      <c r="Y120">
        <f t="shared" si="10"/>
        <v>0.54895865194123783</v>
      </c>
    </row>
    <row r="121" spans="1:25" x14ac:dyDescent="0.3">
      <c r="A121" t="s">
        <v>582</v>
      </c>
      <c r="B121" t="s">
        <v>583</v>
      </c>
      <c r="C121">
        <v>397.5</v>
      </c>
      <c r="D121" t="s">
        <v>422</v>
      </c>
      <c r="E121">
        <v>0.80600000000000005</v>
      </c>
      <c r="F121">
        <v>4.1300000000000003E-2</v>
      </c>
      <c r="G121">
        <v>4.2299999999999997E-2</v>
      </c>
      <c r="I121">
        <v>5.0900000000000001E-2</v>
      </c>
      <c r="J121">
        <v>0.53300000000000003</v>
      </c>
      <c r="K121">
        <v>8.2000000000000003E-2</v>
      </c>
      <c r="M121">
        <v>621.79999999999995</v>
      </c>
      <c r="N121">
        <v>19.3</v>
      </c>
      <c r="O121">
        <v>22.6</v>
      </c>
      <c r="Q121" t="str">
        <f t="shared" si="11"/>
        <v>ACSSLark</v>
      </c>
      <c r="Y121">
        <f t="shared" si="10"/>
        <v>0.53129449362694547</v>
      </c>
    </row>
    <row r="122" spans="1:25" x14ac:dyDescent="0.3">
      <c r="A122" t="s">
        <v>582</v>
      </c>
      <c r="B122" t="s">
        <v>369</v>
      </c>
      <c r="C122">
        <v>397.5</v>
      </c>
      <c r="D122" t="s">
        <v>429</v>
      </c>
      <c r="E122">
        <v>0.78300000000000003</v>
      </c>
      <c r="F122">
        <v>4.1599999999999998E-2</v>
      </c>
      <c r="G122">
        <v>4.2599999999999999E-2</v>
      </c>
      <c r="I122">
        <v>5.1200000000000002E-2</v>
      </c>
      <c r="J122">
        <v>0.53900000000000003</v>
      </c>
      <c r="K122">
        <v>8.4000000000000005E-2</v>
      </c>
      <c r="M122">
        <v>546</v>
      </c>
      <c r="N122">
        <v>14.2</v>
      </c>
      <c r="O122">
        <v>16.5</v>
      </c>
      <c r="Q122" t="str">
        <f t="shared" si="11"/>
        <v>ACSSIbis</v>
      </c>
      <c r="Y122">
        <f t="shared" si="10"/>
        <v>0.53582683786109098</v>
      </c>
    </row>
    <row r="123" spans="1:25" x14ac:dyDescent="0.3">
      <c r="A123" t="s">
        <v>582</v>
      </c>
      <c r="B123" t="s">
        <v>371</v>
      </c>
      <c r="C123">
        <v>477</v>
      </c>
      <c r="D123" t="s">
        <v>422</v>
      </c>
      <c r="E123">
        <v>0.88300000000000001</v>
      </c>
      <c r="F123">
        <v>3.44E-2</v>
      </c>
      <c r="G123">
        <v>3.5299999999999998E-2</v>
      </c>
      <c r="I123">
        <v>4.24E-2</v>
      </c>
      <c r="J123">
        <v>0.51700000000000002</v>
      </c>
      <c r="K123">
        <v>0.08</v>
      </c>
      <c r="M123">
        <v>746.4</v>
      </c>
      <c r="N123">
        <v>22.7</v>
      </c>
      <c r="O123">
        <v>26.7</v>
      </c>
      <c r="Q123" t="str">
        <f t="shared" si="11"/>
        <v>ACSSHen</v>
      </c>
      <c r="Y123">
        <f t="shared" si="10"/>
        <v>0.51701046087889191</v>
      </c>
    </row>
    <row r="124" spans="1:25" x14ac:dyDescent="0.3">
      <c r="A124" t="s">
        <v>582</v>
      </c>
      <c r="B124" t="s">
        <v>451</v>
      </c>
      <c r="C124">
        <v>477</v>
      </c>
      <c r="D124" t="s">
        <v>429</v>
      </c>
      <c r="E124">
        <v>0.85799999999999998</v>
      </c>
      <c r="F124">
        <v>3.4700000000000002E-2</v>
      </c>
      <c r="G124">
        <v>3.5499999999999997E-2</v>
      </c>
      <c r="I124">
        <v>4.2700000000000002E-2</v>
      </c>
      <c r="J124">
        <v>0.52200000000000002</v>
      </c>
      <c r="K124">
        <v>8.1000000000000003E-2</v>
      </c>
      <c r="M124">
        <v>655.29999999999995</v>
      </c>
      <c r="N124">
        <v>17.100000000000001</v>
      </c>
      <c r="O124">
        <v>19.8</v>
      </c>
      <c r="Q124" t="str">
        <f t="shared" si="11"/>
        <v>ACSSHawk</v>
      </c>
      <c r="Y124">
        <f t="shared" si="10"/>
        <v>0.52150680670080363</v>
      </c>
    </row>
    <row r="125" spans="1:25" x14ac:dyDescent="0.3">
      <c r="A125" t="s">
        <v>582</v>
      </c>
      <c r="B125" t="s">
        <v>370</v>
      </c>
      <c r="C125">
        <v>477</v>
      </c>
      <c r="D125" t="s">
        <v>457</v>
      </c>
      <c r="E125">
        <v>0.84599999999999997</v>
      </c>
      <c r="F125">
        <v>3.4799999999999998E-2</v>
      </c>
      <c r="G125">
        <v>3.5700000000000003E-2</v>
      </c>
      <c r="I125">
        <v>4.2900000000000001E-2</v>
      </c>
      <c r="J125">
        <v>0.52400000000000002</v>
      </c>
      <c r="K125">
        <v>8.2000000000000003E-2</v>
      </c>
      <c r="M125">
        <v>613.9</v>
      </c>
      <c r="N125">
        <v>14.2</v>
      </c>
      <c r="O125">
        <v>16.399999999999999</v>
      </c>
      <c r="Q125" t="str">
        <f t="shared" si="11"/>
        <v>ACSSFlicker</v>
      </c>
      <c r="Y125">
        <f t="shared" si="10"/>
        <v>0.52371180089876967</v>
      </c>
    </row>
    <row r="126" spans="1:25" x14ac:dyDescent="0.3">
      <c r="A126" t="s">
        <v>582</v>
      </c>
      <c r="B126" t="s">
        <v>584</v>
      </c>
      <c r="C126">
        <v>556.5</v>
      </c>
      <c r="D126" t="s">
        <v>422</v>
      </c>
      <c r="E126">
        <v>0.95299999999999996</v>
      </c>
      <c r="F126">
        <v>2.9499999999999998E-2</v>
      </c>
      <c r="G126">
        <v>3.0300000000000001E-2</v>
      </c>
      <c r="I126">
        <v>3.6400000000000002E-2</v>
      </c>
      <c r="J126">
        <v>0.505</v>
      </c>
      <c r="K126">
        <v>7.9000000000000001E-2</v>
      </c>
      <c r="M126">
        <v>870.7</v>
      </c>
      <c r="N126">
        <v>26.5</v>
      </c>
      <c r="O126">
        <v>31.1</v>
      </c>
      <c r="Q126" t="str">
        <f t="shared" si="11"/>
        <v>ACSSEagle</v>
      </c>
      <c r="Y126">
        <f t="shared" si="10"/>
        <v>0.50506715528697055</v>
      </c>
    </row>
    <row r="127" spans="1:25" x14ac:dyDescent="0.3">
      <c r="A127" t="s">
        <v>582</v>
      </c>
      <c r="B127" t="s">
        <v>374</v>
      </c>
      <c r="C127">
        <v>556.5</v>
      </c>
      <c r="D127" t="s">
        <v>429</v>
      </c>
      <c r="E127">
        <v>0.92700000000000005</v>
      </c>
      <c r="F127">
        <v>2.9700000000000001E-2</v>
      </c>
      <c r="G127">
        <v>3.0499999999999999E-2</v>
      </c>
      <c r="I127">
        <v>3.6700000000000003E-2</v>
      </c>
      <c r="J127">
        <v>0.51</v>
      </c>
      <c r="K127">
        <v>0.08</v>
      </c>
      <c r="M127">
        <v>765.2</v>
      </c>
      <c r="N127">
        <v>19.899999999999999</v>
      </c>
      <c r="O127">
        <v>23.1</v>
      </c>
      <c r="Q127" t="str">
        <f t="shared" si="11"/>
        <v>ACSSDove</v>
      </c>
      <c r="Y127">
        <f t="shared" si="10"/>
        <v>0.50939759308737731</v>
      </c>
    </row>
    <row r="128" spans="1:25" x14ac:dyDescent="0.3">
      <c r="A128" t="s">
        <v>582</v>
      </c>
      <c r="B128" t="s">
        <v>373</v>
      </c>
      <c r="C128">
        <v>556.5</v>
      </c>
      <c r="D128" t="s">
        <v>457</v>
      </c>
      <c r="E128">
        <v>0.91400000000000003</v>
      </c>
      <c r="F128">
        <v>2.98E-2</v>
      </c>
      <c r="G128">
        <v>3.0700000000000002E-2</v>
      </c>
      <c r="I128">
        <v>3.6799999999999999E-2</v>
      </c>
      <c r="J128">
        <v>0.51200000000000001</v>
      </c>
      <c r="K128">
        <v>0.08</v>
      </c>
      <c r="M128">
        <v>716.1</v>
      </c>
      <c r="N128">
        <v>16.600000000000001</v>
      </c>
      <c r="O128">
        <v>19.100000000000001</v>
      </c>
      <c r="Q128" t="str">
        <f t="shared" si="11"/>
        <v>ACSSParakeet</v>
      </c>
      <c r="Y128">
        <f t="shared" si="10"/>
        <v>0.51160857606155297</v>
      </c>
    </row>
    <row r="129" spans="1:25" x14ac:dyDescent="0.3">
      <c r="A129" t="s">
        <v>582</v>
      </c>
      <c r="B129" t="s">
        <v>585</v>
      </c>
      <c r="C129">
        <v>605</v>
      </c>
      <c r="D129" t="s">
        <v>457</v>
      </c>
      <c r="E129">
        <v>0.95299999999999996</v>
      </c>
      <c r="F129">
        <v>2.7400000000000001E-2</v>
      </c>
      <c r="G129">
        <v>2.8199999999999999E-2</v>
      </c>
      <c r="I129">
        <v>3.39E-2</v>
      </c>
      <c r="J129">
        <v>0.505</v>
      </c>
      <c r="K129">
        <v>7.9000000000000001E-2</v>
      </c>
      <c r="M129">
        <v>778.8</v>
      </c>
      <c r="N129">
        <v>18.100000000000001</v>
      </c>
      <c r="O129">
        <v>20.8</v>
      </c>
      <c r="Q129" t="str">
        <f t="shared" si="11"/>
        <v>ACSSPeacock</v>
      </c>
      <c r="Y129">
        <f t="shared" si="10"/>
        <v>0.50506715528697055</v>
      </c>
    </row>
    <row r="130" spans="1:25" x14ac:dyDescent="0.3">
      <c r="A130" t="s">
        <v>582</v>
      </c>
      <c r="B130" t="s">
        <v>586</v>
      </c>
      <c r="C130">
        <v>636</v>
      </c>
      <c r="D130" t="s">
        <v>602</v>
      </c>
      <c r="E130">
        <v>1.0189999999999999</v>
      </c>
      <c r="F130">
        <v>2.58E-2</v>
      </c>
      <c r="G130">
        <v>2.6599999999999999E-2</v>
      </c>
      <c r="I130">
        <v>3.1899999999999998E-2</v>
      </c>
      <c r="J130">
        <v>0.495</v>
      </c>
      <c r="K130">
        <v>7.6999999999999999E-2</v>
      </c>
      <c r="M130">
        <v>987.2</v>
      </c>
      <c r="N130">
        <v>30.9</v>
      </c>
      <c r="O130">
        <v>36.6</v>
      </c>
      <c r="Q130" t="str">
        <f t="shared" si="11"/>
        <v>ACSSEgret</v>
      </c>
      <c r="Y130">
        <f t="shared" si="10"/>
        <v>0.49458409997875913</v>
      </c>
    </row>
    <row r="131" spans="1:25" x14ac:dyDescent="0.3">
      <c r="A131" t="s">
        <v>582</v>
      </c>
      <c r="B131" t="s">
        <v>376</v>
      </c>
      <c r="C131">
        <v>636</v>
      </c>
      <c r="D131" t="s">
        <v>429</v>
      </c>
      <c r="E131">
        <v>0.99</v>
      </c>
      <c r="F131">
        <v>2.5999999999999999E-2</v>
      </c>
      <c r="G131">
        <v>2.6800000000000001E-2</v>
      </c>
      <c r="I131">
        <v>3.2099999999999997E-2</v>
      </c>
      <c r="J131">
        <v>0.5</v>
      </c>
      <c r="K131">
        <v>7.8E-2</v>
      </c>
      <c r="M131">
        <v>874.2</v>
      </c>
      <c r="N131">
        <v>22.4</v>
      </c>
      <c r="O131">
        <v>26</v>
      </c>
      <c r="Q131" t="str">
        <f t="shared" ref="Q131:Q162" si="12">_xlfn.CONCAT(A131,B131)</f>
        <v>ACSSGrosbeak</v>
      </c>
      <c r="Y131">
        <f t="shared" si="10"/>
        <v>0.49910408342716894</v>
      </c>
    </row>
    <row r="132" spans="1:25" x14ac:dyDescent="0.3">
      <c r="A132" t="s">
        <v>582</v>
      </c>
      <c r="B132" t="s">
        <v>375</v>
      </c>
      <c r="C132">
        <v>636</v>
      </c>
      <c r="D132" t="s">
        <v>457</v>
      </c>
      <c r="E132">
        <v>0.97699999999999998</v>
      </c>
      <c r="F132">
        <v>2.6100000000000002E-2</v>
      </c>
      <c r="G132">
        <v>2.69E-2</v>
      </c>
      <c r="I132">
        <v>3.2300000000000002E-2</v>
      </c>
      <c r="J132">
        <v>0.502</v>
      </c>
      <c r="K132">
        <v>7.9000000000000001E-2</v>
      </c>
      <c r="M132">
        <v>818.2</v>
      </c>
      <c r="N132">
        <v>19</v>
      </c>
      <c r="O132">
        <v>21.9</v>
      </c>
      <c r="Q132" t="str">
        <f t="shared" si="12"/>
        <v>ACSSRook</v>
      </c>
      <c r="Y132">
        <f t="shared" si="10"/>
        <v>0.50117343333324138</v>
      </c>
    </row>
    <row r="133" spans="1:25" x14ac:dyDescent="0.3">
      <c r="A133" t="s">
        <v>582</v>
      </c>
      <c r="B133" t="s">
        <v>587</v>
      </c>
      <c r="C133">
        <v>666.6</v>
      </c>
      <c r="D133" t="s">
        <v>457</v>
      </c>
      <c r="E133">
        <v>1</v>
      </c>
      <c r="F133">
        <v>2.4899999999999999E-2</v>
      </c>
      <c r="G133">
        <v>2.5700000000000001E-2</v>
      </c>
      <c r="I133">
        <v>3.0800000000000001E-2</v>
      </c>
      <c r="J133">
        <v>0.498</v>
      </c>
      <c r="K133">
        <v>7.8E-2</v>
      </c>
      <c r="M133">
        <v>857.9</v>
      </c>
      <c r="N133">
        <v>19.899999999999999</v>
      </c>
      <c r="O133">
        <v>22.9</v>
      </c>
      <c r="Q133" t="str">
        <f t="shared" si="12"/>
        <v>ACSSFlamingo</v>
      </c>
      <c r="Y133">
        <f t="shared" si="10"/>
        <v>0.49753068324863159</v>
      </c>
    </row>
    <row r="134" spans="1:25" x14ac:dyDescent="0.3">
      <c r="A134" t="s">
        <v>582</v>
      </c>
      <c r="B134" t="s">
        <v>588</v>
      </c>
      <c r="C134">
        <v>715.5</v>
      </c>
      <c r="D134" t="s">
        <v>602</v>
      </c>
      <c r="E134">
        <v>1.081</v>
      </c>
      <c r="F134">
        <v>2.3E-2</v>
      </c>
      <c r="G134">
        <v>2.3699999999999999E-2</v>
      </c>
      <c r="I134">
        <v>2.8400000000000002E-2</v>
      </c>
      <c r="J134">
        <v>0.48599999999999999</v>
      </c>
      <c r="K134">
        <v>7.5999999999999998E-2</v>
      </c>
      <c r="M134">
        <v>1109</v>
      </c>
      <c r="N134">
        <v>34</v>
      </c>
      <c r="O134">
        <v>39.799999999999997</v>
      </c>
      <c r="Q134" t="str">
        <f t="shared" si="12"/>
        <v>ACSSRedwing</v>
      </c>
      <c r="Y134">
        <f t="shared" si="10"/>
        <v>0.48533738984878977</v>
      </c>
    </row>
    <row r="135" spans="1:25" x14ac:dyDescent="0.3">
      <c r="A135" t="s">
        <v>582</v>
      </c>
      <c r="B135" t="s">
        <v>589</v>
      </c>
      <c r="C135">
        <v>715.5</v>
      </c>
      <c r="D135" t="s">
        <v>429</v>
      </c>
      <c r="E135">
        <v>1.0509999999999999</v>
      </c>
      <c r="F135">
        <v>2.3099999999999999E-2</v>
      </c>
      <c r="G135">
        <v>2.3800000000000002E-2</v>
      </c>
      <c r="I135">
        <v>2.86E-2</v>
      </c>
      <c r="J135">
        <v>0.49</v>
      </c>
      <c r="K135">
        <v>7.6999999999999999E-2</v>
      </c>
      <c r="M135">
        <v>983.7</v>
      </c>
      <c r="N135">
        <v>25.2</v>
      </c>
      <c r="O135">
        <v>29.3</v>
      </c>
      <c r="Q135" t="str">
        <f t="shared" si="12"/>
        <v>ACSSStarling</v>
      </c>
      <c r="Y135">
        <f t="shared" si="10"/>
        <v>0.48974345927831464</v>
      </c>
    </row>
    <row r="136" spans="1:25" x14ac:dyDescent="0.3">
      <c r="A136" t="s">
        <v>582</v>
      </c>
      <c r="B136" t="s">
        <v>590</v>
      </c>
      <c r="C136">
        <v>795</v>
      </c>
      <c r="D136" t="s">
        <v>602</v>
      </c>
      <c r="E136">
        <v>1.1399999999999999</v>
      </c>
      <c r="F136">
        <v>2.07E-2</v>
      </c>
      <c r="G136">
        <v>2.1299999999999999E-2</v>
      </c>
      <c r="I136">
        <v>2.5600000000000001E-2</v>
      </c>
      <c r="J136">
        <v>0.47699999999999998</v>
      </c>
      <c r="K136">
        <v>7.3999999999999996E-2</v>
      </c>
      <c r="M136">
        <v>1234</v>
      </c>
      <c r="N136">
        <v>37.9</v>
      </c>
      <c r="O136">
        <v>44.3</v>
      </c>
      <c r="Q136" t="str">
        <f t="shared" si="12"/>
        <v>ACSSMallard</v>
      </c>
      <c r="Y136">
        <f t="shared" si="10"/>
        <v>0.47701794671238418</v>
      </c>
    </row>
    <row r="137" spans="1:25" x14ac:dyDescent="0.3">
      <c r="A137" t="s">
        <v>582</v>
      </c>
      <c r="B137" t="s">
        <v>591</v>
      </c>
      <c r="C137">
        <v>795</v>
      </c>
      <c r="D137" t="s">
        <v>415</v>
      </c>
      <c r="E137">
        <v>1.0920000000000001</v>
      </c>
      <c r="F137">
        <v>2.0899999999999998E-2</v>
      </c>
      <c r="G137">
        <v>2.1600000000000001E-2</v>
      </c>
      <c r="I137">
        <v>2.6700000000000002E-2</v>
      </c>
      <c r="J137">
        <v>0.48399999999999999</v>
      </c>
      <c r="K137">
        <v>7.5999999999999998E-2</v>
      </c>
      <c r="M137">
        <v>1022</v>
      </c>
      <c r="N137">
        <v>23.3</v>
      </c>
      <c r="O137">
        <v>26.9</v>
      </c>
      <c r="Q137" t="str">
        <f t="shared" si="12"/>
        <v>ACSSCondor</v>
      </c>
      <c r="Y137">
        <f t="shared" si="10"/>
        <v>0.48375240438200612</v>
      </c>
    </row>
    <row r="138" spans="1:25" x14ac:dyDescent="0.3">
      <c r="A138" t="s">
        <v>582</v>
      </c>
      <c r="B138" t="s">
        <v>378</v>
      </c>
      <c r="C138">
        <v>795</v>
      </c>
      <c r="D138" t="s">
        <v>406</v>
      </c>
      <c r="E138">
        <v>1.0629999999999999</v>
      </c>
      <c r="F138">
        <v>2.1000000000000001E-2</v>
      </c>
      <c r="G138">
        <v>2.18E-2</v>
      </c>
      <c r="I138">
        <v>2.63E-2</v>
      </c>
      <c r="J138">
        <v>0.48799999999999999</v>
      </c>
      <c r="K138">
        <v>7.5999999999999998E-2</v>
      </c>
      <c r="M138">
        <v>895</v>
      </c>
      <c r="N138">
        <v>15.2</v>
      </c>
      <c r="O138">
        <v>17.399999999999999</v>
      </c>
      <c r="Q138" t="str">
        <f t="shared" si="12"/>
        <v>ACSSTern</v>
      </c>
      <c r="Y138">
        <f t="shared" si="10"/>
        <v>0.48796612325365452</v>
      </c>
    </row>
    <row r="139" spans="1:25" x14ac:dyDescent="0.3">
      <c r="A139" t="s">
        <v>582</v>
      </c>
      <c r="B139" t="s">
        <v>377</v>
      </c>
      <c r="C139">
        <v>795</v>
      </c>
      <c r="D139" t="s">
        <v>429</v>
      </c>
      <c r="E139">
        <v>1.1080000000000001</v>
      </c>
      <c r="F139">
        <v>2.0799999999999999E-2</v>
      </c>
      <c r="G139">
        <v>2.1499999999999998E-2</v>
      </c>
      <c r="I139">
        <v>2.58E-2</v>
      </c>
      <c r="J139">
        <v>0.48199999999999998</v>
      </c>
      <c r="K139">
        <v>7.5999999999999998E-2</v>
      </c>
      <c r="M139">
        <v>1093</v>
      </c>
      <c r="N139">
        <v>28</v>
      </c>
      <c r="O139">
        <v>32.6</v>
      </c>
      <c r="Q139" t="str">
        <f t="shared" si="12"/>
        <v>ACSSDrake</v>
      </c>
      <c r="Y139">
        <f t="shared" si="10"/>
        <v>0.48147524423316179</v>
      </c>
    </row>
    <row r="140" spans="1:25" x14ac:dyDescent="0.3">
      <c r="A140" t="s">
        <v>582</v>
      </c>
      <c r="B140" t="s">
        <v>592</v>
      </c>
      <c r="C140">
        <v>795</v>
      </c>
      <c r="D140" t="s">
        <v>457</v>
      </c>
      <c r="E140">
        <v>1.0920000000000001</v>
      </c>
      <c r="F140">
        <v>2.0899999999999998E-2</v>
      </c>
      <c r="G140">
        <v>2.1600000000000001E-2</v>
      </c>
      <c r="I140">
        <v>2.5899999999999999E-2</v>
      </c>
      <c r="J140">
        <v>0.48399999999999999</v>
      </c>
      <c r="K140">
        <v>7.5999999999999998E-2</v>
      </c>
      <c r="M140">
        <v>1023</v>
      </c>
      <c r="N140">
        <v>23.3</v>
      </c>
      <c r="O140">
        <v>26.9</v>
      </c>
      <c r="Q140" t="str">
        <f t="shared" si="12"/>
        <v>ACSSCuckoo</v>
      </c>
      <c r="Y140">
        <f t="shared" si="10"/>
        <v>0.48375240438200612</v>
      </c>
    </row>
    <row r="141" spans="1:25" x14ac:dyDescent="0.3">
      <c r="A141" t="s">
        <v>582</v>
      </c>
      <c r="B141" t="s">
        <v>593</v>
      </c>
      <c r="C141">
        <v>900</v>
      </c>
      <c r="D141" t="s">
        <v>415</v>
      </c>
      <c r="E141">
        <v>1.1619999999999999</v>
      </c>
      <c r="F141">
        <v>1.84E-2</v>
      </c>
      <c r="G141">
        <v>1.9199999999999998E-2</v>
      </c>
      <c r="I141">
        <v>2.3599999999999999E-2</v>
      </c>
      <c r="J141">
        <v>0.47399999999999998</v>
      </c>
      <c r="K141">
        <v>7.3999999999999996E-2</v>
      </c>
      <c r="M141">
        <v>1158</v>
      </c>
      <c r="N141">
        <v>26.4</v>
      </c>
      <c r="O141">
        <v>30.5</v>
      </c>
      <c r="Q141" t="str">
        <f t="shared" si="12"/>
        <v>ACSSCanary</v>
      </c>
      <c r="Y141">
        <f t="shared" si="10"/>
        <v>0.4740255497861422</v>
      </c>
    </row>
    <row r="142" spans="1:25" x14ac:dyDescent="0.3">
      <c r="A142" t="s">
        <v>582</v>
      </c>
      <c r="B142" t="s">
        <v>594</v>
      </c>
      <c r="C142">
        <v>900</v>
      </c>
      <c r="D142" t="s">
        <v>406</v>
      </c>
      <c r="E142">
        <v>1.131</v>
      </c>
      <c r="F142">
        <v>1.8599999999999998E-2</v>
      </c>
      <c r="G142">
        <v>1.9400000000000001E-2</v>
      </c>
      <c r="I142">
        <v>2.3300000000000001E-2</v>
      </c>
      <c r="J142">
        <v>0.47899999999999998</v>
      </c>
      <c r="K142">
        <v>7.5999999999999998E-2</v>
      </c>
      <c r="M142">
        <v>1013</v>
      </c>
      <c r="N142">
        <v>17</v>
      </c>
      <c r="O142">
        <v>19.2</v>
      </c>
      <c r="Q142" t="str">
        <f t="shared" si="12"/>
        <v>ACSSRuddy</v>
      </c>
      <c r="Y142">
        <f t="shared" si="10"/>
        <v>0.47825878808291217</v>
      </c>
    </row>
    <row r="143" spans="1:25" x14ac:dyDescent="0.3">
      <c r="A143" t="s">
        <v>582</v>
      </c>
      <c r="B143" t="s">
        <v>380</v>
      </c>
      <c r="C143">
        <v>954</v>
      </c>
      <c r="D143" t="s">
        <v>415</v>
      </c>
      <c r="E143">
        <v>1.196</v>
      </c>
      <c r="F143">
        <v>1.7399999999999999E-2</v>
      </c>
      <c r="G143">
        <v>1.8100000000000002E-2</v>
      </c>
      <c r="I143">
        <v>2.23E-2</v>
      </c>
      <c r="J143">
        <v>0.47</v>
      </c>
      <c r="K143">
        <v>7.5999999999999998E-2</v>
      </c>
      <c r="M143">
        <v>1227</v>
      </c>
      <c r="N143">
        <v>28</v>
      </c>
      <c r="O143">
        <v>32.299999999999997</v>
      </c>
      <c r="Q143" t="str">
        <f t="shared" si="12"/>
        <v>ACSSCardinal</v>
      </c>
      <c r="Y143">
        <f t="shared" si="10"/>
        <v>0.46951059056034328</v>
      </c>
    </row>
    <row r="144" spans="1:25" x14ac:dyDescent="0.3">
      <c r="A144" t="s">
        <v>582</v>
      </c>
      <c r="B144" t="s">
        <v>379</v>
      </c>
      <c r="C144">
        <v>954</v>
      </c>
      <c r="D144" t="s">
        <v>406</v>
      </c>
      <c r="E144">
        <v>1.165</v>
      </c>
      <c r="F144">
        <v>1.7500000000000002E-2</v>
      </c>
      <c r="G144">
        <v>1.83E-2</v>
      </c>
      <c r="I144">
        <v>2.2100000000000002E-2</v>
      </c>
      <c r="J144">
        <v>0.47399999999999998</v>
      </c>
      <c r="K144">
        <v>7.4999999999999997E-2</v>
      </c>
      <c r="M144">
        <v>1074</v>
      </c>
      <c r="N144">
        <v>18</v>
      </c>
      <c r="O144">
        <v>20.399999999999999</v>
      </c>
      <c r="Q144" t="str">
        <f t="shared" si="12"/>
        <v>ACSSRail</v>
      </c>
      <c r="Y144">
        <f t="shared" si="10"/>
        <v>0.47362189163384222</v>
      </c>
    </row>
    <row r="145" spans="1:25" x14ac:dyDescent="0.3">
      <c r="A145" t="s">
        <v>582</v>
      </c>
      <c r="B145" t="s">
        <v>381</v>
      </c>
      <c r="C145">
        <v>1033.5</v>
      </c>
      <c r="D145" t="s">
        <v>415</v>
      </c>
      <c r="E145">
        <v>1.2450000000000001</v>
      </c>
      <c r="F145">
        <v>1.61E-2</v>
      </c>
      <c r="G145">
        <v>1.6799999999999999E-2</v>
      </c>
      <c r="I145">
        <v>2.06E-2</v>
      </c>
      <c r="J145">
        <v>0.46400000000000002</v>
      </c>
      <c r="K145">
        <v>7.2999999999999995E-2</v>
      </c>
      <c r="M145">
        <v>1329</v>
      </c>
      <c r="N145">
        <v>30.3</v>
      </c>
      <c r="O145">
        <v>35</v>
      </c>
      <c r="Q145" t="str">
        <f t="shared" si="12"/>
        <v>ACSSCurlew</v>
      </c>
      <c r="Y145">
        <f t="shared" si="10"/>
        <v>0.46322457776911691</v>
      </c>
    </row>
    <row r="146" spans="1:25" x14ac:dyDescent="0.3">
      <c r="A146" t="s">
        <v>582</v>
      </c>
      <c r="B146" t="s">
        <v>447</v>
      </c>
      <c r="C146">
        <v>1033.5</v>
      </c>
      <c r="D146" t="s">
        <v>406</v>
      </c>
      <c r="E146">
        <v>1.212</v>
      </c>
      <c r="F146">
        <v>1.6199999999999999E-2</v>
      </c>
      <c r="G146">
        <v>1.7000000000000001E-2</v>
      </c>
      <c r="I146">
        <v>2.0400000000000001E-2</v>
      </c>
      <c r="J146">
        <v>0.46800000000000003</v>
      </c>
      <c r="K146">
        <v>7.3999999999999996E-2</v>
      </c>
      <c r="M146">
        <v>1163</v>
      </c>
      <c r="N146">
        <v>19.5</v>
      </c>
      <c r="O146">
        <v>22</v>
      </c>
      <c r="Q146" t="str">
        <f t="shared" si="12"/>
        <v>ACSSOrtolan</v>
      </c>
      <c r="Y146">
        <f t="shared" si="10"/>
        <v>0.46743013469369926</v>
      </c>
    </row>
    <row r="147" spans="1:25" x14ac:dyDescent="0.3">
      <c r="A147" t="s">
        <v>582</v>
      </c>
      <c r="B147" t="s">
        <v>449</v>
      </c>
      <c r="C147">
        <v>1113</v>
      </c>
      <c r="D147" t="s">
        <v>410</v>
      </c>
      <c r="E147">
        <v>1.2929999999999999</v>
      </c>
      <c r="F147">
        <v>1.4999999999999999E-2</v>
      </c>
      <c r="G147">
        <v>1.5699999999999999E-2</v>
      </c>
      <c r="I147">
        <v>1.9300000000000001E-2</v>
      </c>
      <c r="J147">
        <v>0.45800000000000002</v>
      </c>
      <c r="K147">
        <v>7.0000000000000007E-2</v>
      </c>
      <c r="M147">
        <v>1430</v>
      </c>
      <c r="N147">
        <v>33.200000000000003</v>
      </c>
      <c r="O147">
        <v>38.700000000000003</v>
      </c>
      <c r="Q147" t="str">
        <f t="shared" si="12"/>
        <v>ACSSFinch</v>
      </c>
      <c r="Y147">
        <f t="shared" si="10"/>
        <v>0.45730228294635122</v>
      </c>
    </row>
    <row r="148" spans="1:25" x14ac:dyDescent="0.3">
      <c r="A148" t="s">
        <v>582</v>
      </c>
      <c r="B148" t="s">
        <v>382</v>
      </c>
      <c r="C148">
        <v>1113</v>
      </c>
      <c r="D148" t="s">
        <v>406</v>
      </c>
      <c r="E148">
        <v>1.2589999999999999</v>
      </c>
      <c r="F148">
        <v>1.4999999999999999E-2</v>
      </c>
      <c r="G148">
        <v>1.5900000000000001E-2</v>
      </c>
      <c r="I148">
        <v>1.9E-2</v>
      </c>
      <c r="J148">
        <v>0.46200000000000002</v>
      </c>
      <c r="K148">
        <v>7.2999999999999995E-2</v>
      </c>
      <c r="M148">
        <v>1254</v>
      </c>
      <c r="N148">
        <v>21.1</v>
      </c>
      <c r="O148">
        <v>23.8</v>
      </c>
      <c r="Q148" t="str">
        <f t="shared" si="12"/>
        <v>ACSSBluejay</v>
      </c>
      <c r="Y148">
        <f t="shared" si="10"/>
        <v>0.46147397805813245</v>
      </c>
    </row>
    <row r="149" spans="1:25" x14ac:dyDescent="0.3">
      <c r="A149" t="s">
        <v>582</v>
      </c>
      <c r="B149" t="s">
        <v>595</v>
      </c>
      <c r="C149">
        <v>1192.5</v>
      </c>
      <c r="D149" t="s">
        <v>410</v>
      </c>
      <c r="E149">
        <v>1.3380000000000001</v>
      </c>
      <c r="F149">
        <v>1.4E-2</v>
      </c>
      <c r="G149">
        <v>1.47E-2</v>
      </c>
      <c r="I149">
        <v>1.7999999999999999E-2</v>
      </c>
      <c r="J149">
        <v>0.45200000000000001</v>
      </c>
      <c r="K149">
        <v>7.0999999999999994E-2</v>
      </c>
      <c r="M149">
        <v>1531</v>
      </c>
      <c r="N149">
        <v>35.5</v>
      </c>
      <c r="O149">
        <v>41.5</v>
      </c>
      <c r="Q149" t="str">
        <f t="shared" si="12"/>
        <v>ACSSGrackle</v>
      </c>
      <c r="Y149">
        <f t="shared" si="10"/>
        <v>0.45194650409162812</v>
      </c>
    </row>
    <row r="150" spans="1:25" x14ac:dyDescent="0.3">
      <c r="A150" t="s">
        <v>582</v>
      </c>
      <c r="B150" t="s">
        <v>432</v>
      </c>
      <c r="C150">
        <v>1192.5</v>
      </c>
      <c r="D150" t="s">
        <v>406</v>
      </c>
      <c r="E150">
        <v>1.302</v>
      </c>
      <c r="F150">
        <v>1.4E-2</v>
      </c>
      <c r="G150">
        <v>1.49E-2</v>
      </c>
      <c r="I150">
        <v>1.78E-2</v>
      </c>
      <c r="J150">
        <v>0.45600000000000002</v>
      </c>
      <c r="K150">
        <v>7.1999999999999995E-2</v>
      </c>
      <c r="M150">
        <v>1342</v>
      </c>
      <c r="N150">
        <v>23.5</v>
      </c>
      <c r="O150">
        <v>25.4</v>
      </c>
      <c r="Q150" t="str">
        <f t="shared" si="12"/>
        <v>ACSSBunting</v>
      </c>
      <c r="Y150">
        <f t="shared" si="10"/>
        <v>0.45621636876578664</v>
      </c>
    </row>
    <row r="151" spans="1:25" x14ac:dyDescent="0.3">
      <c r="A151" t="s">
        <v>582</v>
      </c>
      <c r="B151" t="s">
        <v>460</v>
      </c>
      <c r="C151">
        <v>1272</v>
      </c>
      <c r="D151" t="s">
        <v>410</v>
      </c>
      <c r="E151">
        <v>1.3819999999999999</v>
      </c>
      <c r="F151">
        <v>1.3100000000000001E-2</v>
      </c>
      <c r="G151">
        <v>1.3899999999999999E-2</v>
      </c>
      <c r="I151">
        <v>1.6899999999999998E-2</v>
      </c>
      <c r="J151">
        <v>0.44700000000000001</v>
      </c>
      <c r="K151">
        <v>7.0000000000000007E-2</v>
      </c>
      <c r="M151">
        <v>1634</v>
      </c>
      <c r="N151">
        <v>37.299999999999997</v>
      </c>
      <c r="O151">
        <v>43</v>
      </c>
      <c r="Q151" t="str">
        <f t="shared" si="12"/>
        <v>ACSSPheasant</v>
      </c>
      <c r="Y151">
        <f t="shared" si="10"/>
        <v>0.44688114458234635</v>
      </c>
    </row>
    <row r="152" spans="1:25" x14ac:dyDescent="0.3">
      <c r="A152" t="s">
        <v>582</v>
      </c>
      <c r="B152" t="s">
        <v>383</v>
      </c>
      <c r="C152">
        <v>1272</v>
      </c>
      <c r="D152" t="s">
        <v>406</v>
      </c>
      <c r="E152">
        <v>1.345</v>
      </c>
      <c r="F152">
        <v>1.32E-2</v>
      </c>
      <c r="G152">
        <v>1.4E-2</v>
      </c>
      <c r="I152">
        <v>1.67E-2</v>
      </c>
      <c r="J152">
        <v>0.45100000000000001</v>
      </c>
      <c r="K152">
        <v>7.1999999999999995E-2</v>
      </c>
      <c r="M152">
        <v>1432</v>
      </c>
      <c r="N152">
        <v>24</v>
      </c>
      <c r="O152">
        <v>27.1</v>
      </c>
      <c r="Q152" t="str">
        <f t="shared" si="12"/>
        <v>ACSSBittern</v>
      </c>
      <c r="Y152">
        <f t="shared" si="10"/>
        <v>0.45112960771703275</v>
      </c>
    </row>
    <row r="153" spans="1:25" x14ac:dyDescent="0.3">
      <c r="A153" t="s">
        <v>582</v>
      </c>
      <c r="B153" t="s">
        <v>596</v>
      </c>
      <c r="C153">
        <v>1351</v>
      </c>
      <c r="D153" t="s">
        <v>410</v>
      </c>
      <c r="E153">
        <v>1.4239999999999999</v>
      </c>
      <c r="F153">
        <v>1.2E-2</v>
      </c>
      <c r="G153">
        <v>1.2999999999999999E-2</v>
      </c>
      <c r="I153">
        <v>1.6E-2</v>
      </c>
      <c r="J153">
        <v>0.442</v>
      </c>
      <c r="K153">
        <v>7.0000000000000007E-2</v>
      </c>
      <c r="M153">
        <v>1735</v>
      </c>
      <c r="N153">
        <v>39.6</v>
      </c>
      <c r="O153">
        <v>45.6</v>
      </c>
      <c r="Q153" t="str">
        <f t="shared" si="12"/>
        <v>ACSSMartin</v>
      </c>
      <c r="Y153">
        <f t="shared" si="10"/>
        <v>0.44219427708545495</v>
      </c>
    </row>
    <row r="154" spans="1:25" x14ac:dyDescent="0.3">
      <c r="A154" t="s">
        <v>582</v>
      </c>
      <c r="B154" t="s">
        <v>597</v>
      </c>
      <c r="C154">
        <v>1351</v>
      </c>
      <c r="D154" t="s">
        <v>406</v>
      </c>
      <c r="E154">
        <v>1.3859999999999999</v>
      </c>
      <c r="F154">
        <v>1.24E-2</v>
      </c>
      <c r="G154">
        <v>1.32E-2</v>
      </c>
      <c r="I154">
        <v>1.5800000000000002E-2</v>
      </c>
      <c r="J154">
        <v>0.44700000000000001</v>
      </c>
      <c r="K154">
        <v>7.0999999999999994E-2</v>
      </c>
      <c r="M154">
        <v>1521</v>
      </c>
      <c r="N154">
        <v>25.5</v>
      </c>
      <c r="O154">
        <v>28.8</v>
      </c>
      <c r="Q154" t="str">
        <f t="shared" si="12"/>
        <v>ACSSDipper</v>
      </c>
      <c r="Y154">
        <f t="shared" si="10"/>
        <v>0.44642868183964479</v>
      </c>
    </row>
    <row r="155" spans="1:25" x14ac:dyDescent="0.3">
      <c r="A155" t="s">
        <v>582</v>
      </c>
      <c r="B155" t="s">
        <v>461</v>
      </c>
      <c r="C155">
        <v>1431</v>
      </c>
      <c r="D155" t="s">
        <v>410</v>
      </c>
      <c r="E155">
        <v>1.4650000000000001</v>
      </c>
      <c r="F155">
        <v>1.2E-2</v>
      </c>
      <c r="G155">
        <v>1.2E-2</v>
      </c>
      <c r="I155">
        <v>1.4999999999999999E-2</v>
      </c>
      <c r="J155">
        <v>0.438</v>
      </c>
      <c r="K155">
        <v>6.9000000000000006E-2</v>
      </c>
      <c r="M155">
        <v>1838</v>
      </c>
      <c r="N155">
        <v>41.9</v>
      </c>
      <c r="O155">
        <v>48.3</v>
      </c>
      <c r="Q155" t="str">
        <f t="shared" si="12"/>
        <v>ACSSPlover</v>
      </c>
      <c r="Y155">
        <f t="shared" si="10"/>
        <v>0.43775048132961991</v>
      </c>
    </row>
    <row r="156" spans="1:25" x14ac:dyDescent="0.3">
      <c r="A156" t="s">
        <v>582</v>
      </c>
      <c r="B156" t="s">
        <v>439</v>
      </c>
      <c r="C156">
        <v>1431</v>
      </c>
      <c r="D156" t="s">
        <v>406</v>
      </c>
      <c r="E156">
        <v>1.427</v>
      </c>
      <c r="F156">
        <v>1.2E-2</v>
      </c>
      <c r="G156">
        <v>1.2999999999999999E-2</v>
      </c>
      <c r="I156">
        <v>1.4999999999999999E-2</v>
      </c>
      <c r="J156">
        <v>0.442</v>
      </c>
      <c r="K156">
        <v>7.0000000000000007E-2</v>
      </c>
      <c r="M156">
        <v>1611</v>
      </c>
      <c r="N156">
        <v>27</v>
      </c>
      <c r="O156">
        <v>30.5</v>
      </c>
      <c r="Q156" t="str">
        <f t="shared" si="12"/>
        <v>ACSSBobolink</v>
      </c>
      <c r="Y156">
        <f t="shared" si="10"/>
        <v>0.44186480940860945</v>
      </c>
    </row>
    <row r="157" spans="1:25" x14ac:dyDescent="0.3">
      <c r="A157" t="s">
        <v>582</v>
      </c>
      <c r="B157" t="s">
        <v>385</v>
      </c>
      <c r="C157">
        <v>1590</v>
      </c>
      <c r="D157" t="s">
        <v>410</v>
      </c>
      <c r="E157">
        <v>1.5449999999999999</v>
      </c>
      <c r="F157">
        <v>1.0999999999999999E-2</v>
      </c>
      <c r="G157">
        <v>1.0999999999999999E-2</v>
      </c>
      <c r="I157">
        <v>1.4E-2</v>
      </c>
      <c r="J157">
        <v>0.43</v>
      </c>
      <c r="K157">
        <v>6.8000000000000005E-2</v>
      </c>
      <c r="M157">
        <v>2042</v>
      </c>
      <c r="N157">
        <v>46.6</v>
      </c>
      <c r="O157">
        <v>53.7</v>
      </c>
      <c r="Q157" t="str">
        <f t="shared" si="12"/>
        <v>ACSSFalcon</v>
      </c>
      <c r="Y157">
        <f t="shared" si="10"/>
        <v>0.42942682003556393</v>
      </c>
    </row>
    <row r="158" spans="1:25" x14ac:dyDescent="0.3">
      <c r="A158" t="s">
        <v>582</v>
      </c>
      <c r="B158" t="s">
        <v>384</v>
      </c>
      <c r="C158">
        <v>1590</v>
      </c>
      <c r="D158" t="s">
        <v>406</v>
      </c>
      <c r="E158">
        <v>1.504</v>
      </c>
      <c r="F158">
        <v>1.0999999999999999E-2</v>
      </c>
      <c r="G158">
        <v>1.2E-2</v>
      </c>
      <c r="I158">
        <v>1.4E-2</v>
      </c>
      <c r="J158">
        <v>0.434</v>
      </c>
      <c r="K158">
        <v>6.9000000000000006E-2</v>
      </c>
      <c r="M158">
        <v>1790</v>
      </c>
      <c r="N158">
        <v>29.6</v>
      </c>
      <c r="O158">
        <v>33.5</v>
      </c>
      <c r="Q158" t="str">
        <f t="shared" si="12"/>
        <v>ACSSLapwing</v>
      </c>
      <c r="Y158">
        <f t="shared" si="10"/>
        <v>0.43363739328582723</v>
      </c>
    </row>
    <row r="159" spans="1:25" x14ac:dyDescent="0.3">
      <c r="A159" t="s">
        <v>582</v>
      </c>
      <c r="B159" t="s">
        <v>598</v>
      </c>
      <c r="C159">
        <v>1780</v>
      </c>
      <c r="D159" t="s">
        <v>421</v>
      </c>
      <c r="E159">
        <v>1.6020000000000001</v>
      </c>
      <c r="F159">
        <v>8.9999999999999993E-3</v>
      </c>
      <c r="G159">
        <v>0.01</v>
      </c>
      <c r="I159">
        <v>1.2E-2</v>
      </c>
      <c r="J159">
        <v>0.42399999999999999</v>
      </c>
      <c r="K159">
        <v>6.7000000000000004E-2</v>
      </c>
      <c r="M159">
        <v>2072</v>
      </c>
      <c r="N159">
        <v>38.200000000000003</v>
      </c>
      <c r="O159">
        <v>43.9</v>
      </c>
      <c r="Q159" t="str">
        <f t="shared" si="12"/>
        <v>ACSSChukar*</v>
      </c>
      <c r="Y159">
        <f t="shared" si="10"/>
        <v>0.4237551072873767</v>
      </c>
    </row>
    <row r="160" spans="1:25" x14ac:dyDescent="0.3">
      <c r="A160" t="s">
        <v>582</v>
      </c>
      <c r="B160" t="s">
        <v>599</v>
      </c>
      <c r="C160">
        <v>2156</v>
      </c>
      <c r="D160" t="s">
        <v>421</v>
      </c>
      <c r="E160">
        <v>1.762</v>
      </c>
      <c r="F160">
        <v>8.0000000000000002E-3</v>
      </c>
      <c r="G160">
        <v>8.9999999999999993E-3</v>
      </c>
      <c r="I160">
        <v>0.01</v>
      </c>
      <c r="J160">
        <v>0.40899999999999997</v>
      </c>
      <c r="K160">
        <v>6.5000000000000002E-2</v>
      </c>
      <c r="M160">
        <v>2508</v>
      </c>
      <c r="N160">
        <v>45.5</v>
      </c>
      <c r="O160">
        <v>51.7</v>
      </c>
      <c r="Q160" t="str">
        <f t="shared" si="12"/>
        <v>ACSSBluebird*</v>
      </c>
      <c r="Y160">
        <f t="shared" si="10"/>
        <v>0.40885187681726176</v>
      </c>
    </row>
    <row r="161" spans="1:25" x14ac:dyDescent="0.3">
      <c r="A161" t="s">
        <v>582</v>
      </c>
      <c r="B161" t="s">
        <v>600</v>
      </c>
      <c r="C161">
        <v>2167</v>
      </c>
      <c r="D161" t="s">
        <v>419</v>
      </c>
      <c r="E161">
        <v>1.7350000000000001</v>
      </c>
      <c r="F161">
        <v>8.0000000000000002E-3</v>
      </c>
      <c r="G161">
        <v>8.9999999999999993E-3</v>
      </c>
      <c r="I161">
        <v>0.01</v>
      </c>
      <c r="J161">
        <v>0.41099999999999998</v>
      </c>
      <c r="K161">
        <v>6.8000000000000005E-2</v>
      </c>
      <c r="M161">
        <v>2301</v>
      </c>
      <c r="N161">
        <v>30.8</v>
      </c>
      <c r="O161">
        <v>34.1</v>
      </c>
      <c r="Q161" t="str">
        <f t="shared" si="12"/>
        <v>ACSSKiwi*</v>
      </c>
      <c r="Y161">
        <f t="shared" si="10"/>
        <v>0.41126937066621916</v>
      </c>
    </row>
    <row r="162" spans="1:25" x14ac:dyDescent="0.3">
      <c r="A162" t="s">
        <v>582</v>
      </c>
      <c r="B162" t="s">
        <v>601</v>
      </c>
      <c r="C162">
        <v>2312</v>
      </c>
      <c r="D162" t="s">
        <v>603</v>
      </c>
      <c r="E162">
        <v>1.802</v>
      </c>
      <c r="F162">
        <v>7.0000000000000001E-3</v>
      </c>
      <c r="G162">
        <v>8.9999999999999993E-3</v>
      </c>
      <c r="I162">
        <v>0.01</v>
      </c>
      <c r="J162">
        <v>0.40500000000000003</v>
      </c>
      <c r="K162">
        <v>6.5000000000000002E-2</v>
      </c>
      <c r="M162">
        <v>2523</v>
      </c>
      <c r="N162">
        <v>38.1</v>
      </c>
      <c r="O162">
        <v>43</v>
      </c>
      <c r="Q162" t="str">
        <f t="shared" si="12"/>
        <v>ACSSThrasher*</v>
      </c>
      <c r="Y162">
        <f t="shared" ref="Y162" si="13">(1.779/60)*LN(1/(E162*0.5/12))*5.28</f>
        <v>0.40533765518372206</v>
      </c>
    </row>
    <row r="163" spans="1:25" x14ac:dyDescent="0.3">
      <c r="Q163" t="str">
        <f t="shared" ref="Q163:Q194" si="14">_xlfn.CONCAT(A163,B163)</f>
        <v/>
      </c>
    </row>
    <row r="164" spans="1:25" x14ac:dyDescent="0.3">
      <c r="Q164" t="str">
        <f t="shared" si="14"/>
        <v/>
      </c>
    </row>
    <row r="165" spans="1:25" x14ac:dyDescent="0.3">
      <c r="Q165" t="str">
        <f t="shared" si="14"/>
        <v/>
      </c>
    </row>
    <row r="166" spans="1:25" x14ac:dyDescent="0.3">
      <c r="Q166" t="str">
        <f t="shared" si="14"/>
        <v/>
      </c>
    </row>
    <row r="167" spans="1:25" x14ac:dyDescent="0.3">
      <c r="Q167" t="str">
        <f t="shared" si="14"/>
        <v/>
      </c>
    </row>
    <row r="168" spans="1:25" x14ac:dyDescent="0.3">
      <c r="Q168" t="str">
        <f t="shared" si="14"/>
        <v/>
      </c>
    </row>
    <row r="169" spans="1:25" x14ac:dyDescent="0.3">
      <c r="Q169" t="str">
        <f t="shared" si="14"/>
        <v/>
      </c>
    </row>
    <row r="170" spans="1:25" x14ac:dyDescent="0.3">
      <c r="Q170" t="str">
        <f t="shared" si="14"/>
        <v/>
      </c>
    </row>
    <row r="171" spans="1:25" x14ac:dyDescent="0.3">
      <c r="Q171" t="str">
        <f t="shared" si="14"/>
        <v/>
      </c>
    </row>
    <row r="172" spans="1:25" x14ac:dyDescent="0.3">
      <c r="Q172" t="str">
        <f t="shared" si="14"/>
        <v/>
      </c>
    </row>
    <row r="173" spans="1:25" x14ac:dyDescent="0.3">
      <c r="Q173" t="str">
        <f t="shared" si="14"/>
        <v/>
      </c>
    </row>
    <row r="174" spans="1:25" x14ac:dyDescent="0.3">
      <c r="Q174" t="str">
        <f t="shared" si="14"/>
        <v/>
      </c>
    </row>
    <row r="175" spans="1:25" x14ac:dyDescent="0.3">
      <c r="Q175" t="str">
        <f t="shared" si="14"/>
        <v/>
      </c>
    </row>
    <row r="176" spans="1:25" x14ac:dyDescent="0.3">
      <c r="Q176" t="str">
        <f t="shared" si="14"/>
        <v/>
      </c>
    </row>
    <row r="177" spans="17:17" x14ac:dyDescent="0.3">
      <c r="Q177" t="str">
        <f t="shared" si="14"/>
        <v/>
      </c>
    </row>
    <row r="178" spans="17:17" x14ac:dyDescent="0.3">
      <c r="Q178" t="str">
        <f t="shared" si="14"/>
        <v/>
      </c>
    </row>
    <row r="179" spans="17:17" x14ac:dyDescent="0.3">
      <c r="Q179" t="str">
        <f t="shared" si="14"/>
        <v/>
      </c>
    </row>
    <row r="180" spans="17:17" x14ac:dyDescent="0.3">
      <c r="Q180" t="str">
        <f t="shared" si="14"/>
        <v/>
      </c>
    </row>
    <row r="181" spans="17:17" x14ac:dyDescent="0.3">
      <c r="Q181" t="str">
        <f t="shared" si="14"/>
        <v/>
      </c>
    </row>
    <row r="182" spans="17:17" x14ac:dyDescent="0.3">
      <c r="Q182" t="str">
        <f t="shared" si="14"/>
        <v/>
      </c>
    </row>
    <row r="183" spans="17:17" x14ac:dyDescent="0.3">
      <c r="Q183" t="str">
        <f t="shared" si="14"/>
        <v/>
      </c>
    </row>
    <row r="184" spans="17:17" x14ac:dyDescent="0.3">
      <c r="Q184" t="str">
        <f t="shared" si="14"/>
        <v/>
      </c>
    </row>
    <row r="185" spans="17:17" x14ac:dyDescent="0.3">
      <c r="Q185" t="str">
        <f t="shared" si="14"/>
        <v/>
      </c>
    </row>
    <row r="186" spans="17:17" x14ac:dyDescent="0.3">
      <c r="Q186" t="str">
        <f t="shared" si="14"/>
        <v/>
      </c>
    </row>
    <row r="187" spans="17:17" x14ac:dyDescent="0.3">
      <c r="Q187" t="str">
        <f t="shared" si="14"/>
        <v/>
      </c>
    </row>
    <row r="188" spans="17:17" x14ac:dyDescent="0.3">
      <c r="Q188" t="str">
        <f t="shared" si="14"/>
        <v/>
      </c>
    </row>
    <row r="189" spans="17:17" x14ac:dyDescent="0.3">
      <c r="Q189" t="str">
        <f t="shared" si="14"/>
        <v/>
      </c>
    </row>
    <row r="190" spans="17:17" x14ac:dyDescent="0.3">
      <c r="Q190" t="str">
        <f t="shared" si="14"/>
        <v/>
      </c>
    </row>
    <row r="191" spans="17:17" x14ac:dyDescent="0.3">
      <c r="Q191" t="str">
        <f t="shared" si="14"/>
        <v/>
      </c>
    </row>
    <row r="192" spans="17:17" x14ac:dyDescent="0.3">
      <c r="Q192" t="str">
        <f t="shared" si="14"/>
        <v/>
      </c>
    </row>
    <row r="193" spans="17:17" x14ac:dyDescent="0.3">
      <c r="Q193" t="str">
        <f t="shared" si="14"/>
        <v/>
      </c>
    </row>
    <row r="194" spans="17:17" x14ac:dyDescent="0.3">
      <c r="Q194" t="str">
        <f t="shared" si="14"/>
        <v/>
      </c>
    </row>
    <row r="195" spans="17:17" x14ac:dyDescent="0.3">
      <c r="Q195" t="str">
        <f t="shared" ref="Q195:Q201" si="15">_xlfn.CONCAT(A195,B195)</f>
        <v/>
      </c>
    </row>
    <row r="196" spans="17:17" x14ac:dyDescent="0.3">
      <c r="Q196" t="str">
        <f t="shared" si="15"/>
        <v/>
      </c>
    </row>
    <row r="197" spans="17:17" x14ac:dyDescent="0.3">
      <c r="Q197" t="str">
        <f t="shared" si="15"/>
        <v/>
      </c>
    </row>
    <row r="198" spans="17:17" x14ac:dyDescent="0.3">
      <c r="Q198" t="str">
        <f t="shared" si="15"/>
        <v/>
      </c>
    </row>
    <row r="199" spans="17:17" x14ac:dyDescent="0.3">
      <c r="Q199" t="str">
        <f t="shared" si="15"/>
        <v/>
      </c>
    </row>
    <row r="200" spans="17:17" x14ac:dyDescent="0.3">
      <c r="Q200" t="str">
        <f t="shared" si="15"/>
        <v/>
      </c>
    </row>
    <row r="201" spans="17:17" x14ac:dyDescent="0.3">
      <c r="Q201" t="str">
        <f t="shared" si="15"/>
        <v/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8"/>
  <sheetViews>
    <sheetView topLeftCell="A4" workbookViewId="0">
      <selection activeCell="A16" sqref="A16:B16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545</v>
      </c>
      <c r="B1" t="s">
        <v>554</v>
      </c>
      <c r="C1" t="s">
        <v>551</v>
      </c>
      <c r="D1" t="s">
        <v>580</v>
      </c>
      <c r="E1" t="s">
        <v>462</v>
      </c>
      <c r="F1" t="s">
        <v>552</v>
      </c>
      <c r="G1" t="s">
        <v>553</v>
      </c>
      <c r="H1" t="s">
        <v>542</v>
      </c>
      <c r="I1" t="s">
        <v>581</v>
      </c>
    </row>
    <row r="2" spans="1:9" x14ac:dyDescent="0.3">
      <c r="A2" t="s">
        <v>407</v>
      </c>
      <c r="B2" t="s">
        <v>571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572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573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574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575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576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577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578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579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555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556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557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558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559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560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561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562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563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564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565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566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567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568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569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570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  <row r="28" spans="1:9" x14ac:dyDescent="0.3">
      <c r="A28" t="s">
        <v>230</v>
      </c>
      <c r="B28" t="s">
        <v>665</v>
      </c>
      <c r="C28">
        <v>484.4</v>
      </c>
      <c r="D28">
        <v>0.1144</v>
      </c>
      <c r="E28">
        <v>0.251</v>
      </c>
      <c r="F28">
        <v>66700</v>
      </c>
      <c r="G28">
        <v>1108</v>
      </c>
      <c r="H28">
        <v>0.112121212121212</v>
      </c>
      <c r="I28">
        <v>245.5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E16" sqref="E16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2" ht="18.75" customHeight="1" x14ac:dyDescent="0.3">
      <c r="A1" t="s">
        <v>0</v>
      </c>
    </row>
    <row r="2" spans="1:2" ht="18.75" customHeight="1" x14ac:dyDescent="0.3">
      <c r="A2" s="2" t="s">
        <v>1</v>
      </c>
    </row>
    <row r="3" spans="1:2" ht="18.75" customHeight="1" x14ac:dyDescent="0.3"/>
    <row r="4" spans="1:2" ht="18.75" customHeight="1" x14ac:dyDescent="0.3">
      <c r="A4" s="3" t="s">
        <v>2</v>
      </c>
    </row>
    <row r="5" spans="1:2" ht="18.75" customHeight="1" x14ac:dyDescent="0.3">
      <c r="A5" t="s">
        <v>3</v>
      </c>
    </row>
    <row r="6" spans="1:2" ht="18.75" customHeight="1" x14ac:dyDescent="0.3">
      <c r="A6" t="s">
        <v>669</v>
      </c>
      <c r="B6" s="103" t="s">
        <v>670</v>
      </c>
    </row>
    <row r="7" spans="1:2" ht="18.75" customHeight="1" x14ac:dyDescent="0.3"/>
    <row r="8" spans="1:2" ht="18.75" customHeight="1" x14ac:dyDescent="0.3"/>
    <row r="9" spans="1:2" ht="18.75" customHeight="1" x14ac:dyDescent="0.3"/>
    <row r="10" spans="1:2" ht="18.75" customHeight="1" x14ac:dyDescent="0.3"/>
    <row r="11" spans="1:2" ht="18.75" customHeight="1" x14ac:dyDescent="0.3"/>
    <row r="12" spans="1:2" ht="18.75" customHeight="1" x14ac:dyDescent="0.3"/>
    <row r="13" spans="1:2" ht="18.75" customHeight="1" x14ac:dyDescent="0.3"/>
    <row r="14" spans="1:2" ht="18.75" customHeight="1" x14ac:dyDescent="0.3"/>
    <row r="15" spans="1:2" ht="18.75" customHeight="1" x14ac:dyDescent="0.3"/>
    <row r="16" spans="1:2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hyperlinks>
    <hyperlink ref="B6" r:id="rId1" display="https://www.nrc.gov/docs/ML0732/ML073240747.pdf" xr:uid="{16F562EE-8EDE-4FAE-A7D3-4A2C39058F9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39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2025-05-19T00:19:32Z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