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defaultThemeVersion="124226"/>
  <bookViews>
    <workbookView xWindow="0" yWindow="0" windowWidth="28800" windowHeight="12915"/>
  </bookViews>
  <sheets>
    <sheet name="1.Datos generales" sheetId="1" r:id="rId1"/>
    <sheet name="2.Páginas de la muestra" sheetId="12" r:id="rId2"/>
    <sheet name="3. Evaluación Nivel A" sheetId="2" r:id="rId3"/>
    <sheet name="3.1 Gráficas y estadísticas A" sheetId="13" r:id="rId4"/>
    <sheet name="4. Evaluación Nivel AA" sheetId="3" r:id="rId5"/>
    <sheet name="4.1 Gráficas y estadísticas AA" sheetId="14" r:id="rId6"/>
    <sheet name="5. Resultados x criterio" sheetId="5" r:id="rId7"/>
    <sheet name="6. Resultados x principio" sheetId="9" r:id="rId8"/>
    <sheet name="7. Resultados detalle página" sheetId="8" r:id="rId9"/>
    <sheet name="Hoja4" sheetId="4" state="hidden" r:id="rId10"/>
  </sheets>
  <externalReferences>
    <externalReference r:id="rId11"/>
  </externalReferences>
  <definedNames>
    <definedName name="Cumple" localSheetId="7">[1]Hoja4!$A$5:$A$7</definedName>
    <definedName name="Cumple" localSheetId="8">[1]Hoja4!$A$5:$A$7</definedName>
    <definedName name="Cumple">Hoja4!$A$5:$A$7</definedName>
    <definedName name="muestra">Hoja4!$H$13:$H$27</definedName>
    <definedName name="nivel">Hoja4!$E$13:$E$14</definedName>
    <definedName name="PuntosA" localSheetId="7">([1]A!$F$4,[1]A!$F$20,[1]A!$F$36,[1]A!$F$52,[1]A!$F$68,[1]A!$F$84,[1]A!$F$100,[1]A!$F$116,[1]A!$F$132,[1]A!$F$148,[1]A!$F$164,[1]A!$F$180,[1]A!$F$196,[1]A!$F$212,[1]A!$F$228,[1]A!$F$244,[1]A!$F$260,[1]A!$F$276,[1]A!$F$292)</definedName>
    <definedName name="PuntosA" localSheetId="8">([1]A!$F$4,[1]A!$F$20,[1]A!$F$36,[1]A!$F$52,[1]A!$F$68,[1]A!$F$84,[1]A!$F$100,[1]A!$F$116,[1]A!$F$132,[1]A!$F$148,[1]A!$F$164,[1]A!$F$180,[1]A!$F$196,[1]A!$F$212,[1]A!$F$228,[1]A!$F$244,[1]A!$F$260,[1]A!$F$276,[1]A!$F$292)</definedName>
    <definedName name="PuntosA">'3. Evaluación Nivel A'!$D$22,'3. Evaluación Nivel A'!$D$44,'3. Evaluación Nivel A'!$D$66,'3. Evaluación Nivel A'!$D$88,'3. Evaluación Nivel A'!$D$110,'3. Evaluación Nivel A'!$D$132,'3. Evaluación Nivel A'!$D$154,'3. Evaluación Nivel A'!$D$176,'3. Evaluación Nivel A'!$D$198,'3. Evaluación Nivel A'!$D$220,'3. Evaluación Nivel A'!$D$242,'3. Evaluación Nivel A'!$D$264,'3. Evaluación Nivel A'!$D$286,'3. Evaluación Nivel A'!$D$308,'3. Evaluación Nivel A'!$D$330,'3. Evaluación Nivel A'!$D$352,'3. Evaluación Nivel A'!$D$374,'3. Evaluación Nivel A'!$D$396,'3. Evaluación Nivel A'!$D$418</definedName>
  </definedNames>
  <calcPr calcId="162913"/>
</workbook>
</file>

<file path=xl/calcChain.xml><?xml version="1.0" encoding="utf-8"?>
<calcChain xmlns="http://schemas.openxmlformats.org/spreadsheetml/2006/main">
  <c r="G120" i="8" l="1"/>
  <c r="F120" i="8"/>
  <c r="E120" i="8"/>
  <c r="D120" i="8"/>
  <c r="G119" i="8"/>
  <c r="F119" i="8"/>
  <c r="E119" i="8"/>
  <c r="D119" i="8"/>
  <c r="G118" i="8"/>
  <c r="F118" i="8"/>
  <c r="E118" i="8"/>
  <c r="D118" i="8"/>
  <c r="G117" i="8"/>
  <c r="F117" i="8"/>
  <c r="E117" i="8"/>
  <c r="D117" i="8"/>
  <c r="G116" i="8"/>
  <c r="F116" i="8"/>
  <c r="E116" i="8"/>
  <c r="D116" i="8"/>
  <c r="G115" i="8"/>
  <c r="F115" i="8"/>
  <c r="E115" i="8"/>
  <c r="D115" i="8"/>
  <c r="G114" i="8"/>
  <c r="F114" i="8"/>
  <c r="E114" i="8"/>
  <c r="D114" i="8"/>
  <c r="G113" i="8"/>
  <c r="F113" i="8"/>
  <c r="E113" i="8"/>
  <c r="D113" i="8"/>
  <c r="G112" i="8"/>
  <c r="F112" i="8"/>
  <c r="E112" i="8"/>
  <c r="D112" i="8"/>
  <c r="G111" i="8"/>
  <c r="F111" i="8"/>
  <c r="E111" i="8"/>
  <c r="D111" i="8"/>
  <c r="G110" i="8"/>
  <c r="F110" i="8"/>
  <c r="E110" i="8"/>
  <c r="D110" i="8"/>
  <c r="G109" i="8"/>
  <c r="F109" i="8"/>
  <c r="E109" i="8"/>
  <c r="D109" i="8"/>
  <c r="G108" i="8"/>
  <c r="F108" i="8"/>
  <c r="E108" i="8"/>
  <c r="D108" i="8"/>
  <c r="G107" i="8"/>
  <c r="F107" i="8"/>
  <c r="E107" i="8"/>
  <c r="D107" i="8"/>
  <c r="G101" i="8"/>
  <c r="F101" i="8"/>
  <c r="E101" i="8"/>
  <c r="D101" i="8"/>
  <c r="G100" i="8"/>
  <c r="F100" i="8"/>
  <c r="E100" i="8"/>
  <c r="D100" i="8"/>
  <c r="G99" i="8"/>
  <c r="F99" i="8"/>
  <c r="E99" i="8"/>
  <c r="D99" i="8"/>
  <c r="G98" i="8"/>
  <c r="F98" i="8"/>
  <c r="E98" i="8"/>
  <c r="D98" i="8"/>
  <c r="G97" i="8"/>
  <c r="F97" i="8"/>
  <c r="E97" i="8"/>
  <c r="D97" i="8"/>
  <c r="G96" i="8"/>
  <c r="F96" i="8"/>
  <c r="E96" i="8"/>
  <c r="D96" i="8"/>
  <c r="G95" i="8"/>
  <c r="F95" i="8"/>
  <c r="E95" i="8"/>
  <c r="D95" i="8"/>
  <c r="G94" i="8"/>
  <c r="G93" i="8"/>
  <c r="F94" i="8"/>
  <c r="F93" i="8"/>
  <c r="E94" i="8"/>
  <c r="E93" i="8"/>
  <c r="D94" i="8"/>
  <c r="D93" i="8"/>
  <c r="G92" i="8"/>
  <c r="F92" i="8"/>
  <c r="E92" i="8"/>
  <c r="D92" i="8"/>
  <c r="G91" i="8"/>
  <c r="F91" i="8"/>
  <c r="E91" i="8"/>
  <c r="D91" i="8"/>
  <c r="G90" i="8"/>
  <c r="F90" i="8"/>
  <c r="E90" i="8"/>
  <c r="D90" i="8"/>
  <c r="G89" i="8"/>
  <c r="F89" i="8"/>
  <c r="E89" i="8"/>
  <c r="D89" i="8"/>
  <c r="G88" i="8"/>
  <c r="F88" i="8"/>
  <c r="E88" i="8"/>
  <c r="D88" i="8"/>
  <c r="G82" i="8"/>
  <c r="F82" i="8"/>
  <c r="E82" i="8"/>
  <c r="D82" i="8"/>
  <c r="G81" i="8"/>
  <c r="F81" i="8"/>
  <c r="E81" i="8"/>
  <c r="D81" i="8"/>
  <c r="G80" i="8"/>
  <c r="F80" i="8"/>
  <c r="E80" i="8"/>
  <c r="D80" i="8"/>
  <c r="G79" i="8"/>
  <c r="F79" i="8"/>
  <c r="E79" i="8"/>
  <c r="D79" i="8"/>
  <c r="G78" i="8"/>
  <c r="F78" i="8"/>
  <c r="E78" i="8"/>
  <c r="D78" i="8"/>
  <c r="G77" i="8"/>
  <c r="F77" i="8"/>
  <c r="E77" i="8"/>
  <c r="D77" i="8"/>
  <c r="G76" i="8"/>
  <c r="F76" i="8"/>
  <c r="E76" i="8"/>
  <c r="D76" i="8"/>
  <c r="G75" i="8"/>
  <c r="F75" i="8"/>
  <c r="E75" i="8"/>
  <c r="D75" i="8"/>
  <c r="G74" i="8"/>
  <c r="F74" i="8"/>
  <c r="E74" i="8"/>
  <c r="D74" i="8"/>
  <c r="G73" i="8"/>
  <c r="F73" i="8"/>
  <c r="E73" i="8"/>
  <c r="D73" i="8"/>
  <c r="G72" i="8"/>
  <c r="F72" i="8"/>
  <c r="E72" i="8"/>
  <c r="D72" i="8"/>
  <c r="G71" i="8"/>
  <c r="F71" i="8"/>
  <c r="E71" i="8"/>
  <c r="D71" i="8"/>
  <c r="G70" i="8"/>
  <c r="F70" i="8"/>
  <c r="E70" i="8"/>
  <c r="D70" i="8"/>
  <c r="G69" i="8"/>
  <c r="F69" i="8"/>
  <c r="E69" i="8"/>
  <c r="D69" i="8"/>
  <c r="G63" i="8"/>
  <c r="G62" i="8"/>
  <c r="F63" i="8"/>
  <c r="F62" i="8"/>
  <c r="E63" i="8"/>
  <c r="E62" i="8"/>
  <c r="D63" i="8"/>
  <c r="D62" i="8"/>
  <c r="G61" i="8"/>
  <c r="F61" i="8"/>
  <c r="E61" i="8"/>
  <c r="D61" i="8"/>
  <c r="G60" i="8"/>
  <c r="F60" i="8"/>
  <c r="E60" i="8"/>
  <c r="D60" i="8"/>
  <c r="G59" i="8"/>
  <c r="F59" i="8"/>
  <c r="E59" i="8"/>
  <c r="D59" i="8"/>
  <c r="G58" i="8"/>
  <c r="F58" i="8"/>
  <c r="E58" i="8"/>
  <c r="D58" i="8"/>
  <c r="G57" i="8"/>
  <c r="F57" i="8"/>
  <c r="E57" i="8"/>
  <c r="D57" i="8"/>
  <c r="G56" i="8"/>
  <c r="F56" i="8"/>
  <c r="E56" i="8"/>
  <c r="D56" i="8"/>
  <c r="G55" i="8"/>
  <c r="F55" i="8"/>
  <c r="E55" i="8"/>
  <c r="D55" i="8"/>
  <c r="G54" i="8"/>
  <c r="F54" i="8"/>
  <c r="E54" i="8"/>
  <c r="D54" i="8"/>
  <c r="G53" i="8"/>
  <c r="F53" i="8"/>
  <c r="E53" i="8"/>
  <c r="D53" i="8"/>
  <c r="G52" i="8"/>
  <c r="F52" i="8"/>
  <c r="D52" i="8"/>
  <c r="E52" i="8"/>
  <c r="G51" i="8"/>
  <c r="F51" i="8"/>
  <c r="E51" i="8"/>
  <c r="D51" i="8"/>
  <c r="G50" i="8"/>
  <c r="F50" i="8"/>
  <c r="E50" i="8"/>
  <c r="D50" i="8"/>
  <c r="E11" i="9"/>
  <c r="G44" i="8" l="1"/>
  <c r="G43" i="8"/>
  <c r="G42" i="8"/>
  <c r="G41" i="8"/>
  <c r="G40" i="8"/>
  <c r="G39" i="8"/>
  <c r="G38" i="8"/>
  <c r="G37" i="8"/>
  <c r="F44" i="8"/>
  <c r="F43" i="8"/>
  <c r="F42" i="8"/>
  <c r="F41" i="8"/>
  <c r="F40" i="8"/>
  <c r="F39" i="8"/>
  <c r="F38" i="8"/>
  <c r="E44" i="8"/>
  <c r="E43" i="8"/>
  <c r="E42" i="8"/>
  <c r="E41" i="8"/>
  <c r="E40" i="8"/>
  <c r="E39" i="8"/>
  <c r="E38" i="8"/>
  <c r="D44" i="8"/>
  <c r="D43" i="8"/>
  <c r="D42" i="8"/>
  <c r="D41" i="8"/>
  <c r="D40" i="8"/>
  <c r="D39" i="8"/>
  <c r="D38" i="8"/>
  <c r="F37" i="8"/>
  <c r="E37" i="8"/>
  <c r="D37" i="8"/>
  <c r="J5" i="8"/>
  <c r="J63" i="8"/>
  <c r="J44" i="8"/>
  <c r="J24" i="8"/>
  <c r="L17" i="4"/>
  <c r="M17" i="4"/>
  <c r="D22" i="9"/>
  <c r="D21" i="9"/>
  <c r="D20" i="9"/>
  <c r="D19" i="9"/>
  <c r="D18" i="9"/>
  <c r="D17" i="9"/>
  <c r="D16" i="9"/>
  <c r="D15" i="9"/>
  <c r="H22" i="9" l="1"/>
  <c r="G22" i="9"/>
  <c r="F22" i="9"/>
  <c r="E22" i="9"/>
  <c r="H21" i="9"/>
  <c r="G21" i="9"/>
  <c r="F21" i="9"/>
  <c r="E21" i="9"/>
  <c r="H20" i="9"/>
  <c r="G20" i="9"/>
  <c r="F20" i="9"/>
  <c r="E20" i="9"/>
  <c r="H19" i="9"/>
  <c r="G19" i="9"/>
  <c r="F19" i="9"/>
  <c r="E19" i="9"/>
  <c r="H18" i="9"/>
  <c r="G18" i="9"/>
  <c r="F18" i="9"/>
  <c r="E18" i="9"/>
  <c r="H17" i="9"/>
  <c r="G17" i="9"/>
  <c r="F17" i="9"/>
  <c r="E17" i="9"/>
  <c r="H16" i="9"/>
  <c r="G16" i="9"/>
  <c r="F16" i="9"/>
  <c r="E16" i="9"/>
  <c r="H15" i="9"/>
  <c r="G15" i="9"/>
  <c r="F15" i="9"/>
  <c r="E15" i="9"/>
  <c r="H14" i="9"/>
  <c r="G14" i="9"/>
  <c r="F14" i="9"/>
  <c r="E14" i="9"/>
  <c r="H13" i="9"/>
  <c r="G13" i="9"/>
  <c r="F13" i="9"/>
  <c r="E13" i="9"/>
  <c r="H12" i="9"/>
  <c r="G12" i="9"/>
  <c r="F12" i="9"/>
  <c r="E12" i="9"/>
  <c r="H11" i="9"/>
  <c r="G11" i="9"/>
  <c r="F11" i="9"/>
  <c r="H10" i="9"/>
  <c r="F10" i="9"/>
  <c r="G10" i="9"/>
  <c r="E10" i="9"/>
  <c r="H9" i="9"/>
  <c r="G9" i="9"/>
  <c r="F9" i="9"/>
  <c r="E9" i="9"/>
  <c r="I76" i="14"/>
  <c r="H76" i="14"/>
  <c r="G76" i="14"/>
  <c r="F76" i="14"/>
  <c r="E76" i="14"/>
  <c r="D76" i="14"/>
  <c r="C76" i="14"/>
  <c r="B76" i="14"/>
  <c r="I75" i="14"/>
  <c r="H75" i="14"/>
  <c r="G75" i="14"/>
  <c r="F75" i="14"/>
  <c r="E75" i="14"/>
  <c r="D75" i="14"/>
  <c r="C75" i="14"/>
  <c r="B75" i="14"/>
  <c r="I74" i="14"/>
  <c r="H74" i="14"/>
  <c r="G74" i="14"/>
  <c r="F74" i="14"/>
  <c r="E74" i="14"/>
  <c r="D74" i="14"/>
  <c r="C74" i="14"/>
  <c r="B74" i="14"/>
  <c r="I73" i="14"/>
  <c r="H73" i="14"/>
  <c r="G73" i="14"/>
  <c r="F73" i="14"/>
  <c r="E73" i="14"/>
  <c r="D73" i="14"/>
  <c r="C73" i="14"/>
  <c r="B73" i="14"/>
  <c r="I72" i="14"/>
  <c r="H72" i="14"/>
  <c r="G72" i="14"/>
  <c r="F72" i="14"/>
  <c r="E72" i="14"/>
  <c r="D72" i="14"/>
  <c r="C72" i="14"/>
  <c r="B72" i="14"/>
  <c r="I71" i="14"/>
  <c r="H71" i="14"/>
  <c r="G71" i="14"/>
  <c r="F71" i="14"/>
  <c r="E71" i="14"/>
  <c r="D71" i="14"/>
  <c r="C71" i="14"/>
  <c r="B71" i="14"/>
  <c r="I70" i="14"/>
  <c r="H70" i="14"/>
  <c r="G70" i="14"/>
  <c r="F70" i="14"/>
  <c r="E70" i="14"/>
  <c r="D70" i="14"/>
  <c r="C70" i="14"/>
  <c r="B70" i="14"/>
  <c r="I69" i="14"/>
  <c r="H69" i="14"/>
  <c r="G69" i="14"/>
  <c r="F69" i="14"/>
  <c r="E69" i="14"/>
  <c r="D69" i="14"/>
  <c r="C69" i="14"/>
  <c r="B69" i="14"/>
  <c r="I68" i="14"/>
  <c r="H68" i="14"/>
  <c r="G36" i="8" s="1"/>
  <c r="D14" i="9" s="1"/>
  <c r="G68" i="14"/>
  <c r="F36" i="8" s="1"/>
  <c r="F68" i="14"/>
  <c r="E68" i="14"/>
  <c r="E36" i="8" s="1"/>
  <c r="D68" i="14"/>
  <c r="C68" i="14"/>
  <c r="D36" i="8" s="1"/>
  <c r="B68" i="14"/>
  <c r="I67" i="14"/>
  <c r="H67" i="14"/>
  <c r="G35" i="8" s="1"/>
  <c r="D13" i="9" s="1"/>
  <c r="G67" i="14"/>
  <c r="F35" i="8" s="1"/>
  <c r="F67" i="14"/>
  <c r="E67" i="14"/>
  <c r="E35" i="8" s="1"/>
  <c r="D67" i="14"/>
  <c r="C67" i="14"/>
  <c r="D35" i="8" s="1"/>
  <c r="B67" i="14"/>
  <c r="I66" i="14"/>
  <c r="H66" i="14"/>
  <c r="G34" i="8" s="1"/>
  <c r="D12" i="9" s="1"/>
  <c r="G66" i="14"/>
  <c r="F34" i="8" s="1"/>
  <c r="F66" i="14"/>
  <c r="E66" i="14"/>
  <c r="E34" i="8" s="1"/>
  <c r="D66" i="14"/>
  <c r="C66" i="14"/>
  <c r="D34" i="8" s="1"/>
  <c r="B66" i="14"/>
  <c r="I65" i="14"/>
  <c r="H65" i="14"/>
  <c r="G33" i="8" s="1"/>
  <c r="D11" i="9" s="1"/>
  <c r="G65" i="14"/>
  <c r="F33" i="8" s="1"/>
  <c r="F65" i="14"/>
  <c r="E65" i="14"/>
  <c r="E33" i="8" s="1"/>
  <c r="D65" i="14"/>
  <c r="C65" i="14"/>
  <c r="D33" i="8" s="1"/>
  <c r="B65" i="14"/>
  <c r="I64" i="14"/>
  <c r="H64" i="14"/>
  <c r="G32" i="8" s="1"/>
  <c r="D10" i="9" s="1"/>
  <c r="G64" i="14"/>
  <c r="F32" i="8" s="1"/>
  <c r="F64" i="14"/>
  <c r="E64" i="14"/>
  <c r="E32" i="8" s="1"/>
  <c r="D64" i="14"/>
  <c r="C64" i="14"/>
  <c r="D32" i="8" s="1"/>
  <c r="B64" i="14"/>
  <c r="I63" i="14"/>
  <c r="H63" i="14"/>
  <c r="G31" i="8" s="1"/>
  <c r="D9" i="9" s="1"/>
  <c r="G63" i="14"/>
  <c r="F31" i="8" s="1"/>
  <c r="F63" i="14"/>
  <c r="E63" i="14"/>
  <c r="E31" i="8" s="1"/>
  <c r="D63" i="14"/>
  <c r="C63" i="14"/>
  <c r="D31" i="8" s="1"/>
  <c r="B63" i="14"/>
  <c r="I56" i="14"/>
  <c r="H56" i="14"/>
  <c r="G56" i="14"/>
  <c r="F56" i="14"/>
  <c r="E56" i="14"/>
  <c r="D56" i="14"/>
  <c r="C56" i="14"/>
  <c r="B56" i="14"/>
  <c r="I55" i="14"/>
  <c r="H55" i="14"/>
  <c r="G55" i="14"/>
  <c r="F55" i="14"/>
  <c r="E55" i="14"/>
  <c r="D55" i="14"/>
  <c r="C55" i="14"/>
  <c r="B55" i="14"/>
  <c r="I54" i="14"/>
  <c r="H54" i="14"/>
  <c r="G54" i="14"/>
  <c r="F54" i="14"/>
  <c r="E54" i="14"/>
  <c r="D54" i="14"/>
  <c r="C54" i="14"/>
  <c r="B54" i="14"/>
  <c r="I53" i="14"/>
  <c r="H53" i="14"/>
  <c r="G53" i="14"/>
  <c r="F53" i="14"/>
  <c r="E53" i="14"/>
  <c r="D53" i="14"/>
  <c r="C53" i="14"/>
  <c r="B53" i="14"/>
  <c r="I52" i="14"/>
  <c r="H52" i="14"/>
  <c r="G52" i="14"/>
  <c r="F52" i="14"/>
  <c r="E52" i="14"/>
  <c r="D52" i="14"/>
  <c r="C52" i="14"/>
  <c r="B52" i="14"/>
  <c r="I51" i="14"/>
  <c r="H51" i="14"/>
  <c r="G51" i="14"/>
  <c r="F51" i="14"/>
  <c r="E51" i="14"/>
  <c r="D51" i="14"/>
  <c r="C51" i="14"/>
  <c r="B51" i="14"/>
  <c r="I50" i="14"/>
  <c r="H50" i="14"/>
  <c r="G50" i="14"/>
  <c r="F50" i="14"/>
  <c r="E50" i="14"/>
  <c r="D50" i="14"/>
  <c r="C50" i="14"/>
  <c r="B50" i="14"/>
  <c r="I49" i="14"/>
  <c r="H49" i="14"/>
  <c r="G49" i="14"/>
  <c r="F49" i="14"/>
  <c r="E49" i="14"/>
  <c r="C49" i="14"/>
  <c r="B49" i="14"/>
  <c r="D49" i="14"/>
  <c r="I48" i="14"/>
  <c r="H48" i="14"/>
  <c r="G48" i="14"/>
  <c r="F48" i="14"/>
  <c r="E48" i="14"/>
  <c r="D48" i="14"/>
  <c r="C48" i="14"/>
  <c r="B48" i="14"/>
  <c r="I47" i="14"/>
  <c r="H47" i="14"/>
  <c r="G47" i="14"/>
  <c r="F47" i="14"/>
  <c r="E47" i="14"/>
  <c r="D47" i="14"/>
  <c r="C47" i="14"/>
  <c r="B47" i="14"/>
  <c r="I46" i="14"/>
  <c r="H46" i="14"/>
  <c r="G46" i="14"/>
  <c r="F46" i="14"/>
  <c r="E46" i="14"/>
  <c r="D46" i="14"/>
  <c r="C46" i="14"/>
  <c r="B46" i="14"/>
  <c r="I45" i="14"/>
  <c r="H45" i="14"/>
  <c r="G45" i="14"/>
  <c r="F45" i="14"/>
  <c r="E45" i="14"/>
  <c r="D45" i="14"/>
  <c r="C45" i="14"/>
  <c r="B45" i="14"/>
  <c r="I44" i="14"/>
  <c r="H44" i="14"/>
  <c r="G44" i="14"/>
  <c r="F44" i="14"/>
  <c r="E44" i="14"/>
  <c r="D44" i="14"/>
  <c r="C44" i="14"/>
  <c r="B44" i="14"/>
  <c r="I43" i="14"/>
  <c r="H43" i="14"/>
  <c r="G43" i="14"/>
  <c r="F43" i="14"/>
  <c r="E43" i="14"/>
  <c r="D43" i="14"/>
  <c r="C43" i="14"/>
  <c r="B43" i="14"/>
  <c r="F42" i="14"/>
  <c r="G42" i="14" s="1"/>
  <c r="D42" i="14"/>
  <c r="B42" i="14"/>
  <c r="C42" i="14" s="1"/>
  <c r="B18" i="13"/>
  <c r="I32" i="13"/>
  <c r="H32" i="13"/>
  <c r="G32" i="13"/>
  <c r="F32" i="13"/>
  <c r="E32" i="13"/>
  <c r="D32" i="13"/>
  <c r="C32" i="13"/>
  <c r="B32" i="13"/>
  <c r="I31" i="13"/>
  <c r="H31" i="13"/>
  <c r="G31" i="13"/>
  <c r="F31" i="13"/>
  <c r="E31" i="13"/>
  <c r="D31" i="13"/>
  <c r="C31" i="13"/>
  <c r="B31" i="13"/>
  <c r="I30" i="13"/>
  <c r="H30" i="13"/>
  <c r="G30" i="13"/>
  <c r="F30" i="13"/>
  <c r="E30" i="13"/>
  <c r="D30" i="13"/>
  <c r="C30" i="13"/>
  <c r="B30" i="13"/>
  <c r="I29" i="13"/>
  <c r="H29" i="13"/>
  <c r="G29" i="13"/>
  <c r="F29" i="13"/>
  <c r="E29" i="13"/>
  <c r="D29" i="13"/>
  <c r="C29" i="13"/>
  <c r="B29" i="13"/>
  <c r="I28" i="13"/>
  <c r="H28" i="13"/>
  <c r="G28" i="13"/>
  <c r="F28" i="13"/>
  <c r="E28" i="13"/>
  <c r="D28" i="13"/>
  <c r="C28" i="13"/>
  <c r="B28" i="13"/>
  <c r="I27" i="13"/>
  <c r="H27" i="13"/>
  <c r="G27" i="13"/>
  <c r="F27" i="13"/>
  <c r="E27" i="13"/>
  <c r="D27" i="13"/>
  <c r="C27" i="13"/>
  <c r="B27" i="13"/>
  <c r="I26" i="13"/>
  <c r="H26" i="13"/>
  <c r="G26" i="13"/>
  <c r="F26" i="13"/>
  <c r="E26" i="13"/>
  <c r="D26" i="13"/>
  <c r="C26" i="13"/>
  <c r="B26" i="13"/>
  <c r="I25" i="13"/>
  <c r="H25" i="13"/>
  <c r="G25" i="13"/>
  <c r="F25" i="13"/>
  <c r="E25" i="13"/>
  <c r="D25" i="13"/>
  <c r="C25" i="13"/>
  <c r="B25" i="13"/>
  <c r="I24" i="13"/>
  <c r="H24" i="13"/>
  <c r="G24" i="13"/>
  <c r="F24" i="13"/>
  <c r="E24" i="13"/>
  <c r="D24" i="13"/>
  <c r="C24" i="13"/>
  <c r="B24" i="13"/>
  <c r="I23" i="13"/>
  <c r="H23" i="13"/>
  <c r="G23" i="13"/>
  <c r="F23" i="13"/>
  <c r="E23" i="13"/>
  <c r="D23" i="13"/>
  <c r="C23" i="13"/>
  <c r="B23" i="13"/>
  <c r="I22" i="13"/>
  <c r="H22" i="13"/>
  <c r="G22" i="13"/>
  <c r="F22" i="13"/>
  <c r="E22" i="13"/>
  <c r="C22" i="13"/>
  <c r="D22" i="13"/>
  <c r="B22" i="13"/>
  <c r="I21" i="13"/>
  <c r="H21" i="13"/>
  <c r="G21" i="13"/>
  <c r="F21" i="13"/>
  <c r="E21" i="13"/>
  <c r="D21" i="13"/>
  <c r="C21" i="13"/>
  <c r="B21" i="13"/>
  <c r="I20" i="13"/>
  <c r="H20" i="13"/>
  <c r="G20" i="13"/>
  <c r="F20" i="13"/>
  <c r="E20" i="13"/>
  <c r="D20" i="13"/>
  <c r="C20" i="13"/>
  <c r="B20" i="13"/>
  <c r="I19" i="13"/>
  <c r="H19" i="13"/>
  <c r="G19" i="13"/>
  <c r="F19" i="13"/>
  <c r="E19" i="13"/>
  <c r="D19" i="13"/>
  <c r="C19" i="13"/>
  <c r="B19" i="13"/>
  <c r="F18" i="13"/>
  <c r="G18" i="13" s="1"/>
  <c r="D18" i="13"/>
  <c r="D62" i="14" s="1"/>
  <c r="I42" i="14" l="1"/>
  <c r="H42" i="14"/>
  <c r="I18" i="13"/>
  <c r="F62" i="14"/>
  <c r="E18" i="13"/>
  <c r="H18" i="13"/>
  <c r="E42" i="14"/>
  <c r="B62" i="14"/>
  <c r="C18" i="13"/>
  <c r="J21" i="8"/>
  <c r="J19" i="8"/>
  <c r="J17" i="8"/>
  <c r="J15" i="8"/>
  <c r="J13" i="8"/>
  <c r="J12" i="8"/>
  <c r="G62" i="14" l="1"/>
  <c r="F30" i="8" s="1"/>
  <c r="F45" i="8" s="1"/>
  <c r="B27" i="14"/>
  <c r="B28" i="14"/>
  <c r="B26" i="14"/>
  <c r="A42" i="14"/>
  <c r="A43" i="14"/>
  <c r="A44" i="14"/>
  <c r="A45" i="14"/>
  <c r="A46" i="14"/>
  <c r="A47" i="14"/>
  <c r="A48" i="14"/>
  <c r="A49" i="14"/>
  <c r="A50" i="14"/>
  <c r="A51" i="14"/>
  <c r="A52" i="14"/>
  <c r="A53" i="14"/>
  <c r="A54" i="14"/>
  <c r="A55" i="14"/>
  <c r="A56" i="14"/>
  <c r="A62" i="14"/>
  <c r="A63" i="14"/>
  <c r="A64" i="14"/>
  <c r="A65" i="14"/>
  <c r="A66" i="14"/>
  <c r="A67" i="14"/>
  <c r="A68" i="14"/>
  <c r="A69" i="14"/>
  <c r="A70" i="14"/>
  <c r="A71" i="14"/>
  <c r="A72" i="14"/>
  <c r="A73" i="14"/>
  <c r="A74" i="14"/>
  <c r="A75" i="14"/>
  <c r="A76" i="14"/>
  <c r="B32" i="14"/>
  <c r="E62" i="14" s="1"/>
  <c r="E30" i="8" s="1"/>
  <c r="E45" i="8" s="1"/>
  <c r="B12" i="13"/>
  <c r="B11" i="13"/>
  <c r="B10" i="13"/>
  <c r="C62" i="14" l="1"/>
  <c r="D30" i="8" s="1"/>
  <c r="D45" i="8" s="1"/>
  <c r="I62" i="14"/>
  <c r="H62" i="14"/>
  <c r="G30" i="8" s="1"/>
  <c r="E10" i="13"/>
  <c r="E26" i="14"/>
  <c r="E27" i="14"/>
  <c r="E11" i="13"/>
  <c r="G45" i="8" l="1"/>
  <c r="D8" i="9"/>
  <c r="D23" i="9" s="1"/>
  <c r="B322" i="2"/>
  <c r="C24" i="2" l="1"/>
  <c r="C25" i="2"/>
  <c r="C26" i="2"/>
  <c r="A18" i="13" l="1"/>
  <c r="A19" i="13"/>
  <c r="A20" i="13"/>
  <c r="A21" i="13"/>
  <c r="A22" i="13"/>
  <c r="A23" i="13"/>
  <c r="A24" i="13"/>
  <c r="A25" i="13"/>
  <c r="A26" i="13"/>
  <c r="A27" i="13"/>
  <c r="A28" i="13"/>
  <c r="A29" i="13"/>
  <c r="A30" i="13"/>
  <c r="A31" i="13"/>
  <c r="A32" i="13"/>
  <c r="B7" i="2" l="1"/>
  <c r="C554" i="2" l="1"/>
  <c r="E30" i="5" s="1"/>
  <c r="C553" i="2"/>
  <c r="C552" i="2"/>
  <c r="C532" i="2"/>
  <c r="C531" i="2"/>
  <c r="C530" i="2"/>
  <c r="C510" i="2"/>
  <c r="C509" i="2"/>
  <c r="C508" i="2"/>
  <c r="C488" i="2"/>
  <c r="C487" i="2"/>
  <c r="C486" i="2"/>
  <c r="C466" i="2"/>
  <c r="C465" i="2"/>
  <c r="C464" i="2"/>
  <c r="C444" i="2"/>
  <c r="C443" i="2"/>
  <c r="C442" i="2"/>
  <c r="J7" i="8" l="1"/>
  <c r="N60" i="8"/>
  <c r="O60" i="8" s="1"/>
  <c r="N59" i="8"/>
  <c r="N58" i="8"/>
  <c r="O58" i="8" s="1"/>
  <c r="N57" i="8"/>
  <c r="O57" i="8" s="1"/>
  <c r="N56" i="8"/>
  <c r="O56" i="8" s="1"/>
  <c r="N55" i="8"/>
  <c r="O55" i="8" s="1"/>
  <c r="N54" i="8"/>
  <c r="N53" i="8"/>
  <c r="N52" i="8"/>
  <c r="O52" i="8" s="1"/>
  <c r="L60" i="8"/>
  <c r="L59" i="8"/>
  <c r="L58" i="8"/>
  <c r="L57" i="8"/>
  <c r="L56" i="8"/>
  <c r="L55" i="8"/>
  <c r="L54" i="8"/>
  <c r="L53" i="8"/>
  <c r="L52" i="8"/>
  <c r="J60" i="8"/>
  <c r="J59" i="8"/>
  <c r="J58" i="8"/>
  <c r="J57" i="8"/>
  <c r="J56" i="8"/>
  <c r="J55" i="8"/>
  <c r="J54" i="8"/>
  <c r="J53" i="8"/>
  <c r="J52" i="8"/>
  <c r="N79" i="8"/>
  <c r="O79" i="8" s="1"/>
  <c r="N78" i="8"/>
  <c r="O78" i="8" s="1"/>
  <c r="N77" i="8"/>
  <c r="O77" i="8" s="1"/>
  <c r="N76" i="8"/>
  <c r="N75" i="8"/>
  <c r="O75" i="8" s="1"/>
  <c r="N74" i="8"/>
  <c r="O74" i="8" s="1"/>
  <c r="N73" i="8"/>
  <c r="O73" i="8" s="1"/>
  <c r="N72" i="8"/>
  <c r="O72" i="8" s="1"/>
  <c r="N71" i="8"/>
  <c r="O71" i="8" s="1"/>
  <c r="L79" i="8"/>
  <c r="L78" i="8"/>
  <c r="L77" i="8"/>
  <c r="Q77" i="8" s="1"/>
  <c r="L76" i="8"/>
  <c r="L75" i="8"/>
  <c r="L74" i="8"/>
  <c r="L73" i="8"/>
  <c r="L72" i="8"/>
  <c r="L71" i="8"/>
  <c r="J79" i="8"/>
  <c r="J78" i="8"/>
  <c r="J77" i="8"/>
  <c r="J76" i="8"/>
  <c r="J75" i="8"/>
  <c r="J74" i="8"/>
  <c r="J73" i="8"/>
  <c r="J72" i="8"/>
  <c r="J71" i="8"/>
  <c r="J70" i="8"/>
  <c r="N40" i="8"/>
  <c r="O40" i="8" s="1"/>
  <c r="N39" i="8"/>
  <c r="O39" i="8" s="1"/>
  <c r="N38" i="8"/>
  <c r="O38" i="8" s="1"/>
  <c r="N37" i="8"/>
  <c r="O37" i="8" s="1"/>
  <c r="N36" i="8"/>
  <c r="O36" i="8" s="1"/>
  <c r="N35" i="8"/>
  <c r="O35" i="8" s="1"/>
  <c r="N34" i="8"/>
  <c r="O34" i="8" s="1"/>
  <c r="N33" i="8"/>
  <c r="O33" i="8" s="1"/>
  <c r="N32" i="8"/>
  <c r="O32" i="8" s="1"/>
  <c r="L40" i="8"/>
  <c r="L39" i="8"/>
  <c r="L38" i="8"/>
  <c r="L37" i="8"/>
  <c r="L36" i="8"/>
  <c r="Q36" i="8" s="1"/>
  <c r="L35" i="8"/>
  <c r="L34" i="8"/>
  <c r="L33" i="8"/>
  <c r="L32" i="8"/>
  <c r="J40" i="8"/>
  <c r="J39" i="8"/>
  <c r="J38" i="8"/>
  <c r="J37" i="8"/>
  <c r="J36" i="8"/>
  <c r="J35" i="8"/>
  <c r="J34" i="8"/>
  <c r="J33" i="8"/>
  <c r="J32" i="8"/>
  <c r="B14" i="9"/>
  <c r="B15" i="9"/>
  <c r="B16" i="9"/>
  <c r="B17" i="9"/>
  <c r="B18" i="9"/>
  <c r="B19" i="9"/>
  <c r="B20" i="9"/>
  <c r="B21" i="9"/>
  <c r="B22" i="9"/>
  <c r="B111" i="8"/>
  <c r="B112" i="8"/>
  <c r="B113" i="8"/>
  <c r="B114" i="8"/>
  <c r="B115" i="8"/>
  <c r="B116" i="8"/>
  <c r="B117" i="8"/>
  <c r="B118" i="8"/>
  <c r="B119" i="8"/>
  <c r="B120" i="8"/>
  <c r="B92" i="8"/>
  <c r="B93" i="8"/>
  <c r="B94" i="8"/>
  <c r="B95" i="8"/>
  <c r="B96" i="8"/>
  <c r="B97" i="8"/>
  <c r="B98" i="8"/>
  <c r="B99" i="8"/>
  <c r="B100" i="8"/>
  <c r="B101" i="8"/>
  <c r="B73" i="8"/>
  <c r="B74" i="8"/>
  <c r="B75" i="8"/>
  <c r="B76" i="8"/>
  <c r="B77" i="8"/>
  <c r="B78" i="8"/>
  <c r="B79" i="8"/>
  <c r="B80" i="8"/>
  <c r="B81" i="8"/>
  <c r="B82" i="8"/>
  <c r="B54" i="8"/>
  <c r="B55" i="8"/>
  <c r="B56" i="8"/>
  <c r="B57" i="8"/>
  <c r="B58" i="8"/>
  <c r="B59" i="8"/>
  <c r="B60" i="8"/>
  <c r="B61" i="8"/>
  <c r="B62" i="8"/>
  <c r="B63" i="8"/>
  <c r="B34" i="8"/>
  <c r="B35" i="8"/>
  <c r="B36" i="8"/>
  <c r="B37" i="8"/>
  <c r="B38" i="8"/>
  <c r="B39" i="8"/>
  <c r="B40" i="8"/>
  <c r="B41" i="8"/>
  <c r="B42" i="8"/>
  <c r="B43" i="8"/>
  <c r="B44" i="8"/>
  <c r="B20" i="8"/>
  <c r="B21" i="8"/>
  <c r="B22" i="8"/>
  <c r="B23" i="8"/>
  <c r="B24" i="8"/>
  <c r="B16" i="8"/>
  <c r="B17" i="8"/>
  <c r="B18" i="8"/>
  <c r="B19" i="8"/>
  <c r="I78" i="8"/>
  <c r="I79" i="8"/>
  <c r="I71" i="8"/>
  <c r="I72" i="8"/>
  <c r="I73" i="8"/>
  <c r="I74" i="8"/>
  <c r="I75" i="8"/>
  <c r="I76" i="8"/>
  <c r="I77" i="8"/>
  <c r="I52" i="8"/>
  <c r="I53" i="8"/>
  <c r="I54" i="8"/>
  <c r="I55" i="8"/>
  <c r="I56" i="8"/>
  <c r="I57" i="8"/>
  <c r="I58" i="8"/>
  <c r="I59" i="8"/>
  <c r="I60" i="8"/>
  <c r="I32" i="8"/>
  <c r="I33" i="8"/>
  <c r="I34" i="8"/>
  <c r="I35" i="8"/>
  <c r="I36" i="8"/>
  <c r="I37" i="8"/>
  <c r="I38" i="8"/>
  <c r="I39" i="8"/>
  <c r="I40" i="8"/>
  <c r="N21" i="8"/>
  <c r="N20" i="8"/>
  <c r="N19" i="8"/>
  <c r="N18" i="8"/>
  <c r="N17" i="8"/>
  <c r="N16" i="8"/>
  <c r="N15" i="8"/>
  <c r="N14" i="8"/>
  <c r="N13" i="8"/>
  <c r="L21" i="8"/>
  <c r="L20" i="8"/>
  <c r="L19" i="8"/>
  <c r="L18" i="8"/>
  <c r="L17" i="8"/>
  <c r="L16" i="8"/>
  <c r="L15" i="8"/>
  <c r="L14" i="8"/>
  <c r="L13" i="8"/>
  <c r="J20" i="8"/>
  <c r="J18" i="8"/>
  <c r="J16" i="8"/>
  <c r="J14" i="8"/>
  <c r="I13" i="8"/>
  <c r="I14" i="8"/>
  <c r="I15" i="8"/>
  <c r="I16" i="8"/>
  <c r="I17" i="8"/>
  <c r="I18" i="8"/>
  <c r="I19" i="8"/>
  <c r="I20" i="8"/>
  <c r="I21" i="8"/>
  <c r="B6" i="9"/>
  <c r="B13" i="9"/>
  <c r="B12" i="9"/>
  <c r="B11" i="9"/>
  <c r="B10" i="9"/>
  <c r="B9" i="9"/>
  <c r="B8" i="9"/>
  <c r="I66" i="8"/>
  <c r="I67" i="8"/>
  <c r="I68" i="8"/>
  <c r="I69" i="8"/>
  <c r="I70" i="8"/>
  <c r="I65" i="8"/>
  <c r="B6" i="8"/>
  <c r="B110" i="8"/>
  <c r="B109" i="8"/>
  <c r="B108" i="8"/>
  <c r="B107" i="8"/>
  <c r="B106" i="8"/>
  <c r="B91" i="8"/>
  <c r="B90" i="8"/>
  <c r="B89" i="8"/>
  <c r="B88" i="8"/>
  <c r="B87" i="8"/>
  <c r="B72" i="8"/>
  <c r="B71" i="8"/>
  <c r="B70" i="8"/>
  <c r="B69" i="8"/>
  <c r="B68" i="8"/>
  <c r="N70" i="8"/>
  <c r="L70" i="8"/>
  <c r="N69" i="8"/>
  <c r="L69" i="8"/>
  <c r="J69" i="8"/>
  <c r="N68" i="8"/>
  <c r="O68" i="8" s="1"/>
  <c r="L68" i="8"/>
  <c r="J68" i="8"/>
  <c r="N67" i="8"/>
  <c r="O67" i="8" s="1"/>
  <c r="L67" i="8"/>
  <c r="J67" i="8"/>
  <c r="N66" i="8"/>
  <c r="O66" i="8" s="1"/>
  <c r="L66" i="8"/>
  <c r="J66" i="8"/>
  <c r="B53" i="8"/>
  <c r="N65" i="8"/>
  <c r="O65" i="8" s="1"/>
  <c r="F106" i="8" s="1"/>
  <c r="L65" i="8"/>
  <c r="J65" i="8"/>
  <c r="B52" i="8"/>
  <c r="B51" i="8"/>
  <c r="B50" i="8"/>
  <c r="B49" i="8"/>
  <c r="N51" i="8"/>
  <c r="L51" i="8"/>
  <c r="J51" i="8"/>
  <c r="I51" i="8"/>
  <c r="N50" i="8"/>
  <c r="O50" i="8" s="1"/>
  <c r="L50" i="8"/>
  <c r="J50" i="8"/>
  <c r="I50" i="8"/>
  <c r="N49" i="8"/>
  <c r="O49" i="8" s="1"/>
  <c r="L49" i="8"/>
  <c r="J49" i="8"/>
  <c r="I49" i="8"/>
  <c r="N48" i="8"/>
  <c r="O48" i="8" s="1"/>
  <c r="L48" i="8"/>
  <c r="J48" i="8"/>
  <c r="I48" i="8"/>
  <c r="N47" i="8"/>
  <c r="O47" i="8" s="1"/>
  <c r="L47" i="8"/>
  <c r="J47" i="8"/>
  <c r="I47" i="8"/>
  <c r="N46" i="8"/>
  <c r="O46" i="8" s="1"/>
  <c r="F87" i="8" s="1"/>
  <c r="L46" i="8"/>
  <c r="J46" i="8"/>
  <c r="I46" i="8"/>
  <c r="B33" i="8"/>
  <c r="B32" i="8"/>
  <c r="B31" i="8"/>
  <c r="N31" i="8"/>
  <c r="O31" i="8" s="1"/>
  <c r="L31" i="8"/>
  <c r="J31" i="8"/>
  <c r="I31" i="8"/>
  <c r="B30" i="8"/>
  <c r="N30" i="8"/>
  <c r="L30" i="8"/>
  <c r="J30" i="8"/>
  <c r="I30" i="8"/>
  <c r="N29" i="8"/>
  <c r="L29" i="8"/>
  <c r="J29" i="8"/>
  <c r="I29" i="8"/>
  <c r="N28" i="8"/>
  <c r="O28" i="8" s="1"/>
  <c r="L28" i="8"/>
  <c r="J28" i="8"/>
  <c r="I28" i="8"/>
  <c r="N27" i="8"/>
  <c r="O27" i="8" s="1"/>
  <c r="L27" i="8"/>
  <c r="J27" i="8"/>
  <c r="I27" i="8"/>
  <c r="N26" i="8"/>
  <c r="L26" i="8"/>
  <c r="J26" i="8"/>
  <c r="I26" i="8"/>
  <c r="B15" i="8"/>
  <c r="B14" i="8"/>
  <c r="B13" i="8"/>
  <c r="N12" i="8"/>
  <c r="L12" i="8"/>
  <c r="I12" i="8"/>
  <c r="B12" i="8"/>
  <c r="N11" i="8"/>
  <c r="L11" i="8"/>
  <c r="J11" i="8"/>
  <c r="I11" i="8"/>
  <c r="B11" i="8"/>
  <c r="N10" i="8"/>
  <c r="L10" i="8"/>
  <c r="J10" i="8"/>
  <c r="I10" i="8"/>
  <c r="B10" i="8"/>
  <c r="N9" i="8"/>
  <c r="L9" i="8"/>
  <c r="J9" i="8"/>
  <c r="I9" i="8"/>
  <c r="N8" i="8"/>
  <c r="L8" i="8"/>
  <c r="J8" i="8"/>
  <c r="I8" i="8"/>
  <c r="N7" i="8"/>
  <c r="L7" i="8"/>
  <c r="I7" i="8"/>
  <c r="Q32" i="8" l="1"/>
  <c r="Q69" i="8"/>
  <c r="P71" i="8"/>
  <c r="P75" i="8"/>
  <c r="Q68" i="8"/>
  <c r="P70" i="8"/>
  <c r="Q48" i="8"/>
  <c r="Q49" i="8"/>
  <c r="Q50" i="8"/>
  <c r="Q59" i="8"/>
  <c r="Q53" i="8"/>
  <c r="Q57" i="8"/>
  <c r="Q26" i="8"/>
  <c r="Q46" i="8"/>
  <c r="K68" i="8"/>
  <c r="P68" i="8"/>
  <c r="K78" i="8"/>
  <c r="P78" i="8"/>
  <c r="K79" i="8"/>
  <c r="P79" i="8"/>
  <c r="M74" i="8"/>
  <c r="Q74" i="8"/>
  <c r="K66" i="8"/>
  <c r="P66" i="8"/>
  <c r="M67" i="8"/>
  <c r="Q67" i="8"/>
  <c r="K72" i="8"/>
  <c r="P72" i="8"/>
  <c r="K76" i="8"/>
  <c r="P76" i="8"/>
  <c r="M71" i="8"/>
  <c r="Q71" i="8"/>
  <c r="M75" i="8"/>
  <c r="Q75" i="8"/>
  <c r="M79" i="8"/>
  <c r="Q79" i="8"/>
  <c r="K74" i="8"/>
  <c r="P74" i="8"/>
  <c r="M73" i="8"/>
  <c r="Q73" i="8"/>
  <c r="K67" i="8"/>
  <c r="P67" i="8"/>
  <c r="M78" i="8"/>
  <c r="Q78" i="8"/>
  <c r="Q66" i="8"/>
  <c r="K69" i="8"/>
  <c r="P69" i="8"/>
  <c r="K73" i="8"/>
  <c r="P73" i="8"/>
  <c r="K77" i="8"/>
  <c r="P77" i="8"/>
  <c r="Q72" i="8"/>
  <c r="M76" i="8"/>
  <c r="Q76" i="8"/>
  <c r="P65" i="8"/>
  <c r="Q65" i="8"/>
  <c r="Q56" i="8"/>
  <c r="P53" i="8"/>
  <c r="P52" i="8"/>
  <c r="K60" i="8"/>
  <c r="P60" i="8"/>
  <c r="M52" i="8"/>
  <c r="Q52" i="8"/>
  <c r="M60" i="8"/>
  <c r="Q60" i="8"/>
  <c r="K54" i="8"/>
  <c r="P54" i="8"/>
  <c r="K58" i="8"/>
  <c r="P58" i="8"/>
  <c r="M47" i="8"/>
  <c r="Q47" i="8"/>
  <c r="M51" i="8"/>
  <c r="Q51" i="8"/>
  <c r="K56" i="8"/>
  <c r="P56" i="8"/>
  <c r="M55" i="8"/>
  <c r="Q55" i="8"/>
  <c r="K57" i="8"/>
  <c r="P57" i="8"/>
  <c r="P47" i="8"/>
  <c r="P48" i="8"/>
  <c r="P49" i="8"/>
  <c r="P50" i="8"/>
  <c r="P51" i="8"/>
  <c r="K55" i="8"/>
  <c r="P55" i="8"/>
  <c r="K59" i="8"/>
  <c r="P59" i="8"/>
  <c r="Q54" i="8"/>
  <c r="Q58" i="8"/>
  <c r="K46" i="8"/>
  <c r="D87" i="8" s="1"/>
  <c r="P46" i="8"/>
  <c r="Q28" i="8"/>
  <c r="Q29" i="8"/>
  <c r="Q30" i="8"/>
  <c r="Q38" i="8"/>
  <c r="P37" i="8"/>
  <c r="M27" i="8"/>
  <c r="Q27" i="8"/>
  <c r="K31" i="8"/>
  <c r="P31" i="8"/>
  <c r="K35" i="8"/>
  <c r="P35" i="8"/>
  <c r="K39" i="8"/>
  <c r="P39" i="8"/>
  <c r="M34" i="8"/>
  <c r="Q34" i="8"/>
  <c r="M31" i="8"/>
  <c r="Q31" i="8"/>
  <c r="K32" i="8"/>
  <c r="P32" i="8"/>
  <c r="K36" i="8"/>
  <c r="P36" i="8"/>
  <c r="K40" i="8"/>
  <c r="P40" i="8"/>
  <c r="M35" i="8"/>
  <c r="Q35" i="8"/>
  <c r="Q39" i="8"/>
  <c r="K33" i="8"/>
  <c r="P33" i="8"/>
  <c r="M40" i="8"/>
  <c r="Q40" i="8"/>
  <c r="P27" i="8"/>
  <c r="K28" i="8"/>
  <c r="P28" i="8"/>
  <c r="K29" i="8"/>
  <c r="P29" i="8"/>
  <c r="P30" i="8"/>
  <c r="K34" i="8"/>
  <c r="P34" i="8"/>
  <c r="K38" i="8"/>
  <c r="P38" i="8"/>
  <c r="Q33" i="8"/>
  <c r="Q37" i="8"/>
  <c r="K26" i="8"/>
  <c r="D68" i="8" s="1"/>
  <c r="P26" i="8"/>
  <c r="K71" i="8"/>
  <c r="M70" i="8"/>
  <c r="Q70" i="8"/>
  <c r="K53" i="8"/>
  <c r="M57" i="8"/>
  <c r="M56" i="8"/>
  <c r="M72" i="8"/>
  <c r="M53" i="8"/>
  <c r="K52" i="8"/>
  <c r="M32" i="8"/>
  <c r="M36" i="8"/>
  <c r="O54" i="8"/>
  <c r="K75" i="8"/>
  <c r="M59" i="8"/>
  <c r="O59" i="8"/>
  <c r="O53" i="8"/>
  <c r="M54" i="8"/>
  <c r="M58" i="8"/>
  <c r="O76" i="8"/>
  <c r="M77" i="8"/>
  <c r="M39" i="8"/>
  <c r="M33" i="8"/>
  <c r="M37" i="8"/>
  <c r="M38" i="8"/>
  <c r="K37" i="8"/>
  <c r="M48" i="8"/>
  <c r="K49" i="8"/>
  <c r="M65" i="8"/>
  <c r="E106" i="8" s="1"/>
  <c r="O26" i="8"/>
  <c r="F68" i="8" s="1"/>
  <c r="O29" i="8"/>
  <c r="O30" i="8"/>
  <c r="K48" i="8"/>
  <c r="K65" i="8"/>
  <c r="D106" i="8" s="1"/>
  <c r="O69" i="8"/>
  <c r="K27" i="8"/>
  <c r="M28" i="8"/>
  <c r="M46" i="8"/>
  <c r="E87" i="8" s="1"/>
  <c r="O70" i="8"/>
  <c r="K30" i="8"/>
  <c r="K50" i="8"/>
  <c r="O51" i="8"/>
  <c r="K70" i="8"/>
  <c r="K47" i="8"/>
  <c r="K51" i="8"/>
  <c r="M68" i="8"/>
  <c r="M29" i="8"/>
  <c r="M49" i="8"/>
  <c r="M26" i="8"/>
  <c r="E68" i="8" s="1"/>
  <c r="M30" i="8"/>
  <c r="M50" i="8"/>
  <c r="M66" i="8"/>
  <c r="M69" i="8"/>
  <c r="G106" i="8" l="1"/>
  <c r="H8" i="9" s="1"/>
  <c r="H23" i="9" s="1"/>
  <c r="G68" i="8"/>
  <c r="F8" i="9" s="1"/>
  <c r="G87" i="8"/>
  <c r="G8" i="9" s="1"/>
  <c r="F102" i="8"/>
  <c r="F121" i="8"/>
  <c r="D121" i="8"/>
  <c r="D102" i="8"/>
  <c r="E121" i="8"/>
  <c r="D83" i="8"/>
  <c r="F83" i="8"/>
  <c r="E83" i="8"/>
  <c r="E102" i="8"/>
  <c r="E25" i="5"/>
  <c r="D25" i="5"/>
  <c r="C25" i="5"/>
  <c r="E26" i="5"/>
  <c r="D26" i="5"/>
  <c r="C26" i="5"/>
  <c r="E27" i="5"/>
  <c r="D27" i="5"/>
  <c r="C27" i="5"/>
  <c r="E28" i="5"/>
  <c r="D28" i="5"/>
  <c r="C28" i="5"/>
  <c r="E29" i="5"/>
  <c r="D29" i="5"/>
  <c r="D30" i="5"/>
  <c r="C30" i="5"/>
  <c r="C29" i="5"/>
  <c r="B536" i="2"/>
  <c r="B537" i="2"/>
  <c r="B538" i="2"/>
  <c r="B539" i="2"/>
  <c r="B540" i="2"/>
  <c r="B541" i="2"/>
  <c r="B542" i="2"/>
  <c r="B543" i="2"/>
  <c r="B544" i="2"/>
  <c r="B545" i="2"/>
  <c r="B546" i="2"/>
  <c r="B547" i="2"/>
  <c r="B548" i="2"/>
  <c r="B549" i="2"/>
  <c r="B535" i="2"/>
  <c r="B514" i="2"/>
  <c r="B515" i="2"/>
  <c r="B516" i="2"/>
  <c r="B517" i="2"/>
  <c r="B518" i="2"/>
  <c r="B519" i="2"/>
  <c r="B520" i="2"/>
  <c r="B521" i="2"/>
  <c r="B522" i="2"/>
  <c r="B523" i="2"/>
  <c r="B524" i="2"/>
  <c r="B525" i="2"/>
  <c r="B526" i="2"/>
  <c r="B527" i="2"/>
  <c r="B513" i="2"/>
  <c r="B492" i="2"/>
  <c r="B493" i="2"/>
  <c r="B494" i="2"/>
  <c r="B495" i="2"/>
  <c r="B496" i="2"/>
  <c r="B497" i="2"/>
  <c r="B498" i="2"/>
  <c r="B499" i="2"/>
  <c r="B500" i="2"/>
  <c r="B501" i="2"/>
  <c r="B502" i="2"/>
  <c r="B503" i="2"/>
  <c r="B504" i="2"/>
  <c r="B505" i="2"/>
  <c r="B491" i="2"/>
  <c r="B470" i="2"/>
  <c r="B471" i="2"/>
  <c r="B472" i="2"/>
  <c r="B473" i="2"/>
  <c r="B474" i="2"/>
  <c r="B475" i="2"/>
  <c r="B476" i="2"/>
  <c r="B477" i="2"/>
  <c r="B478" i="2"/>
  <c r="B479" i="2"/>
  <c r="B480" i="2"/>
  <c r="B481" i="2"/>
  <c r="B482" i="2"/>
  <c r="B483" i="2"/>
  <c r="B469" i="2"/>
  <c r="B448" i="2"/>
  <c r="B449" i="2"/>
  <c r="B450" i="2"/>
  <c r="B451" i="2"/>
  <c r="B452" i="2"/>
  <c r="B453" i="2"/>
  <c r="B454" i="2"/>
  <c r="B455" i="2"/>
  <c r="B456" i="2"/>
  <c r="B457" i="2"/>
  <c r="B458" i="2"/>
  <c r="B459" i="2"/>
  <c r="B460" i="2"/>
  <c r="B461" i="2"/>
  <c r="B447" i="2"/>
  <c r="B426" i="2"/>
  <c r="B427" i="2"/>
  <c r="B428" i="2"/>
  <c r="B429" i="2"/>
  <c r="B430" i="2"/>
  <c r="B431" i="2"/>
  <c r="B432" i="2"/>
  <c r="B433" i="2"/>
  <c r="B434" i="2"/>
  <c r="B435" i="2"/>
  <c r="B436" i="2"/>
  <c r="B437" i="2"/>
  <c r="B438" i="2"/>
  <c r="B439" i="2"/>
  <c r="B425" i="2"/>
  <c r="G121" i="8" l="1"/>
  <c r="G83" i="8"/>
  <c r="F23" i="9"/>
  <c r="G102" i="8"/>
  <c r="G23" i="9"/>
  <c r="C289" i="3"/>
  <c r="E43" i="5" s="1"/>
  <c r="C288" i="3"/>
  <c r="D43" i="5" s="1"/>
  <c r="C287" i="3"/>
  <c r="C43" i="5" s="1"/>
  <c r="C267" i="3"/>
  <c r="E42" i="5" s="1"/>
  <c r="C266" i="3"/>
  <c r="D42" i="5" s="1"/>
  <c r="C265" i="3"/>
  <c r="C42" i="5" s="1"/>
  <c r="C245" i="3"/>
  <c r="E41" i="5" s="1"/>
  <c r="C244" i="3"/>
  <c r="D41" i="5" s="1"/>
  <c r="C243" i="3"/>
  <c r="C41" i="5" s="1"/>
  <c r="C223" i="3"/>
  <c r="E40" i="5" s="1"/>
  <c r="C222" i="3"/>
  <c r="D40" i="5" s="1"/>
  <c r="C221" i="3"/>
  <c r="C40" i="5" s="1"/>
  <c r="C201" i="3"/>
  <c r="E39" i="5" s="1"/>
  <c r="C200" i="3"/>
  <c r="D39" i="5" s="1"/>
  <c r="C199" i="3"/>
  <c r="C39" i="5" s="1"/>
  <c r="C179" i="3"/>
  <c r="E38" i="5" s="1"/>
  <c r="C178" i="3"/>
  <c r="D38" i="5" s="1"/>
  <c r="C177" i="3"/>
  <c r="C38" i="5" s="1"/>
  <c r="C157" i="3"/>
  <c r="E37" i="5" s="1"/>
  <c r="C156" i="3"/>
  <c r="D37" i="5" s="1"/>
  <c r="C155" i="3"/>
  <c r="C37" i="5" s="1"/>
  <c r="C135" i="3"/>
  <c r="E36" i="5" s="1"/>
  <c r="C134" i="3"/>
  <c r="D36" i="5" s="1"/>
  <c r="C133" i="3"/>
  <c r="C36" i="5" s="1"/>
  <c r="C113" i="3"/>
  <c r="E35" i="5" s="1"/>
  <c r="C112" i="3"/>
  <c r="D35" i="5" s="1"/>
  <c r="C111" i="3"/>
  <c r="C35" i="5" s="1"/>
  <c r="C91" i="3"/>
  <c r="E34" i="5" s="1"/>
  <c r="C90" i="3"/>
  <c r="D34" i="5" s="1"/>
  <c r="C89" i="3"/>
  <c r="C34" i="5" s="1"/>
  <c r="C69" i="3"/>
  <c r="E33" i="5" s="1"/>
  <c r="C68" i="3"/>
  <c r="D33" i="5" s="1"/>
  <c r="C67" i="3"/>
  <c r="C33" i="5" s="1"/>
  <c r="C47" i="3"/>
  <c r="E32" i="5" s="1"/>
  <c r="C46" i="3"/>
  <c r="D32" i="5" s="1"/>
  <c r="C45" i="3"/>
  <c r="C32" i="5" s="1"/>
  <c r="C25" i="3"/>
  <c r="E31" i="5" s="1"/>
  <c r="C24" i="3"/>
  <c r="D31" i="5" s="1"/>
  <c r="C23" i="3"/>
  <c r="C31" i="5" l="1"/>
  <c r="C422" i="2"/>
  <c r="E24" i="5" s="1"/>
  <c r="C421" i="2"/>
  <c r="D24" i="5" s="1"/>
  <c r="C420" i="2"/>
  <c r="C24" i="5" s="1"/>
  <c r="C400" i="2"/>
  <c r="E23" i="5" s="1"/>
  <c r="C399" i="2"/>
  <c r="D23" i="5" s="1"/>
  <c r="C398" i="2"/>
  <c r="C23" i="5" s="1"/>
  <c r="C378" i="2"/>
  <c r="E22" i="5" s="1"/>
  <c r="C377" i="2"/>
  <c r="D22" i="5" s="1"/>
  <c r="C376" i="2"/>
  <c r="C22" i="5" s="1"/>
  <c r="C356" i="2"/>
  <c r="E21" i="5" s="1"/>
  <c r="C355" i="2"/>
  <c r="D21" i="5" s="1"/>
  <c r="C354" i="2"/>
  <c r="C21" i="5" s="1"/>
  <c r="C334" i="2"/>
  <c r="E20" i="5" s="1"/>
  <c r="C333" i="2"/>
  <c r="D20" i="5" s="1"/>
  <c r="C332" i="2"/>
  <c r="C20" i="5" s="1"/>
  <c r="C312" i="2"/>
  <c r="E19" i="5" s="1"/>
  <c r="C311" i="2"/>
  <c r="D19" i="5" s="1"/>
  <c r="C310" i="2"/>
  <c r="C19" i="5" s="1"/>
  <c r="C290" i="2"/>
  <c r="E18" i="5" s="1"/>
  <c r="C289" i="2"/>
  <c r="D18" i="5" s="1"/>
  <c r="C288" i="2"/>
  <c r="C18" i="5" s="1"/>
  <c r="C268" i="2"/>
  <c r="E17" i="5" s="1"/>
  <c r="C267" i="2"/>
  <c r="D17" i="5" s="1"/>
  <c r="C266" i="2"/>
  <c r="C17" i="5" s="1"/>
  <c r="C246" i="2"/>
  <c r="E16" i="5" s="1"/>
  <c r="C245" i="2"/>
  <c r="D16" i="5" s="1"/>
  <c r="C244" i="2"/>
  <c r="C16" i="5" s="1"/>
  <c r="C224" i="2"/>
  <c r="E15" i="5" s="1"/>
  <c r="C223" i="2"/>
  <c r="D15" i="5" s="1"/>
  <c r="C222" i="2"/>
  <c r="C15" i="5" s="1"/>
  <c r="C202" i="2"/>
  <c r="E14" i="5" s="1"/>
  <c r="C201" i="2"/>
  <c r="D14" i="5" s="1"/>
  <c r="C200" i="2"/>
  <c r="C14" i="5" s="1"/>
  <c r="C180" i="2"/>
  <c r="E13" i="5" s="1"/>
  <c r="C179" i="2"/>
  <c r="D13" i="5" s="1"/>
  <c r="C178" i="2"/>
  <c r="C13" i="5" s="1"/>
  <c r="C158" i="2"/>
  <c r="E12" i="5" s="1"/>
  <c r="C157" i="2"/>
  <c r="D12" i="5" s="1"/>
  <c r="C156" i="2"/>
  <c r="C12" i="5" s="1"/>
  <c r="C136" i="2"/>
  <c r="E11" i="5" s="1"/>
  <c r="C135" i="2"/>
  <c r="D11" i="5" s="1"/>
  <c r="C134" i="2"/>
  <c r="C11" i="5" s="1"/>
  <c r="C114" i="2"/>
  <c r="E10" i="5" s="1"/>
  <c r="C113" i="2"/>
  <c r="D10" i="5" s="1"/>
  <c r="C112" i="2"/>
  <c r="C10" i="5" s="1"/>
  <c r="C92" i="2"/>
  <c r="E9" i="5" s="1"/>
  <c r="C91" i="2"/>
  <c r="D9" i="5" s="1"/>
  <c r="C90" i="2"/>
  <c r="C9" i="5" s="1"/>
  <c r="C70" i="2"/>
  <c r="E8" i="5" s="1"/>
  <c r="C69" i="2"/>
  <c r="D8" i="5" s="1"/>
  <c r="C68" i="2"/>
  <c r="C8" i="5" s="1"/>
  <c r="C48" i="2"/>
  <c r="E7" i="5" s="1"/>
  <c r="C47" i="2"/>
  <c r="D7" i="5" s="1"/>
  <c r="C46" i="2"/>
  <c r="C7" i="5" s="1"/>
  <c r="E6" i="5"/>
  <c r="D6" i="5"/>
  <c r="D28" i="14" l="1"/>
  <c r="B35" i="14"/>
  <c r="D35" i="14" s="1"/>
  <c r="D27" i="14"/>
  <c r="B34" i="14"/>
  <c r="D26" i="14"/>
  <c r="B33" i="14"/>
  <c r="B29" i="14"/>
  <c r="D10" i="13"/>
  <c r="C6" i="5"/>
  <c r="B271" i="3"/>
  <c r="B272" i="3"/>
  <c r="B273" i="3"/>
  <c r="B274" i="3"/>
  <c r="B275" i="3"/>
  <c r="B276" i="3"/>
  <c r="B277" i="3"/>
  <c r="B278" i="3"/>
  <c r="B279" i="3"/>
  <c r="B280" i="3"/>
  <c r="B281" i="3"/>
  <c r="B282" i="3"/>
  <c r="B283" i="3"/>
  <c r="B284" i="3"/>
  <c r="B270" i="3"/>
  <c r="B249" i="3"/>
  <c r="B250" i="3"/>
  <c r="B251" i="3"/>
  <c r="B252" i="3"/>
  <c r="B253" i="3"/>
  <c r="B254" i="3"/>
  <c r="B255" i="3"/>
  <c r="B256" i="3"/>
  <c r="B257" i="3"/>
  <c r="B258" i="3"/>
  <c r="B259" i="3"/>
  <c r="B260" i="3"/>
  <c r="B261" i="3"/>
  <c r="B262" i="3"/>
  <c r="B248" i="3"/>
  <c r="B227" i="3"/>
  <c r="B228" i="3"/>
  <c r="B229" i="3"/>
  <c r="B230" i="3"/>
  <c r="B231" i="3"/>
  <c r="B232" i="3"/>
  <c r="B233" i="3"/>
  <c r="B234" i="3"/>
  <c r="B235" i="3"/>
  <c r="B236" i="3"/>
  <c r="B237" i="3"/>
  <c r="B238" i="3"/>
  <c r="B239" i="3"/>
  <c r="B240" i="3"/>
  <c r="B226" i="3"/>
  <c r="B205" i="3"/>
  <c r="B206" i="3"/>
  <c r="B207" i="3"/>
  <c r="B208" i="3"/>
  <c r="B209" i="3"/>
  <c r="B210" i="3"/>
  <c r="B211" i="3"/>
  <c r="B212" i="3"/>
  <c r="B213" i="3"/>
  <c r="B214" i="3"/>
  <c r="B215" i="3"/>
  <c r="B216" i="3"/>
  <c r="B217" i="3"/>
  <c r="B218" i="3"/>
  <c r="B204" i="3"/>
  <c r="B183" i="3"/>
  <c r="B184" i="3"/>
  <c r="B185" i="3"/>
  <c r="B186" i="3"/>
  <c r="B187" i="3"/>
  <c r="B188" i="3"/>
  <c r="B189" i="3"/>
  <c r="B190" i="3"/>
  <c r="B191" i="3"/>
  <c r="B192" i="3"/>
  <c r="B193" i="3"/>
  <c r="B194" i="3"/>
  <c r="B195" i="3"/>
  <c r="B196" i="3"/>
  <c r="B182" i="3"/>
  <c r="B161" i="3"/>
  <c r="B162" i="3"/>
  <c r="B163" i="3"/>
  <c r="B164" i="3"/>
  <c r="B165" i="3"/>
  <c r="B166" i="3"/>
  <c r="B167" i="3"/>
  <c r="B168" i="3"/>
  <c r="B169" i="3"/>
  <c r="B170" i="3"/>
  <c r="B171" i="3"/>
  <c r="B172" i="3"/>
  <c r="B173" i="3"/>
  <c r="B174" i="3"/>
  <c r="B160" i="3"/>
  <c r="B139" i="3"/>
  <c r="B140" i="3"/>
  <c r="B141" i="3"/>
  <c r="B142" i="3"/>
  <c r="B143" i="3"/>
  <c r="B144" i="3"/>
  <c r="B145" i="3"/>
  <c r="B146" i="3"/>
  <c r="B147" i="3"/>
  <c r="B148" i="3"/>
  <c r="B149" i="3"/>
  <c r="B150" i="3"/>
  <c r="B151" i="3"/>
  <c r="B152" i="3"/>
  <c r="B138" i="3"/>
  <c r="B117" i="3"/>
  <c r="B118" i="3"/>
  <c r="B119" i="3"/>
  <c r="B120" i="3"/>
  <c r="B121" i="3"/>
  <c r="B122" i="3"/>
  <c r="B123" i="3"/>
  <c r="B124" i="3"/>
  <c r="B125" i="3"/>
  <c r="B126" i="3"/>
  <c r="B127" i="3"/>
  <c r="B128" i="3"/>
  <c r="B129" i="3"/>
  <c r="B130" i="3"/>
  <c r="B116" i="3"/>
  <c r="B95" i="3"/>
  <c r="B96" i="3"/>
  <c r="B97" i="3"/>
  <c r="B98" i="3"/>
  <c r="B99" i="3"/>
  <c r="B100" i="3"/>
  <c r="B101" i="3"/>
  <c r="B102" i="3"/>
  <c r="B103" i="3"/>
  <c r="B104" i="3"/>
  <c r="B105" i="3"/>
  <c r="B106" i="3"/>
  <c r="B107" i="3"/>
  <c r="B108" i="3"/>
  <c r="B94" i="3"/>
  <c r="B73" i="3"/>
  <c r="B74" i="3"/>
  <c r="B75" i="3"/>
  <c r="B76" i="3"/>
  <c r="B77" i="3"/>
  <c r="B78" i="3"/>
  <c r="B79" i="3"/>
  <c r="B80" i="3"/>
  <c r="B81" i="3"/>
  <c r="B82" i="3"/>
  <c r="B83" i="3"/>
  <c r="B84" i="3"/>
  <c r="B85" i="3"/>
  <c r="B86" i="3"/>
  <c r="B72" i="3"/>
  <c r="B51" i="3"/>
  <c r="B52" i="3"/>
  <c r="B53" i="3"/>
  <c r="B54" i="3"/>
  <c r="B55" i="3"/>
  <c r="B56" i="3"/>
  <c r="B57" i="3"/>
  <c r="B58" i="3"/>
  <c r="B59" i="3"/>
  <c r="B60" i="3"/>
  <c r="B61" i="3"/>
  <c r="B62" i="3"/>
  <c r="B63" i="3"/>
  <c r="B64" i="3"/>
  <c r="B50" i="3"/>
  <c r="B29" i="3"/>
  <c r="B30" i="3"/>
  <c r="B31" i="3"/>
  <c r="B32" i="3"/>
  <c r="B33" i="3"/>
  <c r="B34" i="3"/>
  <c r="B35" i="3"/>
  <c r="B36" i="3"/>
  <c r="B37" i="3"/>
  <c r="B38" i="3"/>
  <c r="B39" i="3"/>
  <c r="B40" i="3"/>
  <c r="B41" i="3"/>
  <c r="B42" i="3"/>
  <c r="B28" i="3"/>
  <c r="B7" i="3"/>
  <c r="B8" i="3"/>
  <c r="B9" i="3"/>
  <c r="B10" i="3"/>
  <c r="B11" i="3"/>
  <c r="B12" i="3"/>
  <c r="B13" i="3"/>
  <c r="B14" i="3"/>
  <c r="B15" i="3"/>
  <c r="B16" i="3"/>
  <c r="B17" i="3"/>
  <c r="B18" i="3"/>
  <c r="B19" i="3"/>
  <c r="B20" i="3"/>
  <c r="B6" i="3"/>
  <c r="B404" i="2"/>
  <c r="B405" i="2"/>
  <c r="B406" i="2"/>
  <c r="B407" i="2"/>
  <c r="B408" i="2"/>
  <c r="B409" i="2"/>
  <c r="B410" i="2"/>
  <c r="B411" i="2"/>
  <c r="B412" i="2"/>
  <c r="B413" i="2"/>
  <c r="B414" i="2"/>
  <c r="B415" i="2"/>
  <c r="B416" i="2"/>
  <c r="B417" i="2"/>
  <c r="B403" i="2"/>
  <c r="B382" i="2"/>
  <c r="B383" i="2"/>
  <c r="B384" i="2"/>
  <c r="B385" i="2"/>
  <c r="B386" i="2"/>
  <c r="B387" i="2"/>
  <c r="B388" i="2"/>
  <c r="B389" i="2"/>
  <c r="B390" i="2"/>
  <c r="B391" i="2"/>
  <c r="B392" i="2"/>
  <c r="B393" i="2"/>
  <c r="B394" i="2"/>
  <c r="B395" i="2"/>
  <c r="B381" i="2"/>
  <c r="B360" i="2"/>
  <c r="B361" i="2"/>
  <c r="B362" i="2"/>
  <c r="B363" i="2"/>
  <c r="B364" i="2"/>
  <c r="B365" i="2"/>
  <c r="B366" i="2"/>
  <c r="B367" i="2"/>
  <c r="B368" i="2"/>
  <c r="B369" i="2"/>
  <c r="B370" i="2"/>
  <c r="B371" i="2"/>
  <c r="B372" i="2"/>
  <c r="B373" i="2"/>
  <c r="B359" i="2"/>
  <c r="B338" i="2"/>
  <c r="B339" i="2"/>
  <c r="B340" i="2"/>
  <c r="B341" i="2"/>
  <c r="B342" i="2"/>
  <c r="B343" i="2"/>
  <c r="B344" i="2"/>
  <c r="B345" i="2"/>
  <c r="B346" i="2"/>
  <c r="B347" i="2"/>
  <c r="B348" i="2"/>
  <c r="B349" i="2"/>
  <c r="B350" i="2"/>
  <c r="B351" i="2"/>
  <c r="B337" i="2"/>
  <c r="B316" i="2"/>
  <c r="B317" i="2"/>
  <c r="B318" i="2"/>
  <c r="B319" i="2"/>
  <c r="B320" i="2"/>
  <c r="B321" i="2"/>
  <c r="B323" i="2"/>
  <c r="B324" i="2"/>
  <c r="B325" i="2"/>
  <c r="B326" i="2"/>
  <c r="B327" i="2"/>
  <c r="B328" i="2"/>
  <c r="B329" i="2"/>
  <c r="B315" i="2"/>
  <c r="B294" i="2"/>
  <c r="B295" i="2"/>
  <c r="B296" i="2"/>
  <c r="B297" i="2"/>
  <c r="B298" i="2"/>
  <c r="B299" i="2"/>
  <c r="B300" i="2"/>
  <c r="B301" i="2"/>
  <c r="B302" i="2"/>
  <c r="B303" i="2"/>
  <c r="B304" i="2"/>
  <c r="B305" i="2"/>
  <c r="B306" i="2"/>
  <c r="B307" i="2"/>
  <c r="B293" i="2"/>
  <c r="B272" i="2"/>
  <c r="B273" i="2"/>
  <c r="B274" i="2"/>
  <c r="B275" i="2"/>
  <c r="B276" i="2"/>
  <c r="B277" i="2"/>
  <c r="B278" i="2"/>
  <c r="B279" i="2"/>
  <c r="B280" i="2"/>
  <c r="B281" i="2"/>
  <c r="B282" i="2"/>
  <c r="B283" i="2"/>
  <c r="B284" i="2"/>
  <c r="B285" i="2"/>
  <c r="B271" i="2"/>
  <c r="B263" i="2"/>
  <c r="B250" i="2"/>
  <c r="B251" i="2"/>
  <c r="B252" i="2"/>
  <c r="B253" i="2"/>
  <c r="B254" i="2"/>
  <c r="B255" i="2"/>
  <c r="B256" i="2"/>
  <c r="B257" i="2"/>
  <c r="B258" i="2"/>
  <c r="B259" i="2"/>
  <c r="B260" i="2"/>
  <c r="B261" i="2"/>
  <c r="B262" i="2"/>
  <c r="B249" i="2"/>
  <c r="B228" i="2"/>
  <c r="B229" i="2"/>
  <c r="B230" i="2"/>
  <c r="B231" i="2"/>
  <c r="B232" i="2"/>
  <c r="B233" i="2"/>
  <c r="B234" i="2"/>
  <c r="B235" i="2"/>
  <c r="B236" i="2"/>
  <c r="B237" i="2"/>
  <c r="B238" i="2"/>
  <c r="B239" i="2"/>
  <c r="B240" i="2"/>
  <c r="B241" i="2"/>
  <c r="B227" i="2"/>
  <c r="B206" i="2"/>
  <c r="B207" i="2"/>
  <c r="B208" i="2"/>
  <c r="B209" i="2"/>
  <c r="B210" i="2"/>
  <c r="B211" i="2"/>
  <c r="B212" i="2"/>
  <c r="B213" i="2"/>
  <c r="B214" i="2"/>
  <c r="B215" i="2"/>
  <c r="B216" i="2"/>
  <c r="B217" i="2"/>
  <c r="B218" i="2"/>
  <c r="B219" i="2"/>
  <c r="B205" i="2"/>
  <c r="B184" i="2"/>
  <c r="B185" i="2"/>
  <c r="B186" i="2"/>
  <c r="B187" i="2"/>
  <c r="B188" i="2"/>
  <c r="B189" i="2"/>
  <c r="B190" i="2"/>
  <c r="B191" i="2"/>
  <c r="B192" i="2"/>
  <c r="B193" i="2"/>
  <c r="B194" i="2"/>
  <c r="B195" i="2"/>
  <c r="B196" i="2"/>
  <c r="B197" i="2"/>
  <c r="B183" i="2"/>
  <c r="B162" i="2"/>
  <c r="B163" i="2"/>
  <c r="B164" i="2"/>
  <c r="B165" i="2"/>
  <c r="B166" i="2"/>
  <c r="B167" i="2"/>
  <c r="B168" i="2"/>
  <c r="B169" i="2"/>
  <c r="B170" i="2"/>
  <c r="B171" i="2"/>
  <c r="B172" i="2"/>
  <c r="B173" i="2"/>
  <c r="B174" i="2"/>
  <c r="B175" i="2"/>
  <c r="B161" i="2"/>
  <c r="B140" i="2"/>
  <c r="B141" i="2"/>
  <c r="B142" i="2"/>
  <c r="B143" i="2"/>
  <c r="B144" i="2"/>
  <c r="B145" i="2"/>
  <c r="B146" i="2"/>
  <c r="B147" i="2"/>
  <c r="B148" i="2"/>
  <c r="B149" i="2"/>
  <c r="B150" i="2"/>
  <c r="B151" i="2"/>
  <c r="B152" i="2"/>
  <c r="B153" i="2"/>
  <c r="B139" i="2"/>
  <c r="B118" i="2"/>
  <c r="B119" i="2"/>
  <c r="B120" i="2"/>
  <c r="B121" i="2"/>
  <c r="B122" i="2"/>
  <c r="B123" i="2"/>
  <c r="B124" i="2"/>
  <c r="B125" i="2"/>
  <c r="B126" i="2"/>
  <c r="B127" i="2"/>
  <c r="B128" i="2"/>
  <c r="B129" i="2"/>
  <c r="B130" i="2"/>
  <c r="B131" i="2"/>
  <c r="B117" i="2"/>
  <c r="B109" i="2"/>
  <c r="B96" i="2"/>
  <c r="B97" i="2"/>
  <c r="B98" i="2"/>
  <c r="B99" i="2"/>
  <c r="B100" i="2"/>
  <c r="B101" i="2"/>
  <c r="B102" i="2"/>
  <c r="B103" i="2"/>
  <c r="B104" i="2"/>
  <c r="B105" i="2"/>
  <c r="B106" i="2"/>
  <c r="B107" i="2"/>
  <c r="B108" i="2"/>
  <c r="B95" i="2"/>
  <c r="B74" i="2"/>
  <c r="B75" i="2"/>
  <c r="B76" i="2"/>
  <c r="B77" i="2"/>
  <c r="B78" i="2"/>
  <c r="B79" i="2"/>
  <c r="B80" i="2"/>
  <c r="B81" i="2"/>
  <c r="B82" i="2"/>
  <c r="B83" i="2"/>
  <c r="B84" i="2"/>
  <c r="B85" i="2"/>
  <c r="B86" i="2"/>
  <c r="B87" i="2"/>
  <c r="B73" i="2"/>
  <c r="B52" i="2"/>
  <c r="B53" i="2"/>
  <c r="B54" i="2"/>
  <c r="B55" i="2"/>
  <c r="B56" i="2"/>
  <c r="B57" i="2"/>
  <c r="B58" i="2"/>
  <c r="B59" i="2"/>
  <c r="B60" i="2"/>
  <c r="B61" i="2"/>
  <c r="B62" i="2"/>
  <c r="B63" i="2"/>
  <c r="B64" i="2"/>
  <c r="B65" i="2"/>
  <c r="B51" i="2"/>
  <c r="B30" i="2"/>
  <c r="B31" i="2"/>
  <c r="B32" i="2"/>
  <c r="B33" i="2"/>
  <c r="B34" i="2"/>
  <c r="B35" i="2"/>
  <c r="B36" i="2"/>
  <c r="B37" i="2"/>
  <c r="B38" i="2"/>
  <c r="B39" i="2"/>
  <c r="B40" i="2"/>
  <c r="B41" i="2"/>
  <c r="B42" i="2"/>
  <c r="B43" i="2"/>
  <c r="B29" i="2"/>
  <c r="D18" i="8"/>
  <c r="E18" i="8"/>
  <c r="D19" i="8"/>
  <c r="E19" i="8"/>
  <c r="F19" i="8"/>
  <c r="D20" i="8"/>
  <c r="E20" i="8"/>
  <c r="F20" i="8"/>
  <c r="D21" i="8"/>
  <c r="F21" i="8"/>
  <c r="D22" i="8"/>
  <c r="E22" i="8"/>
  <c r="F22" i="8"/>
  <c r="D23" i="8"/>
  <c r="E23" i="8"/>
  <c r="F23" i="8"/>
  <c r="E24" i="8"/>
  <c r="F24" i="8"/>
  <c r="B8" i="2"/>
  <c r="B9" i="2"/>
  <c r="B10" i="2"/>
  <c r="B11" i="2"/>
  <c r="B12" i="2"/>
  <c r="B13" i="2"/>
  <c r="B14" i="2"/>
  <c r="B15" i="2"/>
  <c r="B16" i="2"/>
  <c r="B17" i="2"/>
  <c r="B18" i="2"/>
  <c r="B19" i="2"/>
  <c r="B20" i="2"/>
  <c r="B21" i="2"/>
  <c r="F13" i="8"/>
  <c r="E15" i="8"/>
  <c r="D17" i="8"/>
  <c r="D15" i="8"/>
  <c r="F10" i="8"/>
  <c r="E10" i="8"/>
  <c r="D10" i="8"/>
  <c r="E33" i="14" l="1"/>
  <c r="E34" i="14"/>
  <c r="D29" i="14"/>
  <c r="E29" i="14"/>
  <c r="D33" i="14"/>
  <c r="B36" i="14"/>
  <c r="D34" i="14"/>
  <c r="D12" i="13"/>
  <c r="D11" i="13"/>
  <c r="D24" i="8"/>
  <c r="E21" i="8"/>
  <c r="F18" i="8"/>
  <c r="D16" i="8"/>
  <c r="E16" i="8"/>
  <c r="F14" i="8"/>
  <c r="D12" i="8"/>
  <c r="D11" i="8"/>
  <c r="G22" i="8"/>
  <c r="C20" i="9" s="1"/>
  <c r="G20" i="8"/>
  <c r="C18" i="9" s="1"/>
  <c r="G24" i="8"/>
  <c r="C22" i="9" s="1"/>
  <c r="G23" i="8"/>
  <c r="C21" i="9" s="1"/>
  <c r="G21" i="8"/>
  <c r="C19" i="9" s="1"/>
  <c r="G19" i="8"/>
  <c r="C17" i="9" s="1"/>
  <c r="G18" i="8"/>
  <c r="C16" i="9" s="1"/>
  <c r="G15" i="8"/>
  <c r="C13" i="9" s="1"/>
  <c r="G14" i="8"/>
  <c r="C12" i="9" s="1"/>
  <c r="G13" i="8"/>
  <c r="C11" i="9" s="1"/>
  <c r="G16" i="8"/>
  <c r="C14" i="9" s="1"/>
  <c r="E13" i="8"/>
  <c r="D13" i="8"/>
  <c r="G12" i="8"/>
  <c r="C10" i="9" s="1"/>
  <c r="G11" i="8"/>
  <c r="C9" i="9" s="1"/>
  <c r="G10" i="8"/>
  <c r="G17" i="8"/>
  <c r="C15" i="9" s="1"/>
  <c r="D14" i="8"/>
  <c r="F17" i="8"/>
  <c r="F16" i="8"/>
  <c r="F15" i="8"/>
  <c r="F12" i="8"/>
  <c r="F11" i="8"/>
  <c r="E17" i="8"/>
  <c r="E14" i="8"/>
  <c r="E12" i="8"/>
  <c r="E11" i="8"/>
  <c r="D36" i="14" l="1"/>
  <c r="E36" i="14"/>
  <c r="D13" i="13"/>
  <c r="E13" i="13"/>
  <c r="E25" i="8"/>
  <c r="F25" i="8"/>
  <c r="D25" i="8"/>
  <c r="C8" i="9"/>
  <c r="C23" i="9" s="1"/>
  <c r="L9" i="9" s="1"/>
  <c r="G25" i="8"/>
  <c r="M9" i="9" l="1"/>
  <c r="N9" i="9" s="1"/>
  <c r="Q18" i="8"/>
  <c r="Q20" i="8"/>
  <c r="Q8" i="8"/>
  <c r="Q15" i="8"/>
  <c r="Q7" i="8"/>
  <c r="Q10" i="8"/>
  <c r="Q21" i="8"/>
  <c r="Q12" i="8"/>
  <c r="Q19" i="8"/>
  <c r="Q16" i="8"/>
  <c r="Q9" i="8"/>
  <c r="Q13" i="8"/>
  <c r="Q14" i="8"/>
  <c r="Q11" i="8"/>
  <c r="Q17" i="8"/>
  <c r="O10" i="8"/>
  <c r="K13" i="8"/>
  <c r="K14" i="8"/>
  <c r="M18" i="8"/>
  <c r="P19" i="8"/>
  <c r="O15" i="8"/>
  <c r="P20" i="8"/>
  <c r="M8" i="8"/>
  <c r="P12" i="8"/>
  <c r="K20" i="8"/>
  <c r="K16" i="8"/>
  <c r="M19" i="8"/>
  <c r="M14" i="8"/>
  <c r="P10" i="8"/>
  <c r="K17" i="8"/>
  <c r="K11" i="8"/>
  <c r="P18" i="8"/>
  <c r="M12" i="8"/>
  <c r="P9" i="8"/>
  <c r="K8" i="8"/>
  <c r="O14" i="8"/>
  <c r="P14" i="8"/>
  <c r="O11" i="8"/>
  <c r="M15" i="8"/>
  <c r="O12" i="8"/>
  <c r="M10" i="8"/>
  <c r="M16" i="8"/>
  <c r="K19" i="8"/>
  <c r="K15" i="8"/>
  <c r="M13" i="8"/>
  <c r="O7" i="8"/>
  <c r="F49" i="8" s="1"/>
  <c r="K18" i="8"/>
  <c r="M7" i="8"/>
  <c r="E49" i="8" s="1"/>
  <c r="P21" i="8"/>
  <c r="K21" i="8"/>
  <c r="K10" i="8"/>
  <c r="P8" i="8"/>
  <c r="P16" i="8"/>
  <c r="O16" i="8"/>
  <c r="K12" i="8"/>
  <c r="M20" i="8"/>
  <c r="O21" i="8"/>
  <c r="P13" i="8"/>
  <c r="O20" i="8"/>
  <c r="M21" i="8"/>
  <c r="P17" i="8"/>
  <c r="O13" i="8"/>
  <c r="K9" i="8"/>
  <c r="M9" i="8"/>
  <c r="P11" i="8"/>
  <c r="O8" i="8"/>
  <c r="O17" i="8"/>
  <c r="O19" i="8"/>
  <c r="O9" i="8"/>
  <c r="M17" i="8"/>
  <c r="P15" i="8"/>
  <c r="O18" i="8"/>
  <c r="M11" i="8"/>
  <c r="P7" i="8"/>
  <c r="G49" i="8" s="1"/>
  <c r="K7" i="8"/>
  <c r="D49" i="8" s="1"/>
  <c r="F64" i="8" l="1"/>
  <c r="D64" i="8"/>
  <c r="G64" i="8"/>
  <c r="E8" i="9"/>
  <c r="E23" i="9" s="1"/>
  <c r="E64" i="8"/>
</calcChain>
</file>

<file path=xl/sharedStrings.xml><?xml version="1.0" encoding="utf-8"?>
<sst xmlns="http://schemas.openxmlformats.org/spreadsheetml/2006/main" count="1125" uniqueCount="464">
  <si>
    <t>Cliente</t>
  </si>
  <si>
    <t>Evaluador</t>
  </si>
  <si>
    <t>Olga Carreras Montoto</t>
  </si>
  <si>
    <t>Página</t>
  </si>
  <si>
    <t>Alias</t>
  </si>
  <si>
    <t>URL</t>
  </si>
  <si>
    <t>A</t>
  </si>
  <si>
    <t>Cumple</t>
  </si>
  <si>
    <t>Sí</t>
  </si>
  <si>
    <t>No</t>
  </si>
  <si>
    <t>No se aplica</t>
  </si>
  <si>
    <t>Muestra completa</t>
  </si>
  <si>
    <t>ALIAS 8</t>
  </si>
  <si>
    <t>ALIAS 9</t>
  </si>
  <si>
    <t>ALIAS 10</t>
  </si>
  <si>
    <t>ALIAS 11</t>
  </si>
  <si>
    <t>ALIAS 12</t>
  </si>
  <si>
    <t>ALIAS 13</t>
  </si>
  <si>
    <t>ALIAS 14</t>
  </si>
  <si>
    <t>ALIAS 15</t>
  </si>
  <si>
    <t>Datos muestra general</t>
  </si>
  <si>
    <t>Datos por página de la muestra:</t>
  </si>
  <si>
    <t>AA</t>
  </si>
  <si>
    <t>No cumple</t>
  </si>
  <si>
    <t>Porcentaje cumple</t>
  </si>
  <si>
    <t>No aplica</t>
  </si>
  <si>
    <t>Sin tener en cuenta los no aplicables</t>
  </si>
  <si>
    <t>% no cumple</t>
  </si>
  <si>
    <t>% no se aplica</t>
  </si>
  <si>
    <t>% cumplimiento A</t>
  </si>
  <si>
    <t>% incumplimiento A</t>
  </si>
  <si>
    <t>Nº páginas de la muestra</t>
  </si>
  <si>
    <t>% cumple sin no se  aplica</t>
  </si>
  <si>
    <t>% no cumple sin no se  aplica</t>
  </si>
  <si>
    <t>% cumplimiento AA</t>
  </si>
  <si>
    <t>% incumplimiento AA</t>
  </si>
  <si>
    <t>Datos muestra general A+AA (Estos son los relevantes para conocer el nivel de adecuación AA)</t>
  </si>
  <si>
    <t>% cumplimiento A+AA</t>
  </si>
  <si>
    <t>% incumplimiento A+AA</t>
  </si>
  <si>
    <t>% no aplicables A+AA</t>
  </si>
  <si>
    <t>% no aplicables AA:</t>
  </si>
  <si>
    <t>% no aplicables A:</t>
  </si>
  <si>
    <t>Datos por página de la muestra A+AA:</t>
  </si>
  <si>
    <t>Datos por página de la muestra AA:</t>
  </si>
  <si>
    <t>Autor:</t>
  </si>
  <si>
    <t>Contacto:</t>
  </si>
  <si>
    <t>carreras.olga@gmail.com</t>
  </si>
  <si>
    <t>http://www.usableyaccesible.com/recurso_descargas.html</t>
  </si>
  <si>
    <t>Nivel de cumplimiento A+AA por páginas</t>
  </si>
  <si>
    <t>Nº páginas cumplen</t>
  </si>
  <si>
    <t>Nº páginas no cumplen</t>
  </si>
  <si>
    <t>Nº páginas que no aplica</t>
  </si>
  <si>
    <t>Prohibido su uso comercial y su distribucción sin permiso del autor.</t>
  </si>
  <si>
    <t>Se ofrecerá una transcripción descriptiva (incluyendo todas las pistas e indicadores visuales y auditivos) para el audio grabado (no en directo) basado en web (podcast de audio, archivos MP3, etc.)</t>
  </si>
  <si>
    <t>Se ofrecerá una descripción auditiva o textual para los vídeos grabados (no en directo) sin audio basados en web (por ejemplo, vídeos que no incluyen pistas de audio)</t>
  </si>
  <si>
    <t>Se ofrecerán subtítulos para los vídeos grabados (no en directo) basados en web (vídeos de YouTube, etc.)</t>
  </si>
  <si>
    <t>El orden de navegación y lectura (determinado por el orden en el código fuente) será lógico e intuitivo.</t>
  </si>
  <si>
    <t>Las instrucciones no dependerán de la forma, tamaño o ubicación visual (por ejemplo, "Haga clic en el icono cuadrado para continuar" o "Las instrucciones están en la columna de la derecha").</t>
  </si>
  <si>
    <t>No use el color como el único método para transmitir el contenido o distinguir elementos visuales.</t>
  </si>
  <si>
    <t>Los enlaces deben distinguirse de los elementos y texto que les rodean. Si utiliza el color para diferenciar los enlaces, use una forma adicional para distinguirlos. (por ejemplo, se subrayan cuando reciben el foco).</t>
  </si>
  <si>
    <t>Se debe ofrecer un mecanismo para poder parar, pausar, silenciar o ajustar el volumen de cualquier sonido que se reproduzca automáticamente en la página más de tres segundos.</t>
  </si>
  <si>
    <t>Todas funciones de las páginas deberán estar disponibles utilizando el teclado, excepto aquellas que de forma conocida no pueden realizarse con el teclado (por ejemplo, un dibujo a mano alzada).</t>
  </si>
  <si>
    <t>El foco del teclado no deberá estar bloqueado o fijado en un elemento concreto de la página. El usuario deberá poder moverse por todos los elementos navegables de la página utilizando únicamente el teclado.</t>
  </si>
  <si>
    <t>2.2.1 Tiempo ajustable</t>
  </si>
  <si>
    <t>Si una página o aplicación tiene un límite de tiempo para realizar una tarea deberá ofrecer la opción de apagar, ajustar o aumentar ese límite de tiempo. No es un requisito para eventos en tiempo real (por ejemplo, una subasta) donde el límite de tiempo es absolutamente necesario, o si el plazo de tiempo es de más de 20 horas.</t>
  </si>
  <si>
    <t>Todo movimiento automático, parpadeo o desplazamiento de más de tres segundos deberá poderse pausar, parar u ocultar por el usuario. El movimiento, parpadeo, o desplazamiento podrá usarse para llamar la atención del usuario o destacar un contenido si dura menos de tres segundos.</t>
  </si>
  <si>
    <t>No deberá crear contenidos que destellen más de tres veces por segundo a menos que el parpadeo sea lo suficientemente pequeño, los destellos sean de bajo contraste y no contengan demasiado rojo. (Véase el apartado sobre el destello en general y el umbral de destello del rojo, en inglés)</t>
  </si>
  <si>
    <t>Se ofrecerá un enlace para saltar la navegación y otros elementos que se repitan en todas las páginas.</t>
  </si>
  <si>
    <t>Si una página cuenta con una estructura adecuada de encabezados, puede considerarse una técnica suficiente en lugar de un enlace del tipo "Ir al contenido principal". Tenga en cuenta que la navegación por encabezados todavía no está soportada en todos los navegadores.</t>
  </si>
  <si>
    <t>La página web deberá tener un título descriptivo e informativo de la misma.</t>
  </si>
  <si>
    <t>El orden de la navegación por los enlaces, elementos de los formularios, etc. deberá ser lógico e intuitivo.</t>
  </si>
  <si>
    <t>Siempre que no sean ambiguos para los usuarios en general, los enlaces (o botones de imagen en un formulario, o zonas activas en un mapa de imagen) serán lo suficientemente descriptivos como para identificar su propósito (objetivo) directamente desde el texto enlazado o, en su caso, desde el enlace en su contexto (por ejemplo, en los párrafos que lo rodean, elementos de una lista, celdas o encabezados en una tabla, etc.).</t>
  </si>
  <si>
    <t>Los enlaces (o botones de imagen en un formulario) con el mismo destino deberían tener las mismas descripciones (ser consistentes, según criterio de éxito 3.2.4), pero los enlaces con diferentes propósitos y destinos deberían tener diferentes descripciones.</t>
  </si>
  <si>
    <t>Deberá advertir al usuario con antelación de los cambios, imprevistos o automáticos, en la configuración de cualquier elemento de la interfaz que causen una modificación en la página.</t>
  </si>
  <si>
    <t>Cuando un elemento reciba el foco no se deberá iniciar un cambio en la página que confunda o desoriente al usuario.</t>
  </si>
  <si>
    <t>Si se usa la validación de datos de los formularios (del lado del cliente o del servidor), ofrezca la información sobre los errores y avisos de forma eficiente, intuitiva y accesible. Los errores deben estar claramente identificados, ofrecer un acceso rápido al elemento problemático, permitir que el usuario pueda fácilmente solucionar el error y reenviar los datos del formulario.</t>
  </si>
  <si>
    <t>Se deberán evitar los errores de sintaxis de HTML/XHTML. El código puede comprobarse, analizarse y validarse a través de http://validator.w3.org/</t>
  </si>
  <si>
    <t>Deberá utilizar el marcado de tal forma que se facilite la accesibilidad. Esto incluye el seguir las especificaciones oficiales de HTML/XHTML, utilizando la gramática formal de forma apropiada.</t>
  </si>
  <si>
    <t>1.4.3 Contraste (mínimo)</t>
  </si>
  <si>
    <t>El texto o las imágenes de texto deben tener una relación de contraste de al menos 4.5:1, excepto en los siguientes casos:</t>
  </si>
  <si>
    <t>La página deberá ser legible y funcional cuando se doble el tamaño del texto.</t>
  </si>
  <si>
    <t>La interpretación del diseñador web Roger Johansson a este punto es que hasta que la amplia mayoría de los usuarios utilicen navegadores que soporten zoom (y el soporte del zoom de los navegadores mejore), deberíamos comprobar que el texto de nuestras páginas puede ser ampliado hasta un 200%.</t>
  </si>
  <si>
    <t>1.4.5 Imágenes de texto</t>
  </si>
  <si>
    <t>Si la misma representación visual puede realizarse usando sólo texto, no deben usarse imágenes para representar ese texto.</t>
  </si>
  <si>
    <t>Se deben ofrecer múltiples formas para encontrar otras páginas web en el sitio – al menos dos de las siguientes: una lista de páginas relacionadas, tabla de contenidos, mapa web, búsqueda en el sitio, o un listado de todas las páginas web.</t>
  </si>
  <si>
    <t>Compruebe que es visualmente evidente el elemento que tiene el foco actual del teclado (por ejemplo, si se mueve con el tabulador por la página, puede ver dónde se encuentra).</t>
  </si>
  <si>
    <t>Existen algunas excepciones: nombres propios, términos técnicos, palabras o frases en un lenguaje indeterminado o inventado, locuciones propias de la lengua (vernaculares) que se entienden dentro del contexto (por ejemplo, locuciones latinas en español).</t>
  </si>
  <si>
    <t>Los enlaces de navegación que se repiten en las páginas web no deberían modificar su orden al navegar por el sitio.</t>
  </si>
  <si>
    <t>Los elementos que tienen la misma funcionalidad a través de múltiples páginas web deberán identificarse de manera consistente. Por ejemplo, un campo de búsqueda en la parte superior de la página deberá etiquetarse siempre de la misma forma.</t>
  </si>
  <si>
    <t>Si se detecta un error al introducir un dato (mediante la validación en el lado del cliente o en el del servidor), deberá proporcionar sugerencias para solucionar el problema de forma oportuna y accesible.</t>
  </si>
  <si>
    <t>1.1.1 Contenido no textual:Todo contenido no textual que se presenta al usuario tiene una alternativa textual que cumple el mismo propósito, excepto en las situaciones enumeradas a continuación.</t>
  </si>
  <si>
    <t>Se ofrecerá una transcripción o audiodescripción de los vídeos basados en web grabados (no en directo)</t>
  </si>
  <si>
    <t>1.3.3 Características sensoriales. Las instrucciones proporcionadas para entender y operar el contenido no dependen exclusivamente en las características sensoriales de los componentes como su forma, tamaño, ubicación visual, orientación o sonido.</t>
  </si>
  <si>
    <t xml:space="preserve">1.4.1 Uso del color. El color no se usa como único medio visual para transmitir la información, indicar una acción, solicitar una respuesta o distinguir un elemento visual. </t>
  </si>
  <si>
    <t>1.4.2 Control del audio. Si el audio de una página web suena automáticamente durante más de 3 segundos, se proporciona ya sea un mecanismo para pausar o detener el audio, o un mecanismo para controlar el volumen del sonido que es independiente del nivel de volumen global del sistema.</t>
  </si>
  <si>
    <t>2.1.1 Teclado. 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</si>
  <si>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 xml:space="preserve"> 1.2.1 Sólo audio y sólo vídeo grabado: Para contenido sólo audio grabado y contenido sólo vídeo grabado, se cumple lo siguiente, excepto cuando el audio o el vídeo es un contenido multimedia alternativo al texto y está claramente identificado como tal</t>
  </si>
  <si>
    <t>1.2.3 Audiodescripción o Medio Alternativo (grabado) 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</si>
  <si>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1.3.1 Información y relaciones. La información, estructura y relaciones comunicadas a través de la presentación pueden ser determinadas por software o están disponibles como texto</t>
  </si>
  <si>
    <t>1.3.2 Secuencia significativa. Cuando la secuencia en que se presenta el contenido afecta a su significado, se puede determinar por software la secuencia correcta de lectura</t>
  </si>
  <si>
    <t>2.1.2 Sin trampas para el foco del teclado: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</si>
  <si>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2.2.2 Poner en pausa, detener, ocultar</t>
  </si>
  <si>
    <t>2.3.1 Umbral de tres destellos o menos: Las páginas web no contienen nada que destelle más de tres veces en un segundo, o el destello está por debajo del umbral de destello general y de destello rojo</t>
  </si>
  <si>
    <t>2.4.1 Evitar bloques: Existe un mecanismo para evitar los bloques de contenido que se repiten en múltiples páginas web</t>
  </si>
  <si>
    <t>2.4.2 Título de la página. Las páginas web tienen títulos que describen su temática o propósito</t>
  </si>
  <si>
    <t>2.4.3 Orden del foco. Si se puede navegar secuencialmente por una página web y la secuencia de navegación afecta su significado o su operación, los componentes que pueden recibir el foco lo hacen en un orden que preserva su significado y operabilidad.</t>
  </si>
  <si>
    <t>2.4.4 Propósito de los enlaces (en su contexto). El propósito de cada enlace puede ser determinado con sólo el texto del enlace o a través del texto del enlace sumado al contexto del enlace determinado por software, excepto cuando el propósito del enlace resultara ambiguo para los usuarios en general.</t>
  </si>
  <si>
    <t>3.1.1 Idioma de la página. El idioma predeterminado de cada página web puede ser determinado por software</t>
  </si>
  <si>
    <t xml:space="preserve">3.2.1 Al recibir el foco: Cuando cualquier componente recibe el foco, no inicia ningún cambio en el contexto. </t>
  </si>
  <si>
    <t>3.2.2 Al recibir entradas: El cambio de estado en cualquier componente de la interfaz de usuario no provoca automáticamente un cambio en el contexto a menos que el usuario haya sido advertido de ese comportamiento antes de usar el componente</t>
  </si>
  <si>
    <t xml:space="preserve">3.3.1 Identificación de errores. Si se detecta automáticamente un error en la entrada de datos, el elemento erróneo es identificado y el error se describe al usuario mediante un texto. </t>
  </si>
  <si>
    <t>3.3.2 Etiquetas o instrucciones. Se proporcionan etiquetas o instrucciones cuando el contenido requiere la introducción de datos por parte del usuario</t>
  </si>
  <si>
    <t>4.1.1 Procesamiento: 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</si>
  <si>
    <t>4.1.2 Nombre, función, valor. 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</si>
  <si>
    <t xml:space="preserve">1.2.4 Subtítulos (en directo): Se proporcionan subtítulos para todo el contenido de audio en directo de los multimedia sincronizados. </t>
  </si>
  <si>
    <t>1.2.5 Audiodescripción (grabado): Se proporciona una audiodescripción para todo el contenido de vídeo grabado dentro de contenido multimedia sincronizado.</t>
  </si>
  <si>
    <t xml:space="preserve">1.4.4 Cambio de tamaño del texto: A excepción de los subtítulos y las imágenes de texto, todo el texto puede ser ajustado sin ayudas técnicas hasta un 200 por ciento sin que se pierdan el contenido o la funcionalidad. </t>
  </si>
  <si>
    <t xml:space="preserve">2.4.5 Múltiples vías. Se proporciona más de un camino para localizar una página web dentro de un conjunto de páginas web, excepto cuando la página es el resultado, o un paso intermedio, de un proceso. </t>
  </si>
  <si>
    <t>2.4.6 Encabezados y etiquetas. Los encabezados y etiquetas describen el tema o propósito</t>
  </si>
  <si>
    <t>2.4.7 Visibilidad del foco. Cualquier interfaz de usuario operable por teclado tiene una forma de operar en la cuál el indicador del foco del teclado resulta visible</t>
  </si>
  <si>
    <t>3.1.2 Idioma de las partes.El idioma de cada pasaje o frase en el contenido puede ser determinado por software, excepto los nombres propios, términos técnicos, palabras en un idioma indeterminado y palabras o frases que se hayan convertido en parte natural del texto que las rodea</t>
  </si>
  <si>
    <t>3.2.3 Navegación consistente. Los mecanismos de navegación que se repiten en múltiples páginas web dentro de un conjunto de páginas web aparecen siempre en el mismo orden relativo cada vez que se repiten, a menos que el cambio sea provocado por el propio usuario.</t>
  </si>
  <si>
    <t>3.2.4 Identificación consistente. Los componentes que tienen la misma funcionalidad dentro de un conjunto de páginas web son identificados de manera coherente</t>
  </si>
  <si>
    <t>3.3.3 Sugerencias ante error. Si se detecta automáticamente un error en la entrada de datos y se dispone de sugerencias para hacer la corrección, entonces se presentan las sugerencias al usuario, a menos que esto ponga en riesgo la seguridad o el propósito del contenido.</t>
  </si>
  <si>
    <t>3.3.4 Prevención de errores (Legales, financieros, de datos). 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</si>
  <si>
    <t>Si el usuario puede modificar o eliminar datos de carácter legal, financiero o de prueba, estas acciones deberán ser reversibles, verificadas o confirmadas.</t>
  </si>
  <si>
    <t>Principio 1</t>
  </si>
  <si>
    <t>Cumplimiendo Nivel de Conformidad A</t>
  </si>
  <si>
    <t>% cumple</t>
  </si>
  <si>
    <t>% no Cumple</t>
  </si>
  <si>
    <t>% No Aplica</t>
  </si>
  <si>
    <t>% Cumple sin No Aplica</t>
  </si>
  <si>
    <t>Principio 2</t>
  </si>
  <si>
    <t>Promedio</t>
  </si>
  <si>
    <t>Principio 3</t>
  </si>
  <si>
    <t>Cumplimiento Principio 1: Perceptible</t>
  </si>
  <si>
    <t>Principio 4</t>
  </si>
  <si>
    <t>Cumplimiento Principio 2: Operable</t>
  </si>
  <si>
    <t>Cumplimiento Principio 3: Comprensible</t>
  </si>
  <si>
    <t>Cumplimiento Principio 4: Robusto</t>
  </si>
  <si>
    <t>Nivel A</t>
  </si>
  <si>
    <t>Nivel AA</t>
  </si>
  <si>
    <t>Perceptible</t>
  </si>
  <si>
    <t>Operable</t>
  </si>
  <si>
    <t>Comprensible</t>
  </si>
  <si>
    <t>Robusto</t>
  </si>
  <si>
    <t>% Nivel A</t>
  </si>
  <si>
    <t>% Nivel AA</t>
  </si>
  <si>
    <t>%  Perceptible</t>
  </si>
  <si>
    <t>% Operable</t>
  </si>
  <si>
    <t>% Comprensible</t>
  </si>
  <si>
    <t>% Robusto</t>
  </si>
  <si>
    <t>No Cumple</t>
  </si>
  <si>
    <t>Número de criterios A:</t>
  </si>
  <si>
    <t>Número de criteros A cumplidos:</t>
  </si>
  <si>
    <t>Número de criterios A no cumplidos:</t>
  </si>
  <si>
    <t>Número de criterios A no aplicables:</t>
  </si>
  <si>
    <t>Porcentaje de cumplimiento sin contar los criterios de conformidad que no se aplican</t>
  </si>
  <si>
    <t>Número de criterios AA:</t>
  </si>
  <si>
    <t>Número de criterios AA cumplidos:</t>
  </si>
  <si>
    <t>Número de criterios AA no cumplidos:</t>
  </si>
  <si>
    <t>Número de criterios AA no aplicables:</t>
  </si>
  <si>
    <t>Número de criterios A+AA:</t>
  </si>
  <si>
    <t>Número de criterios A+AA cumplidos:</t>
  </si>
  <si>
    <t>Número de criterios A+AA no cumplidos:</t>
  </si>
  <si>
    <t>Número de criterios A+AA no aplicables:</t>
  </si>
  <si>
    <t>Criterio de conformidad</t>
  </si>
  <si>
    <t>Cumplimiento de la muestra por cada criterio de conformidad A</t>
  </si>
  <si>
    <t>Cumplimiento de la muestra por cada criterio de conformidad AA</t>
  </si>
  <si>
    <t>Cumplimiento Nivel de Conformidad AA (A+AA)</t>
  </si>
  <si>
    <t>Evaluación de accesibilidad de acuerdo a las WCAG 2.0</t>
  </si>
  <si>
    <t>Versión:</t>
  </si>
  <si>
    <t>Copyright:</t>
  </si>
  <si>
    <t xml:space="preserve">Descarga y ayuda: </t>
  </si>
  <si>
    <t>Nombre del sitio</t>
  </si>
  <si>
    <t>Alcance de la evaluación</t>
  </si>
  <si>
    <t>Definición no ambigua que determine para cada página si está o no dentro del alcance de la evaluación. Por ejemplo: todo el contenido de la web "Usable y accesible" bajo el dominio http://www.usableyaccesible.com</t>
  </si>
  <si>
    <t>Por ejemplo: web Usable y accesible</t>
  </si>
  <si>
    <t>Nivel evaluado</t>
  </si>
  <si>
    <t xml:space="preserve">Periodo de revisión </t>
  </si>
  <si>
    <t>Soporte de accesibilidad</t>
  </si>
  <si>
    <t>Navegadores y productos de apoyo que deben ser soportados</t>
  </si>
  <si>
    <t>Tecnologías compatibles con la accesibilidad</t>
  </si>
  <si>
    <r>
      <rPr>
        <sz val="11"/>
        <rFont val="Calibri"/>
        <family val="2"/>
        <scheme val="minor"/>
      </rPr>
      <t>Tecnologías compatibles con la accesibilidad de las que depende el sitio. Por ejemplo HTML5, CSS, DOM. Más información:</t>
    </r>
    <r>
      <rPr>
        <u/>
        <sz val="11"/>
        <color theme="10"/>
        <rFont val="Calibri"/>
        <family val="2"/>
        <scheme val="minor"/>
      </rPr>
      <t xml:space="preserve"> http://www.usableyaccesible.com/recurso_glosario.php#compatible_accesibilidad</t>
    </r>
  </si>
  <si>
    <t>1. Datos generales</t>
  </si>
  <si>
    <t>2. Páginas de la muestra</t>
  </si>
  <si>
    <t>¿Página de control?</t>
  </si>
  <si>
    <r>
      <rPr>
        <sz val="11"/>
        <rFont val="Calibri"/>
        <family val="2"/>
        <scheme val="minor"/>
      </rPr>
      <t xml:space="preserve">Se seleccionan páginas al azar como muestra de control. En una muestra de 15 páginas se incluirán 2 al azar. Más información: </t>
    </r>
    <r>
      <rPr>
        <u/>
        <sz val="11"/>
        <color theme="10"/>
        <rFont val="Calibri"/>
        <family val="2"/>
        <scheme val="minor"/>
      </rPr>
      <t xml:space="preserve">http://olgacarreras.blogspot.com.es/2012/04/metodologia-de-evaluacion-de.html </t>
    </r>
  </si>
  <si>
    <t>1.1.1 Contenido no textual</t>
  </si>
  <si>
    <t>Ayuda 1.1.1</t>
  </si>
  <si>
    <t>3. Evaluación de los criterios de conformidad de nivel A</t>
  </si>
  <si>
    <t>¿Cumple?</t>
  </si>
  <si>
    <r>
      <rPr>
        <sz val="14"/>
        <rFont val="Calibri"/>
        <family val="2"/>
        <scheme val="minor"/>
      </rPr>
      <t>Todo contenido no textual que se presenta al usuario tiene una alternativa textual que cumple el mismo propósito, excepto en las situaciones enumeradas a continuación…</t>
    </r>
    <r>
      <rPr>
        <u/>
        <sz val="14"/>
        <color theme="10"/>
        <rFont val="Calibri"/>
        <family val="2"/>
        <scheme val="minor"/>
      </rPr>
      <t xml:space="preserve">
http://www.w3.org/TR/UNDERSTANDING-WCAG20/text-equiv-all.html</t>
    </r>
  </si>
  <si>
    <t>Nº sí cumplen:</t>
  </si>
  <si>
    <t>Nº no cumplen:</t>
  </si>
  <si>
    <t>Nº no se aplica:</t>
  </si>
  <si>
    <t>Todas las imágenes, botones de imagen de los formularios y las zonas activas de los mapas de imagen, tendrán un texto alternativo adecuado.</t>
  </si>
  <si>
    <t>Las imágenes que no transmitan contenidos, sean decorativas o con el contenido ya presente como texto se ofrecerán con el texto alternativo vacío (alt="") o aplicadas como fondos de imagen CSS. Todas las imágenes enlazadas contarán con un texto descriptivo alternativo.</t>
  </si>
  <si>
    <t>El contenido equivalente alternativo para las imágenes complejas se ofrecerá en una página (enlazada o referenciada mediante longdesc) aparte.</t>
  </si>
  <si>
    <t>Los botones de los formularios tendrán nombres (value) descriptivos.</t>
  </si>
  <si>
    <t>Los elementos de los formularios tendrán etiquetas textuales (label) asociadas o, si éstas no pueden utilizarse, un título (title) descriptivo.</t>
  </si>
  <si>
    <t>Los elementos multimedia incrustados (embedded) se identificarán mediante textos accesibles.</t>
  </si>
  <si>
    <t>Los marcos (frames) tendrán un título apropiado.</t>
  </si>
  <si>
    <t>Captcha: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t>
  </si>
  <si>
    <t>Resumen 1.1.1</t>
  </si>
  <si>
    <t>Ayuda 1.2.1</t>
  </si>
  <si>
    <t xml:space="preserve"> 1.2.1 Sólo audio y sólo vídeo grabado </t>
  </si>
  <si>
    <r>
      <rPr>
        <sz val="14"/>
        <rFont val="Calibri"/>
        <family val="2"/>
        <scheme val="minor"/>
      </rPr>
      <t>Para contenido sólo audio grabado y contenido sólo vídeo grabado, se cumple lo siguiente, excepto cuando el audio o el vídeo es un contenido multimedia alternativo al texto y está claramente identificado como tal</t>
    </r>
    <r>
      <rPr>
        <u/>
        <sz val="14"/>
        <color theme="10"/>
        <rFont val="Calibri"/>
        <family val="2"/>
        <scheme val="minor"/>
      </rPr>
      <t xml:space="preserve">
http://www.w3.org/TR/UNDERSTANDING-WCAG20/media-equiv-av-only-alt.html</t>
    </r>
  </si>
  <si>
    <t>Resumen 1.2.1</t>
  </si>
  <si>
    <t>Nº no se aplican</t>
  </si>
  <si>
    <t xml:space="preserve">1.2.2 Subtítulos (grabados) </t>
  </si>
  <si>
    <t>Ayuda 1.2.2</t>
  </si>
  <si>
    <r>
      <rPr>
        <sz val="14"/>
        <rFont val="Calibri"/>
        <family val="2"/>
        <scheme val="minor"/>
      </rPr>
      <t>Se proporcionan subtítulos para el contenido de audio grabado dentro de contenido multimedia sincronizado, excepto cuando la presentación es un contenido multimedia alternativo al texto y está claramente identificado como tal.</t>
    </r>
    <r>
      <rPr>
        <u/>
        <sz val="14"/>
        <color theme="10"/>
        <rFont val="Calibri"/>
        <family val="2"/>
        <scheme val="minor"/>
      </rPr>
      <t xml:space="preserve">
http://www.w3.org/TR/UNDERSTANDING-WCAG20/media-equiv-captions.html
</t>
    </r>
  </si>
  <si>
    <t>Resumen 1.2.2</t>
  </si>
  <si>
    <t>Nº no se aplican:</t>
  </si>
  <si>
    <t>Ayuda 1.2.3</t>
  </si>
  <si>
    <t>Ayuda 1.3.1</t>
  </si>
  <si>
    <t>El marcado semántico se usará para designar los encabezados (&lt;h1&gt;), listas (&lt;ul&gt;, &lt;ol&gt;, and &lt;dl&gt;), texto especial o enfatizado (&lt;strong&gt;, &lt;code&gt;, &lt;abbr&gt;, &lt;blockquote&gt;, por ejemplo), etc. El marcado semántico deberá usarse apropiadamente.</t>
  </si>
  <si>
    <t>Las tablas se usarán para marcar los datos tabulados. Las celdas de datos (&lt;td&gt;) se asociarán con sus encabezados (&lt;th&gt;) donde sea necesario. Los títulos de las tablas (caption) y sus resúmenes (summary) se usarán de forma apropiada.</t>
  </si>
  <si>
    <t>Las etiquetas (label) textuales se asociarán con sus campos (input) correspondientes en los formularios. Los elementos de los formularios que estén relacionados se agruparán mediante fieldset/legend.</t>
  </si>
  <si>
    <t>Ayuda 1.3.2</t>
  </si>
  <si>
    <t>Ayuda 1.3.3</t>
  </si>
  <si>
    <t>Las instrucciones no dependerán del sonido (por ejemplo, "Un sonido beep le indica que puede continuar").</t>
  </si>
  <si>
    <t>Ayuda 1.4.1</t>
  </si>
  <si>
    <t>Ayuda 1.4.2</t>
  </si>
  <si>
    <t>Ayuda 2.1.1</t>
  </si>
  <si>
    <t>Los atajos de teclado y accesskeys (que normalmente deberían evitarse) no deben entrar en conflicto con las presentes en el navegador y/o lector de pantalla.</t>
  </si>
  <si>
    <t>Ayuda 2.1.2</t>
  </si>
  <si>
    <t>Ayuda 2.2.1</t>
  </si>
  <si>
    <t>Ayuda 2.2.2</t>
  </si>
  <si>
    <t>El contenido actualizado automáticamente (por ejemplo, una página recargada o redireccionada automáticamente, un ticker de noticias, la actualización de un campo mediante AJAX, un aviso, etc.) deberá poder ser pausado, parado u ocultado por el usuario o el usuario deberá poder controlar manualmente los tiempos de actualización.</t>
  </si>
  <si>
    <t>Ayuda 2.3.1</t>
  </si>
  <si>
    <t>Ayuda 2.4.1</t>
  </si>
  <si>
    <t>Si una página utiliza un conjunto de marcos (frameset) y los marcos (frame) están apropiadamente titulados, puede considerarse una técnica suficiente para acceder directamente a cada marco individual.</t>
  </si>
  <si>
    <t>Ayuda 2.4.2</t>
  </si>
  <si>
    <t>Ayuda 2.4.3</t>
  </si>
  <si>
    <t>Ayuda 2.4.4</t>
  </si>
  <si>
    <t>Ayuda 3.1.1</t>
  </si>
  <si>
    <t>El idioma principal de la página deberá estar identificado utilizando el atributo lang de HTML (por ejemplo, &lt;HTML lang="es"&gt;).</t>
  </si>
  <si>
    <t>Ayuda 3.2.1</t>
  </si>
  <si>
    <t>Ayuda 3.2.2</t>
  </si>
  <si>
    <t>Ayuda 3.3.1</t>
  </si>
  <si>
    <t>Ofrezca información al usuario sobre los campos obligatorios de un formulario, o aquellos que necesitan un formato, valor o longitud específica, utilizando el elemento &lt;label&gt; (si éste no está disponible ponga la información en el atributo de título title del elemento).</t>
  </si>
  <si>
    <t>Ayuda 3.3.2</t>
  </si>
  <si>
    <t>Se deberán proporcionar las suficientes etiquetas, avisos e instrucciones necesarios para los elementos interactivos. Use para ello instrucciones, ejemplos, posicionane adecuadamente las etiquetas (label) y agrupe e identifique los campos con fieldsets/legends</t>
  </si>
  <si>
    <t>Ayuda 4.1.1</t>
  </si>
  <si>
    <t>Ayuda 4.1.2</t>
  </si>
  <si>
    <t xml:space="preserve">1.2.3 Audiodescripción o Medio Alternativo (grabado) </t>
  </si>
  <si>
    <t xml:space="preserve">1.3.2 Secuencia significativa. </t>
  </si>
  <si>
    <t xml:space="preserve">1.3.3 Características sensoriales. </t>
  </si>
  <si>
    <t xml:space="preserve">1.4.1 Uso del color. </t>
  </si>
  <si>
    <t>Resumen 1.2.3</t>
  </si>
  <si>
    <t>Nº sí cumplen</t>
  </si>
  <si>
    <t>Nº no cumplen</t>
  </si>
  <si>
    <t xml:space="preserve">1.3.1 Información y relaciones </t>
  </si>
  <si>
    <r>
      <rPr>
        <sz val="14"/>
        <rFont val="Calibri"/>
        <family val="2"/>
        <scheme val="minor"/>
      </rPr>
      <t>La información, estructura y relaciones comunicadas a través de la presentación pueden ser determinadas por software o están disponibles como texto</t>
    </r>
    <r>
      <rPr>
        <u/>
        <sz val="14"/>
        <color theme="10"/>
        <rFont val="Calibri"/>
        <family val="2"/>
        <scheme val="minor"/>
      </rPr>
      <t xml:space="preserve">
http://www.w3.org/TR/UNDERSTANDING-WCAG20/content-structure-separation-programmatic.html</t>
    </r>
  </si>
  <si>
    <t>Resumen 1.3.1</t>
  </si>
  <si>
    <t>Resumen 1.3.2</t>
  </si>
  <si>
    <r>
      <rPr>
        <sz val="14"/>
        <rFont val="Calibri"/>
        <family val="2"/>
        <scheme val="minor"/>
      </rPr>
      <t>Cuando la secuencia en que se presenta el contenido afecta a su significado, se puede determinar por software la secuencia correcta de lectura</t>
    </r>
    <r>
      <rPr>
        <u/>
        <sz val="14"/>
        <color theme="10"/>
        <rFont val="Calibri"/>
        <family val="2"/>
        <scheme val="minor"/>
      </rPr>
      <t xml:space="preserve">
http://www.w3.org/TR/UNDERSTANDING-WCAG20/content-structure-separation-sequence.html</t>
    </r>
  </si>
  <si>
    <r>
      <rPr>
        <sz val="14"/>
        <rFont val="Calibri"/>
        <family val="2"/>
        <scheme val="minor"/>
      </rPr>
      <t>Las instrucciones proporcionadas para entender y operar el contenido no dependen exclusivamente en las características sensoriales de los componentes como su forma, tamaño, ubicación visual, orientación o sonido.</t>
    </r>
    <r>
      <rPr>
        <u/>
        <sz val="14"/>
        <color theme="10"/>
        <rFont val="Calibri"/>
        <family val="2"/>
        <scheme val="minor"/>
      </rPr>
      <t xml:space="preserve">
http://www.w3.org/TR/UNDERSTANDING-WCAG20/content-structure-separation-understanding.html</t>
    </r>
  </si>
  <si>
    <t>Resumen 1.3.3</t>
  </si>
  <si>
    <t xml:space="preserve">1.4.2 Control del audio. </t>
  </si>
  <si>
    <t xml:space="preserve">2.1.1 Teclado. </t>
  </si>
  <si>
    <t xml:space="preserve">4.1.2 Nombre, función, valor. </t>
  </si>
  <si>
    <t xml:space="preserve">3.3.2 Etiquetas o instrucciones. </t>
  </si>
  <si>
    <t xml:space="preserve">3.3.1 Identificación de errores. </t>
  </si>
  <si>
    <t>3.1.1 Idioma de la página.</t>
  </si>
  <si>
    <t xml:space="preserve">2.4.4 Propósito de los enlaces (en su contexto). </t>
  </si>
  <si>
    <t xml:space="preserve">2.4.3 Orden del foco. </t>
  </si>
  <si>
    <t xml:space="preserve">2.4.2 Título de la página. </t>
  </si>
  <si>
    <t xml:space="preserve">2.4.1 Evitar bloques: </t>
  </si>
  <si>
    <t>Resumen 1.4.1</t>
  </si>
  <si>
    <t>Resumen 1.4.2</t>
  </si>
  <si>
    <t>Resumen 2.1.1</t>
  </si>
  <si>
    <t>Resumen 2.1.2</t>
  </si>
  <si>
    <t>Resumen 2.2.1</t>
  </si>
  <si>
    <t>Resumen 2.2.2</t>
  </si>
  <si>
    <t>Resumen 2.3.1</t>
  </si>
  <si>
    <t>Resumen 2.4.1</t>
  </si>
  <si>
    <t>Resumen 2.4.2</t>
  </si>
  <si>
    <t>Resumen 2.4.3</t>
  </si>
  <si>
    <t>Resumen 2.4.4</t>
  </si>
  <si>
    <t>Resumen 3.1.1</t>
  </si>
  <si>
    <t>Resumen 3.2.1</t>
  </si>
  <si>
    <t>Resumen 3.2.2</t>
  </si>
  <si>
    <t>Resumen 3.3.1</t>
  </si>
  <si>
    <t>Resumen 3.3.2</t>
  </si>
  <si>
    <t>Resumen 4.1.1</t>
  </si>
  <si>
    <t>Resumen 4.1.2</t>
  </si>
  <si>
    <r>
      <rPr>
        <sz val="14"/>
        <rFont val="Calibri"/>
        <family val="2"/>
        <scheme val="minor"/>
      </rPr>
      <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r>
    <r>
      <rPr>
        <u/>
        <sz val="14"/>
        <color theme="10"/>
        <rFont val="Calibri"/>
        <family val="2"/>
        <scheme val="minor"/>
      </rPr>
      <t xml:space="preserve">
http://www.w3.org/TR/UNDERSTANDING-WCAG20/ensure-compat-rsv.html</t>
    </r>
  </si>
  <si>
    <r>
      <rPr>
        <sz val="14"/>
        <rFont val="Calibri"/>
        <family val="2"/>
        <scheme val="minor"/>
      </rPr>
      <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r>
    <r>
      <rPr>
        <u/>
        <sz val="14"/>
        <color theme="10"/>
        <rFont val="Calibri"/>
        <family val="2"/>
        <scheme val="minor"/>
      </rPr>
      <t xml:space="preserve">
http://www.w3.org/TR/UNDERSTANDING-WCAG20/ensure-compat-parses.html</t>
    </r>
  </si>
  <si>
    <r>
      <rPr>
        <sz val="14"/>
        <rFont val="Calibri"/>
        <family val="2"/>
        <scheme val="minor"/>
      </rPr>
      <t>Se proporcionan etiquetas o instrucciones cuando el contenido requiere la introducción de datos por parte del usuario</t>
    </r>
    <r>
      <rPr>
        <u/>
        <sz val="14"/>
        <color theme="10"/>
        <rFont val="Calibri"/>
        <family val="2"/>
        <scheme val="minor"/>
      </rPr>
      <t xml:space="preserve">
http://www.w3.org/TR/UNDERSTANDING-WCAG20/minimize-error-cues.html</t>
    </r>
  </si>
  <si>
    <r>
      <rPr>
        <sz val="14"/>
        <rFont val="Calibri"/>
        <family val="2"/>
        <scheme val="minor"/>
      </rPr>
      <t xml:space="preserve">Si se detecta automáticamente un error en la entrada de datos, el elemento erróneo es identificado y el error se describe al usuario mediante un texto. </t>
    </r>
    <r>
      <rPr>
        <u/>
        <sz val="14"/>
        <color theme="10"/>
        <rFont val="Calibri"/>
        <family val="2"/>
        <scheme val="minor"/>
      </rPr>
      <t xml:space="preserve">
http://www.w3.org/TR/UNDERSTANDING-WCAG20/minimize-error-identified.html</t>
    </r>
  </si>
  <si>
    <r>
      <rPr>
        <sz val="14"/>
        <rFont val="Calibri"/>
        <family val="2"/>
        <scheme val="minor"/>
      </rPr>
      <t xml:space="preserve"> El cambio de estado en cualquier componente de la interfaz de usuario no provoca automáticamente un cambio en el contexto a menos que el usuario haya sido advertido de ese comportamiento antes de usar el componente</t>
    </r>
    <r>
      <rPr>
        <u/>
        <sz val="14"/>
        <color theme="10"/>
        <rFont val="Calibri"/>
        <family val="2"/>
        <scheme val="minor"/>
      </rPr>
      <t xml:space="preserve">
http://www.w3.org/TR/UNDERSTANDING-WCAG20/consistent-behavior-unpredictable-change.html</t>
    </r>
  </si>
  <si>
    <r>
      <rPr>
        <sz val="14"/>
        <rFont val="Calibri"/>
        <family val="2"/>
        <scheme val="minor"/>
      </rPr>
      <t xml:space="preserve"> Cuando cualquier componente recibe el foco, no inicia ningún cambio en el contexto. </t>
    </r>
    <r>
      <rPr>
        <u/>
        <sz val="14"/>
        <color theme="10"/>
        <rFont val="Calibri"/>
        <family val="2"/>
        <scheme val="minor"/>
      </rPr>
      <t xml:space="preserve">
http://www.w3.org/TR/UNDERSTANDING-WCAG20/consistent-behavior-receive-focus.html</t>
    </r>
  </si>
  <si>
    <r>
      <rPr>
        <sz val="14"/>
        <rFont val="Calibri"/>
        <family val="2"/>
        <scheme val="minor"/>
      </rPr>
      <t xml:space="preserve"> El idioma predeterminado de cada página web puede ser determinado por software</t>
    </r>
    <r>
      <rPr>
        <u/>
        <sz val="14"/>
        <color theme="10"/>
        <rFont val="Calibri"/>
        <family val="2"/>
        <scheme val="minor"/>
      </rPr>
      <t xml:space="preserve">
http://www.w3.org/TR/UNDERSTANDING-WCAG20/meaning-doc-lang-id.html</t>
    </r>
  </si>
  <si>
    <r>
      <rPr>
        <sz val="14"/>
        <rFont val="Calibri"/>
        <family val="2"/>
        <scheme val="minor"/>
      </rPr>
      <t>El propósito de cada enlace puede ser determinado con sólo el texto del enlace o a través del texto del enlace sumado al contexto del enlace determinado por software, excepto cuando el propósito del enlace resultara ambiguo para los usuarios en general.</t>
    </r>
    <r>
      <rPr>
        <u/>
        <sz val="14"/>
        <color theme="10"/>
        <rFont val="Calibri"/>
        <family val="2"/>
        <scheme val="minor"/>
      </rPr>
      <t xml:space="preserve">
http://www.w3.org/TR/UNDERSTANDING-WCAG20/navigation-mechanisms-refs.html</t>
    </r>
  </si>
  <si>
    <r>
      <rPr>
        <sz val="14"/>
        <rFont val="Calibri"/>
        <family val="2"/>
        <scheme val="minor"/>
      </rPr>
      <t>Si se puede navegar secuencialmente por una página web y la secuencia de navegación afecta su significado o su operación, los componentes que pueden recibir el foco lo hacen en un orden que preserva su significado y operabilidad.</t>
    </r>
    <r>
      <rPr>
        <u/>
        <sz val="14"/>
        <color theme="10"/>
        <rFont val="Calibri"/>
        <family val="2"/>
        <scheme val="minor"/>
      </rPr>
      <t xml:space="preserve">
http://www.w3.org/TR/UNDERSTANDING-WCAG20/navigation-mechanisms-focus-order.html</t>
    </r>
  </si>
  <si>
    <r>
      <rPr>
        <sz val="14"/>
        <rFont val="Calibri"/>
        <family val="2"/>
        <scheme val="minor"/>
      </rPr>
      <t>Las páginas web tienen títulos que describen su temática o propósito</t>
    </r>
    <r>
      <rPr>
        <u/>
        <sz val="14"/>
        <color theme="10"/>
        <rFont val="Calibri"/>
        <family val="2"/>
        <scheme val="minor"/>
      </rPr>
      <t xml:space="preserve">
http://www.w3.org/TR/UNDERSTANDING-WCAG20/navigation-mechanisms-title.html</t>
    </r>
  </si>
  <si>
    <r>
      <rPr>
        <sz val="14"/>
        <rFont val="Calibri"/>
        <family val="2"/>
        <scheme val="minor"/>
      </rPr>
      <t>Existe un mecanismo para evitar los bloques de contenido que se repiten en múltiples páginas web</t>
    </r>
    <r>
      <rPr>
        <u/>
        <sz val="14"/>
        <color theme="10"/>
        <rFont val="Calibri"/>
        <family val="2"/>
        <scheme val="minor"/>
      </rPr>
      <t xml:space="preserve">
http://www.w3.org/TR/UNDERSTANDING-WCAG20/navigation-mechanisms-skip.html</t>
    </r>
  </si>
  <si>
    <r>
      <rPr>
        <sz val="14"/>
        <rFont val="Calibri"/>
        <family val="2"/>
        <scheme val="minor"/>
      </rPr>
      <t>Las páginas web no contienen nada que destelle más de tres veces en un segundo, o el destello está por debajo del umbral de destello general y de destello rojo</t>
    </r>
    <r>
      <rPr>
        <u/>
        <sz val="14"/>
        <color theme="10"/>
        <rFont val="Calibri"/>
        <family val="2"/>
        <scheme val="minor"/>
      </rPr>
      <t xml:space="preserve">
http://www.w3.org/TR/UNDERSTANDING-WCAG20/seizure-does-not-violate.html</t>
    </r>
  </si>
  <si>
    <r>
      <rPr>
        <sz val="14"/>
        <rFont val="Calibri"/>
        <family val="2"/>
        <scheme val="minor"/>
      </rPr>
      <t xml:space="preserve">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r>
    <r>
      <rPr>
        <u/>
        <sz val="14"/>
        <color theme="10"/>
        <rFont val="Calibri"/>
        <family val="2"/>
        <scheme val="minor"/>
      </rPr>
      <t xml:space="preserve">
http://www.w3.org/TR/UNDERSTANDING-WCAG20/keyboard-operation-trapping.html</t>
    </r>
  </si>
  <si>
    <r>
      <rPr>
        <sz val="14"/>
        <rFont val="Calibri"/>
        <family val="2"/>
        <scheme val="minor"/>
      </rPr>
      <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r>
    <r>
      <rPr>
        <u/>
        <sz val="14"/>
        <color theme="10"/>
        <rFont val="Calibri"/>
        <family val="2"/>
        <scheme val="minor"/>
      </rPr>
      <t xml:space="preserve">
http://www.w3.org/TR/UNDERSTANDING-WCAG20/keyboard-operation-keyboard-operable.html</t>
    </r>
  </si>
  <si>
    <r>
      <rPr>
        <sz val="14"/>
        <rFont val="Calibri"/>
        <family val="2"/>
        <scheme val="minor"/>
      </rPr>
      <t>Si el audio de una página web suena automáticamente durante más de 3 segundos, se proporciona ya sea un mecanismo para pausar o detener el audio, o un mecanismo para controlar el volumen del sonido que es independiente del nivel de volumen global del sistema.</t>
    </r>
    <r>
      <rPr>
        <u/>
        <sz val="14"/>
        <color theme="10"/>
        <rFont val="Calibri"/>
        <family val="2"/>
        <scheme val="minor"/>
      </rPr>
      <t xml:space="preserve">
http://www.w3.org/TR/UNDERSTANDING-WCAG20/visual-audio-contrast-dis-audio.html</t>
    </r>
  </si>
  <si>
    <r>
      <rPr>
        <sz val="14"/>
        <rFont val="Calibri"/>
        <family val="2"/>
        <scheme val="minor"/>
      </rPr>
      <t xml:space="preserve">El color no se usa como único medio visual para transmitir la información, indicar una acción, solicitar una respuesta o distinguir un elemento visual. </t>
    </r>
    <r>
      <rPr>
        <u/>
        <sz val="14"/>
        <color theme="10"/>
        <rFont val="Calibri"/>
        <family val="2"/>
        <scheme val="minor"/>
      </rPr>
      <t xml:space="preserve">
http://www.w3.org/TR/UNDERSTANDING-WCAG20/visual-audio-contrast-without-color.html</t>
    </r>
  </si>
  <si>
    <t>3.1 Resultados de la evaluación de los criterios de conformidad de nivel A</t>
  </si>
  <si>
    <t>No se tienen en cuenta los "no se aplica"</t>
  </si>
  <si>
    <t>Datos de la muestra en su conjunto</t>
  </si>
  <si>
    <t>Rellena en la pestaña anterior todos los campos "Muestra completa" para obtener los resultados completos</t>
  </si>
  <si>
    <t>% no cumple sin no se aplica</t>
  </si>
  <si>
    <t>Porcentaje de cumplimiento sin contar los "no se aplica"</t>
  </si>
  <si>
    <t>% cumple sin no se aplica</t>
  </si>
  <si>
    <t>4. Evaluación de los criterios de conformidad de nivel AA</t>
  </si>
  <si>
    <t>4.1 Resultados de la evaluación de los criterios de conformidad de nivel AA</t>
  </si>
  <si>
    <t>Rellena en las pestañas anteriores todos los campos "Muestra completa" para obtener los resultados completos</t>
  </si>
  <si>
    <t>Ayuda 1.2.4</t>
  </si>
  <si>
    <t>Se ofrecerán subtítulos sincronizados con el audio para todo el contenido multimedia ofrecido en directo (emisiones sólo audio, web cast, videoconferencias, animaciones Flash, etc.)</t>
  </si>
  <si>
    <t>Ayuda 1.2.5</t>
  </si>
  <si>
    <t>Se ofrecerán audio descripciones para todo el contenido de vídeo. Nota: sólo será necesario si el vídeo transmite contenido visual que no está disponible por defecto en la pista de audio.</t>
  </si>
  <si>
    <t>* Excepto en los textos grandes (de más de 18 puntos o 14 puntos en negrita) y las imágenes de texto grandes la relación de contraste debe ser de al menos 3:1.</t>
  </si>
  <si>
    <t>* Excepto en los textos, o las imágenes de texto, que forman parte de un componente de la interfaz de usuario inactivo, que son meramente decorativos, que no son visibles o que forman parte de una imagen cuyo significado es visual, no tienen un requisito mínimo de contraste.</t>
  </si>
  <si>
    <t>* Excepto en los textos que forman parte de un logotipo o de una marca comercial no tiene un requisito mínimo de contraste.</t>
  </si>
  <si>
    <t>Ayuda 1.4.3</t>
  </si>
  <si>
    <t>Ayuda 1.4.4</t>
  </si>
  <si>
    <t>Ayuda 1.4.5</t>
  </si>
  <si>
    <t>Ayuda 2.4.5</t>
  </si>
  <si>
    <t>Ayuda 2.4.6</t>
  </si>
  <si>
    <t>Los encabezados (&lt;h&gt;) de las páginas y las etiquetas (&lt;label&gt;) para los controles interactivos de los formularios deberán ser informativos. Evite el duplicar los encabezados (por ejemplo, "Más detalles") y las etiquetas de texto (por ejemplo, "primer nombre") a menos que la estructura ofrezca una diferenciación adecuada entre ellas.</t>
  </si>
  <si>
    <t>Ayuda 2.4.7</t>
  </si>
  <si>
    <t>Ayuda 3.1.2</t>
  </si>
  <si>
    <t>Si algunas secciones tienen contenidos en un idioma diferente al principal, éste deberá estar identificado utilizando el atributo lang (por ejemplo, &lt;blockquote lang="en"&gt;) cuando sea apropiado.</t>
  </si>
  <si>
    <t>Ayuda 3.2.3</t>
  </si>
  <si>
    <t>Ayuda 3.2.4</t>
  </si>
  <si>
    <t>Ayuda 3.3.3</t>
  </si>
  <si>
    <t>Ayuda 3.3.4</t>
  </si>
  <si>
    <t xml:space="preserve">2.4.5 Múltiples vías. </t>
  </si>
  <si>
    <t xml:space="preserve">2.4.6 Encabezados y etiquetas. </t>
  </si>
  <si>
    <t xml:space="preserve">2.4.7 Visibilidad del foco. </t>
  </si>
  <si>
    <t>3.1.2 Idioma de las partes</t>
  </si>
  <si>
    <t xml:space="preserve">3.2.3 Navegación consistente. </t>
  </si>
  <si>
    <t>3.2.4 Identificación consistente.</t>
  </si>
  <si>
    <t xml:space="preserve">3.3.3 Sugerencias ante error. </t>
  </si>
  <si>
    <t xml:space="preserve">3.3.4 Prevención de errores (Legales, financieros, de datos). </t>
  </si>
  <si>
    <t>Resumen 1.2.4</t>
  </si>
  <si>
    <t>Resumen 1.2.5</t>
  </si>
  <si>
    <t>Resumen 1.4.3</t>
  </si>
  <si>
    <t>Resumen 1.4.4</t>
  </si>
  <si>
    <t>Resumen 1.4.5</t>
  </si>
  <si>
    <t>Resumen 2.4.5</t>
  </si>
  <si>
    <t>Resumen 2.4.6</t>
  </si>
  <si>
    <t>Resumen 2.4.7</t>
  </si>
  <si>
    <t>Resumen 3.1.2</t>
  </si>
  <si>
    <t>Resumen 3.2.3</t>
  </si>
  <si>
    <t>Resumen 3.2.4</t>
  </si>
  <si>
    <t>Resumen 3.3.3</t>
  </si>
  <si>
    <t>Resumen 3.3.4</t>
  </si>
  <si>
    <t>5. Resultados de la evaluación por criterio de conformidad</t>
  </si>
  <si>
    <t>7. Resultados de la evaluación detallados por página</t>
  </si>
  <si>
    <r>
      <rPr>
        <b/>
        <sz val="11"/>
        <color theme="1"/>
        <rFont val="Calibri"/>
        <family val="2"/>
        <scheme val="minor"/>
      </rPr>
      <t xml:space="preserve">Autor: </t>
    </r>
    <r>
      <rPr>
        <sz val="11"/>
        <color theme="1"/>
        <rFont val="Calibri"/>
        <family val="2"/>
        <scheme val="minor"/>
      </rPr>
      <t>Olga Carreras (Usable y accesible)</t>
    </r>
  </si>
  <si>
    <r>
      <rPr>
        <b/>
        <sz val="11"/>
        <color theme="1"/>
        <rFont val="Calibri"/>
        <family val="2"/>
        <scheme val="minor"/>
      </rPr>
      <t>Autor:</t>
    </r>
    <r>
      <rPr>
        <sz val="11"/>
        <color theme="1"/>
        <rFont val="Calibri"/>
        <family val="2"/>
        <scheme val="minor"/>
      </rPr>
      <t xml:space="preserve"> Olga Carreras (Usable y accesible)</t>
    </r>
  </si>
  <si>
    <r>
      <rPr>
        <b/>
        <sz val="11"/>
        <color theme="1"/>
        <rFont val="Calibri"/>
        <family val="2"/>
        <scheme val="minor"/>
      </rPr>
      <t>Autor</t>
    </r>
    <r>
      <rPr>
        <sz val="11"/>
        <color theme="1"/>
        <rFont val="Calibri"/>
        <family val="2"/>
        <scheme val="minor"/>
      </rPr>
      <t>: Olga Carreras (Usable y accesible)</t>
    </r>
  </si>
  <si>
    <r>
      <rPr>
        <sz val="14"/>
        <rFont val="Calibri"/>
        <family val="2"/>
        <scheme val="minor"/>
      </rPr>
      <t>Se proporciona una alternativa para los medios tempodependientes o una audiodescripción para el contenido de vídeo grabado en los multimedia sincronizados, excepto cuando ese contenido es un contenido multimedia alternativo al texto y está claramente identificado como tal</t>
    </r>
    <r>
      <rPr>
        <u/>
        <sz val="14"/>
        <color theme="10"/>
        <rFont val="Calibri"/>
        <family val="2"/>
        <scheme val="minor"/>
      </rPr>
      <t xml:space="preserve">
http://www.w3.org/TR/UNDERSTANDING-WCAG20/media-equiv-audio-desc.html</t>
    </r>
  </si>
  <si>
    <t>2.1.2 Sin trampas para el foco del teclado.</t>
  </si>
  <si>
    <r>
      <rPr>
        <sz val="14"/>
        <rFont val="Calibri"/>
        <family val="2"/>
        <scheme val="minor"/>
      </rPr>
      <t>Para cada límite de tiempo impuesto por el contenido, se cumple al menos uno de los siguientes casos...</t>
    </r>
    <r>
      <rPr>
        <u/>
        <sz val="14"/>
        <color theme="10"/>
        <rFont val="Calibri"/>
        <family val="2"/>
        <scheme val="minor"/>
      </rPr>
      <t xml:space="preserve">
http://www.w3.org/TR/UNDERSTANDING-WCAG20/time-limits-required-behaviors.html</t>
    </r>
  </si>
  <si>
    <r>
      <rPr>
        <sz val="14"/>
        <rFont val="Calibri"/>
        <family val="2"/>
        <scheme val="minor"/>
      </rPr>
      <t>Para la información que tiene movimiento, parpadeo, se desplaza o se actualiza automáticamente, se cumplen todos los casos siguientes...</t>
    </r>
    <r>
      <rPr>
        <u/>
        <sz val="14"/>
        <color theme="10"/>
        <rFont val="Calibri"/>
        <family val="2"/>
        <scheme val="minor"/>
      </rPr>
      <t xml:space="preserve">
http://www.w3.org/TR/UNDERSTANDING-WCAG20/time-limits-pause.html</t>
    </r>
  </si>
  <si>
    <t xml:space="preserve">2.3.1 Umbral de tres destellos o menos. </t>
  </si>
  <si>
    <t>3.2.1 Al recibir el foco.</t>
  </si>
  <si>
    <t>3.2.2 Al recibir entradas.</t>
  </si>
  <si>
    <t xml:space="preserve">4.1.1 Procesamiento. </t>
  </si>
  <si>
    <t>AYUDA</t>
  </si>
  <si>
    <r>
      <rPr>
        <sz val="11"/>
        <rFont val="Calibri"/>
        <family val="2"/>
        <scheme val="minor"/>
      </rPr>
      <t>Basada en la traducción de WebAIM`s WCAG 2.0 Checklist  de Jose Ramón Quevedo:</t>
    </r>
    <r>
      <rPr>
        <u/>
        <sz val="11"/>
        <color theme="10"/>
        <rFont val="Calibri"/>
        <family val="2"/>
        <scheme val="minor"/>
      </rPr>
      <t xml:space="preserve"> http://qweos.net/blog/2009/01/28/guias-practicas-para-profesionales-web-puntos-de-verificacion-de-las-pautas-de-accesibilidad-al-contenido-web-wcag-20/</t>
    </r>
  </si>
  <si>
    <t>Recurso para ayudarte en la redacción de textos alternativos:</t>
  </si>
  <si>
    <t xml:space="preserve">Textos alternativos, imágenes accesibles. Herramientas de ayuda: mapa de decisión y wizard online </t>
  </si>
  <si>
    <t>Nivel de cumplimiento A por página</t>
  </si>
  <si>
    <r>
      <rPr>
        <sz val="14"/>
        <rFont val="Calibri"/>
        <family val="2"/>
        <scheme val="minor"/>
      </rPr>
      <t>Se proporcionan subtítulos para todo el contenido de audio en directo de los multimedia sincronizados.</t>
    </r>
    <r>
      <rPr>
        <u/>
        <sz val="14"/>
        <color theme="10"/>
        <rFont val="Calibri"/>
        <family val="2"/>
        <scheme val="minor"/>
      </rPr>
      <t xml:space="preserve">
http://www.w3.org/TR/UNDERSTANDING-WCAG20/media-equiv-real-time-captions.html</t>
    </r>
  </si>
  <si>
    <r>
      <rPr>
        <sz val="14"/>
        <rFont val="Calibri"/>
        <family val="2"/>
        <scheme val="minor"/>
      </rPr>
      <t xml:space="preserve"> Se proporciona una audiodescripción para todo el contenido de vídeo grabado dentro de contenido multimedia sincronizado.</t>
    </r>
    <r>
      <rPr>
        <u/>
        <sz val="14"/>
        <color theme="10"/>
        <rFont val="Calibri"/>
        <family val="2"/>
        <scheme val="minor"/>
      </rPr>
      <t xml:space="preserve">
http://www.w3.org/TR/UNDERSTANDING-WCAG20/media-equiv-audio-desc-only.html</t>
    </r>
  </si>
  <si>
    <r>
      <rPr>
        <sz val="14"/>
        <rFont val="Calibri"/>
        <family val="2"/>
        <scheme val="minor"/>
      </rPr>
      <t>La presentación visual de texto e imágenes de texto tiene una relación de contraste de, al menos, 4.5:1, excepto en los siguientes casos…</t>
    </r>
    <r>
      <rPr>
        <u/>
        <sz val="14"/>
        <color theme="10"/>
        <rFont val="Calibri"/>
        <family val="2"/>
        <scheme val="minor"/>
      </rPr>
      <t xml:space="preserve">
http://www.w3.org/TR/UNDERSTANDING-WCAG20/visual-audio-contrast-contrast.html</t>
    </r>
  </si>
  <si>
    <r>
      <rPr>
        <sz val="14"/>
        <rFont val="Calibri"/>
        <family val="2"/>
        <scheme val="minor"/>
      </rPr>
      <t>A excepción de los subtítulos y las imágenes de texto, todo el texto puede ser ajustado sin ayudas técnicas hasta un 200 por ciento sin que se pierdan el contenido o la funcionalidad.</t>
    </r>
    <r>
      <rPr>
        <u/>
        <sz val="14"/>
        <color theme="10"/>
        <rFont val="Calibri"/>
        <family val="2"/>
        <scheme val="minor"/>
      </rPr>
      <t xml:space="preserve">
http://www.w3.org/TR/UNDERSTANDING-WCAG20/visual-audio-contrast-scale.html</t>
    </r>
  </si>
  <si>
    <r>
      <rPr>
        <sz val="14"/>
        <rFont val="Calibri"/>
        <family val="2"/>
        <scheme val="minor"/>
      </rPr>
      <t>Se proporciona más de un camino para localizar una página web dentro de un conjunto de páginas web, excepto cuando la página es el resultado, o un paso intermedio, de un proceso.</t>
    </r>
    <r>
      <rPr>
        <u/>
        <sz val="14"/>
        <color theme="10"/>
        <rFont val="Calibri"/>
        <family val="2"/>
        <scheme val="minor"/>
      </rPr>
      <t xml:space="preserve">
http://www.w3.org/TR/UNDERSTANDING-WCAG20/navigation-mechanisms-mult-loc.html</t>
    </r>
  </si>
  <si>
    <r>
      <rPr>
        <sz val="14"/>
        <rFont val="Calibri"/>
        <family val="2"/>
        <scheme val="minor"/>
      </rPr>
      <t>Los encabezados y etiquetas describen el tema o propósito</t>
    </r>
    <r>
      <rPr>
        <u/>
        <sz val="14"/>
        <color theme="10"/>
        <rFont val="Calibri"/>
        <family val="2"/>
        <scheme val="minor"/>
      </rPr>
      <t xml:space="preserve">
http://www.w3.org/TR/UNDERSTANDING-WCAG20/navigation-mechanisms-descriptive.html</t>
    </r>
  </si>
  <si>
    <r>
      <rPr>
        <sz val="14"/>
        <rFont val="Calibri"/>
        <family val="2"/>
        <scheme val="minor"/>
      </rPr>
      <t>El idioma de cada pasaje o frase en el contenido puede ser determinado por software, excepto los nombres propios, términos técnicos, palabras en un idioma indeterminado y palabras o frases que se hayan convertido en parte natural del texto que las rodea</t>
    </r>
    <r>
      <rPr>
        <u/>
        <sz val="14"/>
        <color theme="10"/>
        <rFont val="Calibri"/>
        <family val="2"/>
        <scheme val="minor"/>
      </rPr>
      <t xml:space="preserve">
http://www.w3.org/TR/UNDERSTANDING-WCAG20/meaning-other-lang-id.html</t>
    </r>
  </si>
  <si>
    <r>
      <rPr>
        <sz val="14"/>
        <rFont val="Calibri"/>
        <family val="2"/>
        <scheme val="minor"/>
      </rPr>
      <t>Cualquier interfaz de usuario operable por teclado tiene una forma de operar en la cuál el indicador del foco del teclado resulta visible</t>
    </r>
    <r>
      <rPr>
        <u/>
        <sz val="14"/>
        <color theme="10"/>
        <rFont val="Calibri"/>
        <family val="2"/>
        <scheme val="minor"/>
      </rPr>
      <t xml:space="preserve">
http://www.w3.org/TR/UNDERSTANDING-WCAG20/navigation-mechanisms-focus-visible.html</t>
    </r>
  </si>
  <si>
    <r>
      <rPr>
        <sz val="14"/>
        <rFont val="Calibri"/>
        <family val="2"/>
        <scheme val="minor"/>
      </rPr>
      <t>Los mecanismos de navegación que se repiten en múltiples páginas web dentro de un conjunto de páginas web aparecen siempre en el mismo orden relativo cada vez que se repiten, a menos que el cambio sea provocado por el propio usuario.</t>
    </r>
    <r>
      <rPr>
        <u/>
        <sz val="14"/>
        <color theme="10"/>
        <rFont val="Calibri"/>
        <family val="2"/>
        <scheme val="minor"/>
      </rPr>
      <t xml:space="preserve">
http://www.w3.org/TR/UNDERSTANDING-WCAG20/consistent-behavior-consistent-locations.html</t>
    </r>
  </si>
  <si>
    <r>
      <rPr>
        <sz val="14"/>
        <rFont val="Calibri"/>
        <family val="2"/>
        <scheme val="minor"/>
      </rPr>
      <t xml:space="preserve"> Los componentes que tienen la misma funcionalidad dentro de un conjunto de páginas web son identificados de manera coherente</t>
    </r>
    <r>
      <rPr>
        <u/>
        <sz val="14"/>
        <color theme="10"/>
        <rFont val="Calibri"/>
        <family val="2"/>
        <scheme val="minor"/>
      </rPr>
      <t xml:space="preserve">
http://www.w3.org/TR/UNDERSTANDING-WCAG20/consistent-behavior-consistent-functionality.html</t>
    </r>
  </si>
  <si>
    <r>
      <rPr>
        <sz val="14"/>
        <rFont val="Calibri"/>
        <family val="2"/>
        <scheme val="minor"/>
      </rPr>
      <t>Si se detecta automáticamente un error en la entrada de datos y se dispone de sugerencias para hacer la corrección, entonces se presentan las sugerencias al usuario, a menos que esto ponga en riesgo la seguridad o el propósito del contenido.</t>
    </r>
    <r>
      <rPr>
        <u/>
        <sz val="14"/>
        <color theme="10"/>
        <rFont val="Calibri"/>
        <family val="2"/>
        <scheme val="minor"/>
      </rPr>
      <t xml:space="preserve">
http://www.w3.org/TR/UNDERSTANDING-WCAG20/minimize-error-suggestions.html</t>
    </r>
  </si>
  <si>
    <t xml:space="preserve">1.2.4 Subtítulos (en directo). </t>
  </si>
  <si>
    <t>1.2.5 Audiodescripción (grabado).</t>
  </si>
  <si>
    <t>1.4.3 Contraste (mínimo).</t>
  </si>
  <si>
    <t xml:space="preserve">1.4.4 Cambio de tamaño del texto. </t>
  </si>
  <si>
    <r>
      <rPr>
        <sz val="14"/>
        <rFont val="Calibri"/>
        <family val="2"/>
        <scheme val="minor"/>
      </rPr>
      <t>Si con las tecnologías que se están utilizando se puede conseguir la presentación visual deseada, se utiliza texto para transmitir la información en vez de imágenes de texto, excepto en los siguientes casos…</t>
    </r>
    <r>
      <rPr>
        <u/>
        <sz val="14"/>
        <color theme="10"/>
        <rFont val="Calibri"/>
        <family val="2"/>
        <scheme val="minor"/>
      </rPr>
      <t xml:space="preserve">
http://www.w3.org/TR/UNDERSTANDING-WCAG20/visual-audio-contrast-text-presentation.html</t>
    </r>
  </si>
  <si>
    <r>
      <rPr>
        <sz val="14"/>
        <rFont val="Calibri"/>
        <family val="2"/>
        <scheme val="minor"/>
      </rPr>
      <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r>
    <r>
      <rPr>
        <u/>
        <sz val="14"/>
        <color theme="10"/>
        <rFont val="Calibri"/>
        <family val="2"/>
        <scheme val="minor"/>
      </rPr>
      <t xml:space="preserve">
http://www.w3.org/TR/UNDERSTANDING-WCAG20/minimize-error-reversible.html</t>
    </r>
  </si>
  <si>
    <t>Puedes usar algunas herramientas para comprobar el contraste, por ejemplo, Color Contrast Checker o Luminosity Colour Contrast Ratio Analyser.</t>
  </si>
  <si>
    <t>Excepto, si la imagen es configurable según los requisitos del usuario; o si una forma particular de presentación del texto es esencial para la información que se transmite, como por ejemplo en los logotipos</t>
  </si>
  <si>
    <t>1.2.2 Subtítulos (grabados) Se proporcionan subtítulos para el contenido de audio grabado dentro de contenido multimedia sincronizado, excepto cuando la presentación es un contenido multimedia alternativo al texto y está claramente identificado como tal.</t>
  </si>
  <si>
    <t xml:space="preserve">1.1.1 </t>
  </si>
  <si>
    <t xml:space="preserve">1.2.2 </t>
  </si>
  <si>
    <t>1.2.1</t>
  </si>
  <si>
    <t>1.2.3</t>
  </si>
  <si>
    <t>1.3.1</t>
  </si>
  <si>
    <t>1.3.2</t>
  </si>
  <si>
    <t>1.3.3</t>
  </si>
  <si>
    <t>1.4.1</t>
  </si>
  <si>
    <t>1.4.2</t>
  </si>
  <si>
    <t>2.1.1</t>
  </si>
  <si>
    <t>2.1.2</t>
  </si>
  <si>
    <t xml:space="preserve">2.2.1 </t>
  </si>
  <si>
    <t>2.2.2</t>
  </si>
  <si>
    <t>2.3.1</t>
  </si>
  <si>
    <t>2.4.1</t>
  </si>
  <si>
    <t>2.4.2</t>
  </si>
  <si>
    <t>2.4.3</t>
  </si>
  <si>
    <t>2.4.4</t>
  </si>
  <si>
    <t xml:space="preserve">3.1.1 </t>
  </si>
  <si>
    <t>3.2.1</t>
  </si>
  <si>
    <t>3.2.2</t>
  </si>
  <si>
    <t>3.3.1</t>
  </si>
  <si>
    <t>3.3.2</t>
  </si>
  <si>
    <t>4.1.1</t>
  </si>
  <si>
    <t>4.1.2</t>
  </si>
  <si>
    <t>1.2.4</t>
  </si>
  <si>
    <t>1.2.5</t>
  </si>
  <si>
    <t>1.4.3</t>
  </si>
  <si>
    <t>1.4.4</t>
  </si>
  <si>
    <t>1.4.5</t>
  </si>
  <si>
    <t>2.4.5</t>
  </si>
  <si>
    <t>2.4.6</t>
  </si>
  <si>
    <t>2.4.7</t>
  </si>
  <si>
    <t>3.1.2</t>
  </si>
  <si>
    <t>3.2.3</t>
  </si>
  <si>
    <t>3.2.4</t>
  </si>
  <si>
    <t>3.3.3</t>
  </si>
  <si>
    <t>3.3.4</t>
  </si>
  <si>
    <t>Esta pestaña fue añadida a la versión 2 por los alumnos de la Facultad de Ingeniería de la Universidad de Valparaíso, Chile</t>
  </si>
  <si>
    <t>Sobre WAI-ARIA consultar:</t>
  </si>
  <si>
    <t>http://olgacarreras.blogspot.com.es/2009/04/dos-anos-de-usable-y-accesible.html#aria</t>
  </si>
  <si>
    <t xml:space="preserve">Ten en cuenta que en las pestañas 3.1 y 4.1 el porcentaje de cumplimiento total se realiza valorando la muestra en su conjunto. Si una sola página no cumple un criterio, toda la muestra no lo cumple.
Sin embargo, aquí el porcentaje se realiza mediando los porcentajes de cumplimiento de cada página individualmente, por tanto el resultado de % puede variar bastante respecto al de la muestra en su conjunto. </t>
  </si>
  <si>
    <t>6. Resultados de la evaluación por nivel y principio, mediando resultados por página</t>
  </si>
  <si>
    <t>3.1 (2016)</t>
  </si>
  <si>
    <t xml:space="preserve"> Indica el número de páginas de la muestra para que se generen las gráficas</t>
  </si>
  <si>
    <t>Criterios por principio</t>
  </si>
  <si>
    <t>* El % de cumplimiento por principio se calcula en base al número de criterios que tiene cada principio en el nivel que estás evaluando</t>
  </si>
  <si>
    <t>criterios tiene este principio en el nivel que estás evaluando</t>
  </si>
  <si>
    <t>* El % de cumplimiento de nivel AA solo se muestra si has indicado en la hoja 1 que evalúas según el nivel AA</t>
  </si>
  <si>
    <t>Nivel AA es (criteriosA+criteriosAA)</t>
  </si>
  <si>
    <t>Es importante que selecciones el nivel de evaluación</t>
  </si>
  <si>
    <t>* En estas gráficas no se tienen en cuenta los "no se aplica"</t>
  </si>
  <si>
    <t>Sebastian Narvaez</t>
  </si>
  <si>
    <t>Barber App</t>
  </si>
  <si>
    <t>Toda el contenido de la web Barber App</t>
  </si>
  <si>
    <t>desde 17/08/2020    hasta  17/09/2020</t>
  </si>
  <si>
    <t>http://127.0.0.1:8000/</t>
  </si>
  <si>
    <t>Inicio</t>
  </si>
  <si>
    <t>login</t>
  </si>
  <si>
    <t>Inicio-Dashboard</t>
  </si>
  <si>
    <t>Dashboard-Usuarios</t>
  </si>
  <si>
    <t>Dashboard-Servicios</t>
  </si>
  <si>
    <t>Dashboard-Reservas</t>
  </si>
  <si>
    <t>Dashboard-Reservas-clientes</t>
  </si>
  <si>
    <t>http://127.0.0.1:8000/login/</t>
  </si>
  <si>
    <t>http://127.0.0.1:8000/admin/</t>
  </si>
  <si>
    <t>http://127.0.0.1:8000/admin/users/</t>
  </si>
  <si>
    <t>http://127.0.0.1:8000/admin/services/</t>
  </si>
  <si>
    <t>http://127.0.0.1:8000/admin/appointments/</t>
  </si>
  <si>
    <t>http://127.0.0.1:8000/appointments/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</si>
</sst>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 _€"/>
  </numFmts>
  <fonts count="27" x14ac:knownFonts="1">
    <font>
      <sz val="11"/>
      <color theme="1"/>
      <name val="Calibri"/>
      <family val="2"/>
      <scheme val="minor"/>
    </font>
    <font>
      <b/>
      <sz val="11"/>
      <color theme="1"/>
      <name val="Calibri"/>
      <family val="2"/>
      <scheme val="minor"/>
    </font>
    <font>
      <u/>
      <sz val="11"/>
      <color theme="10"/>
      <name val="Calibri"/>
      <family val="2"/>
      <scheme val="minor"/>
    </font>
    <font>
      <sz val="22"/>
      <color theme="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1"/>
      <color indexed="8"/>
      <name val="Calibri"/>
      <family val="2"/>
    </font>
    <font>
      <b/>
      <sz val="11"/>
      <color theme="0"/>
      <name val="Calibri"/>
      <family val="2"/>
    </font>
    <font>
      <sz val="10"/>
      <name val="Arial"/>
      <family val="2"/>
    </font>
    <font>
      <b/>
      <sz val="11"/>
      <name val="Calibri"/>
      <family val="2"/>
    </font>
    <font>
      <sz val="11"/>
      <name val="Calibri"/>
      <family val="2"/>
    </font>
    <font>
      <sz val="11"/>
      <color theme="0"/>
      <name val="Calibri"/>
      <family val="2"/>
    </font>
    <font>
      <sz val="10"/>
      <name val="Arial"/>
      <family val="2"/>
    </font>
    <font>
      <sz val="11"/>
      <color rgb="FFFF0000"/>
      <name val="Calibri"/>
      <family val="2"/>
      <scheme val="minor"/>
    </font>
    <font>
      <sz val="11"/>
      <color theme="10"/>
      <name val="Calibri"/>
      <family val="2"/>
      <scheme val="minor"/>
    </font>
    <font>
      <sz val="14"/>
      <color theme="1"/>
      <name val="Calibri"/>
      <family val="2"/>
      <scheme val="minor"/>
    </font>
    <font>
      <sz val="11"/>
      <name val="Calibri"/>
      <family val="2"/>
      <scheme val="minor"/>
    </font>
    <font>
      <sz val="14"/>
      <name val="Calibri"/>
      <family val="2"/>
      <scheme val="minor"/>
    </font>
    <font>
      <u/>
      <sz val="14"/>
      <color theme="10"/>
      <name val="Calibri"/>
      <family val="2"/>
      <scheme val="minor"/>
    </font>
    <font>
      <sz val="12"/>
      <color theme="1"/>
      <name val="Calibri"/>
      <family val="2"/>
      <scheme val="minor"/>
    </font>
    <font>
      <b/>
      <sz val="14"/>
      <color theme="0"/>
      <name val="Calibri"/>
      <family val="2"/>
    </font>
    <font>
      <b/>
      <sz val="14"/>
      <color indexed="8"/>
      <name val="Calibri"/>
      <family val="2"/>
    </font>
    <font>
      <sz val="14"/>
      <color indexed="8"/>
      <name val="Calibri"/>
      <family val="2"/>
    </font>
    <font>
      <sz val="14"/>
      <name val="Arial"/>
      <family val="2"/>
    </font>
    <font>
      <b/>
      <sz val="12"/>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indexed="41"/>
        <bgColor indexed="26"/>
      </patternFill>
    </fill>
    <fill>
      <patternFill patternType="solid">
        <fgColor indexed="26"/>
        <bgColor indexed="41"/>
      </patternFill>
    </fill>
    <fill>
      <patternFill patternType="solid">
        <fgColor rgb="FFD1F3FF"/>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style="medium">
        <color indexed="64"/>
      </left>
      <right style="medium">
        <color indexed="64"/>
      </right>
      <top style="medium">
        <color indexed="8"/>
      </top>
      <bottom style="medium">
        <color indexed="8"/>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double">
        <color auto="1"/>
      </top>
      <bottom/>
      <diagonal/>
    </border>
  </borders>
  <cellStyleXfs count="5">
    <xf numFmtId="0" fontId="0" fillId="0" borderId="0"/>
    <xf numFmtId="0" fontId="2" fillId="0" borderId="0" applyNumberFormat="0" applyFill="0" applyBorder="0" applyAlignment="0" applyProtection="0"/>
    <xf numFmtId="0" fontId="8" fillId="0" borderId="0"/>
    <xf numFmtId="43" fontId="10" fillId="0" borderId="0" applyFill="0" applyBorder="0" applyAlignment="0" applyProtection="0"/>
    <xf numFmtId="43" fontId="14" fillId="0" borderId="0" applyFill="0" applyBorder="0" applyAlignment="0" applyProtection="0"/>
  </cellStyleXfs>
  <cellXfs count="224">
    <xf numFmtId="0" fontId="0" fillId="0" borderId="0" xfId="0"/>
    <xf numFmtId="0" fontId="0" fillId="4" borderId="0" xfId="0" applyFill="1"/>
    <xf numFmtId="0" fontId="0" fillId="0" borderId="0" xfId="0"/>
    <xf numFmtId="0" fontId="0" fillId="4" borderId="0" xfId="0" applyFill="1"/>
    <xf numFmtId="0" fontId="5" fillId="0" borderId="0" xfId="0" applyFont="1"/>
    <xf numFmtId="0" fontId="6" fillId="0" borderId="0" xfId="0" applyFont="1"/>
    <xf numFmtId="0" fontId="7" fillId="0" borderId="0" xfId="0" applyFont="1"/>
    <xf numFmtId="0" fontId="0" fillId="0" borderId="0" xfId="0" applyProtection="1">
      <protection hidden="1"/>
    </xf>
    <xf numFmtId="0" fontId="0" fillId="0" borderId="0" xfId="0"/>
    <xf numFmtId="0" fontId="8" fillId="0" borderId="0" xfId="2"/>
    <xf numFmtId="0" fontId="9" fillId="3" borderId="0" xfId="2" applyFont="1" applyFill="1" applyBorder="1" applyAlignment="1"/>
    <xf numFmtId="0" fontId="9" fillId="3" borderId="0" xfId="2" applyFont="1" applyFill="1" applyBorder="1" applyAlignment="1">
      <alignment horizontal="center"/>
    </xf>
    <xf numFmtId="0" fontId="11" fillId="3" borderId="0" xfId="2" applyFont="1" applyFill="1" applyBorder="1" applyAlignment="1"/>
    <xf numFmtId="0" fontId="8" fillId="3" borderId="0" xfId="2" applyFill="1" applyBorder="1"/>
    <xf numFmtId="0" fontId="12" fillId="0" borderId="0" xfId="2" applyFont="1"/>
    <xf numFmtId="0" fontId="8" fillId="0" borderId="0" xfId="2" applyBorder="1"/>
    <xf numFmtId="0" fontId="13" fillId="0" borderId="0" xfId="2" applyFont="1" applyBorder="1"/>
    <xf numFmtId="0" fontId="9" fillId="0" borderId="0" xfId="2" applyFont="1" applyBorder="1" applyAlignment="1">
      <alignment horizontal="center"/>
    </xf>
    <xf numFmtId="0" fontId="13" fillId="0" borderId="0" xfId="2" applyFont="1"/>
    <xf numFmtId="2" fontId="9" fillId="0" borderId="0" xfId="2" applyNumberFormat="1" applyFont="1" applyBorder="1" applyAlignment="1">
      <alignment horizontal="center"/>
    </xf>
    <xf numFmtId="2" fontId="13" fillId="0" borderId="0" xfId="2" applyNumberFormat="1" applyFont="1" applyBorder="1"/>
    <xf numFmtId="0" fontId="12" fillId="0" borderId="0" xfId="2" applyFont="1" applyBorder="1"/>
    <xf numFmtId="0" fontId="0" fillId="10" borderId="0" xfId="0" applyFill="1"/>
    <xf numFmtId="0" fontId="1" fillId="10" borderId="0" xfId="0" applyFont="1" applyFill="1" applyBorder="1" applyAlignment="1">
      <alignment horizontal="right" vertical="center"/>
    </xf>
    <xf numFmtId="0" fontId="1" fillId="10" borderId="0" xfId="0" applyFont="1" applyFill="1" applyBorder="1" applyAlignment="1">
      <alignment horizontal="right"/>
    </xf>
    <xf numFmtId="0" fontId="1" fillId="10" borderId="0" xfId="0" applyFont="1" applyFill="1" applyBorder="1" applyAlignment="1">
      <alignment horizontal="right" vertical="top"/>
    </xf>
    <xf numFmtId="0" fontId="17" fillId="0" borderId="0" xfId="0" applyFont="1"/>
    <xf numFmtId="14" fontId="17" fillId="0" borderId="1" xfId="0" applyNumberFormat="1" applyFont="1" applyBorder="1" applyAlignment="1" applyProtection="1">
      <alignment horizontal="left"/>
      <protection locked="0"/>
    </xf>
    <xf numFmtId="0" fontId="19" fillId="0" borderId="1" xfId="1" applyFont="1" applyBorder="1" applyAlignment="1" applyProtection="1">
      <alignment wrapText="1"/>
      <protection locked="0"/>
    </xf>
    <xf numFmtId="0" fontId="19" fillId="0" borderId="1" xfId="1" applyFont="1" applyBorder="1" applyAlignment="1" applyProtection="1">
      <alignment horizontal="left" vertical="top" wrapText="1"/>
      <protection locked="0"/>
    </xf>
    <xf numFmtId="0" fontId="19" fillId="0" borderId="1" xfId="0" applyFont="1" applyBorder="1" applyAlignment="1" applyProtection="1">
      <alignment wrapText="1"/>
      <protection locked="0"/>
    </xf>
    <xf numFmtId="0" fontId="4" fillId="0" borderId="0" xfId="0" applyFont="1" applyAlignment="1">
      <alignment horizontal="left" vertical="center"/>
    </xf>
    <xf numFmtId="0" fontId="17" fillId="0" borderId="1" xfId="0" applyFont="1" applyBorder="1"/>
    <xf numFmtId="0" fontId="17" fillId="0" borderId="1" xfId="0" applyFont="1" applyBorder="1" applyProtection="1">
      <protection locked="0"/>
    </xf>
    <xf numFmtId="0" fontId="20" fillId="0" borderId="1" xfId="1" applyFont="1" applyBorder="1" applyProtection="1">
      <protection locked="0"/>
    </xf>
    <xf numFmtId="0" fontId="17" fillId="0" borderId="0" xfId="0" applyFont="1" applyProtection="1">
      <protection hidden="1"/>
    </xf>
    <xf numFmtId="0" fontId="17" fillId="0" borderId="3" xfId="0" applyFont="1" applyBorder="1" applyAlignment="1" applyProtection="1">
      <alignment wrapText="1"/>
      <protection locked="0"/>
    </xf>
    <xf numFmtId="0" fontId="17" fillId="3" borderId="1" xfId="0" applyFont="1" applyFill="1" applyBorder="1" applyAlignment="1">
      <alignment wrapText="1"/>
    </xf>
    <xf numFmtId="0" fontId="17" fillId="2" borderId="1" xfId="0" applyFont="1" applyFill="1" applyBorder="1" applyProtection="1">
      <protection locked="0"/>
    </xf>
    <xf numFmtId="0" fontId="5" fillId="2" borderId="1" xfId="0" applyFont="1" applyFill="1" applyBorder="1" applyProtection="1">
      <protection locked="0"/>
    </xf>
    <xf numFmtId="0" fontId="0" fillId="0" borderId="0" xfId="0" applyAlignment="1">
      <alignment horizontal="left" vertical="center"/>
    </xf>
    <xf numFmtId="0" fontId="5" fillId="4" borderId="0" xfId="0" applyFont="1" applyFill="1"/>
    <xf numFmtId="0" fontId="17" fillId="4" borderId="0" xfId="0" applyFont="1" applyFill="1"/>
    <xf numFmtId="1" fontId="5" fillId="4" borderId="0" xfId="0" applyNumberFormat="1" applyFont="1" applyFill="1"/>
    <xf numFmtId="0" fontId="17" fillId="4" borderId="4" xfId="0" applyFont="1" applyFill="1" applyBorder="1"/>
    <xf numFmtId="0" fontId="17" fillId="4" borderId="1" xfId="0" applyFont="1" applyFill="1" applyBorder="1"/>
    <xf numFmtId="0" fontId="5" fillId="4" borderId="1" xfId="0" applyFont="1" applyFill="1" applyBorder="1"/>
    <xf numFmtId="2" fontId="17" fillId="4" borderId="1" xfId="0" applyNumberFormat="1" applyFont="1" applyFill="1" applyBorder="1"/>
    <xf numFmtId="2" fontId="17" fillId="4" borderId="1" xfId="0" applyNumberFormat="1" applyFont="1" applyFill="1" applyBorder="1" applyAlignment="1"/>
    <xf numFmtId="2" fontId="17" fillId="4" borderId="0" xfId="0" applyNumberFormat="1" applyFont="1" applyFill="1"/>
    <xf numFmtId="0" fontId="21" fillId="4" borderId="0" xfId="0" applyFont="1" applyFill="1" applyAlignment="1">
      <alignment vertical="center"/>
    </xf>
    <xf numFmtId="0" fontId="17" fillId="2" borderId="1" xfId="0" applyNumberFormat="1"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7" fillId="0" borderId="4" xfId="0" applyFont="1" applyBorder="1"/>
    <xf numFmtId="2" fontId="17" fillId="2" borderId="1" xfId="0" applyNumberFormat="1" applyFont="1" applyFill="1" applyBorder="1"/>
    <xf numFmtId="2" fontId="17" fillId="5" borderId="1" xfId="0" applyNumberFormat="1" applyFont="1" applyFill="1" applyBorder="1"/>
    <xf numFmtId="0" fontId="17" fillId="2" borderId="1" xfId="0" applyNumberFormat="1" applyFont="1" applyFill="1" applyBorder="1" applyAlignment="1">
      <alignment horizontal="center" wrapText="1"/>
    </xf>
    <xf numFmtId="0" fontId="21" fillId="4" borderId="0" xfId="0" applyFont="1" applyFill="1" applyAlignment="1">
      <alignment horizontal="left" indent="2"/>
    </xf>
    <xf numFmtId="0" fontId="17" fillId="4" borderId="0" xfId="0" applyFont="1" applyFill="1" applyBorder="1"/>
    <xf numFmtId="1" fontId="5" fillId="4" borderId="0" xfId="0" applyNumberFormat="1" applyFont="1" applyFill="1" applyBorder="1"/>
    <xf numFmtId="1" fontId="5" fillId="4" borderId="1" xfId="0" applyNumberFormat="1" applyFont="1" applyFill="1" applyBorder="1"/>
    <xf numFmtId="1" fontId="17" fillId="0" borderId="1" xfId="0" applyNumberFormat="1" applyFont="1" applyBorder="1"/>
    <xf numFmtId="0" fontId="23" fillId="0" borderId="36" xfId="2" applyFont="1" applyBorder="1"/>
    <xf numFmtId="0" fontId="23" fillId="0" borderId="37" xfId="2" applyFont="1" applyBorder="1" applyAlignment="1">
      <alignment horizontal="center"/>
    </xf>
    <xf numFmtId="0" fontId="23" fillId="0" borderId="36" xfId="2" applyFont="1" applyBorder="1" applyAlignment="1">
      <alignment horizontal="center"/>
    </xf>
    <xf numFmtId="2" fontId="24" fillId="0" borderId="45" xfId="2" applyNumberFormat="1" applyFont="1" applyBorder="1" applyAlignment="1">
      <alignment horizontal="center"/>
    </xf>
    <xf numFmtId="2" fontId="24" fillId="0" borderId="39" xfId="2" applyNumberFormat="1" applyFont="1" applyBorder="1" applyAlignment="1">
      <alignment horizontal="center"/>
    </xf>
    <xf numFmtId="0" fontId="23" fillId="0" borderId="12" xfId="2" applyFont="1" applyBorder="1"/>
    <xf numFmtId="2" fontId="23" fillId="0" borderId="22" xfId="2" applyNumberFormat="1" applyFont="1" applyBorder="1" applyAlignment="1">
      <alignment horizontal="center"/>
    </xf>
    <xf numFmtId="2" fontId="23" fillId="0" borderId="13" xfId="2" applyNumberFormat="1" applyFont="1" applyBorder="1" applyAlignment="1">
      <alignment horizontal="center"/>
    </xf>
    <xf numFmtId="0" fontId="24" fillId="0" borderId="0" xfId="2" applyFont="1"/>
    <xf numFmtId="0" fontId="22" fillId="3" borderId="0" xfId="2" applyFont="1" applyFill="1" applyBorder="1" applyAlignment="1">
      <alignment horizontal="center"/>
    </xf>
    <xf numFmtId="0" fontId="23" fillId="0" borderId="22" xfId="2" applyFont="1" applyBorder="1" applyAlignment="1">
      <alignment horizontal="center"/>
    </xf>
    <xf numFmtId="0" fontId="23" fillId="0" borderId="13" xfId="2" applyFont="1" applyBorder="1" applyAlignment="1">
      <alignment horizontal="center"/>
    </xf>
    <xf numFmtId="2" fontId="24" fillId="0" borderId="24" xfId="2" applyNumberFormat="1" applyFont="1" applyBorder="1" applyAlignment="1">
      <alignment horizontal="center"/>
    </xf>
    <xf numFmtId="2" fontId="24" fillId="0" borderId="25" xfId="2" applyNumberFormat="1" applyFont="1" applyBorder="1" applyAlignment="1">
      <alignment horizontal="center"/>
    </xf>
    <xf numFmtId="2" fontId="23" fillId="0" borderId="24" xfId="2" applyNumberFormat="1" applyFont="1" applyBorder="1" applyAlignment="1">
      <alignment horizontal="center"/>
    </xf>
    <xf numFmtId="2" fontId="24" fillId="0" borderId="27" xfId="2" applyNumberFormat="1" applyFont="1" applyBorder="1" applyAlignment="1">
      <alignment horizontal="center"/>
    </xf>
    <xf numFmtId="2" fontId="24" fillId="0" borderId="6" xfId="2" applyNumberFormat="1" applyFont="1" applyBorder="1" applyAlignment="1">
      <alignment horizontal="center"/>
    </xf>
    <xf numFmtId="2" fontId="23" fillId="0" borderId="27" xfId="2" applyNumberFormat="1" applyFont="1" applyBorder="1" applyAlignment="1">
      <alignment horizontal="center"/>
    </xf>
    <xf numFmtId="2" fontId="24" fillId="0" borderId="40" xfId="2" applyNumberFormat="1" applyFont="1" applyBorder="1" applyAlignment="1">
      <alignment horizontal="center"/>
    </xf>
    <xf numFmtId="2" fontId="24" fillId="0" borderId="41" xfId="2" applyNumberFormat="1" applyFont="1" applyBorder="1" applyAlignment="1">
      <alignment horizontal="center"/>
    </xf>
    <xf numFmtId="0" fontId="24" fillId="0" borderId="15" xfId="2" applyFont="1" applyBorder="1"/>
    <xf numFmtId="0" fontId="24" fillId="8" borderId="15" xfId="2" applyNumberFormat="1" applyFont="1" applyFill="1" applyBorder="1" applyAlignment="1">
      <alignment wrapText="1"/>
    </xf>
    <xf numFmtId="0" fontId="24" fillId="9" borderId="15" xfId="2" applyFont="1" applyFill="1" applyBorder="1" applyAlignment="1">
      <alignment wrapText="1"/>
    </xf>
    <xf numFmtId="0" fontId="24" fillId="9" borderId="15" xfId="2" applyFont="1" applyFill="1" applyBorder="1"/>
    <xf numFmtId="0" fontId="24" fillId="0" borderId="16" xfId="2" applyFont="1" applyBorder="1"/>
    <xf numFmtId="0" fontId="24" fillId="0" borderId="17" xfId="2" applyFont="1" applyBorder="1"/>
    <xf numFmtId="2" fontId="25" fillId="8" borderId="15" xfId="4" applyNumberFormat="1" applyFont="1" applyFill="1" applyBorder="1"/>
    <xf numFmtId="2" fontId="24" fillId="8" borderId="15" xfId="2" applyNumberFormat="1" applyFont="1" applyFill="1" applyBorder="1"/>
    <xf numFmtId="2" fontId="24" fillId="9" borderId="15" xfId="2" applyNumberFormat="1" applyFont="1" applyFill="1" applyBorder="1"/>
    <xf numFmtId="0" fontId="24" fillId="0" borderId="19" xfId="2" applyFont="1" applyBorder="1"/>
    <xf numFmtId="0" fontId="24" fillId="0" borderId="28" xfId="2" applyFont="1" applyBorder="1"/>
    <xf numFmtId="0" fontId="24" fillId="0" borderId="29" xfId="2" applyFont="1" applyBorder="1"/>
    <xf numFmtId="2" fontId="25" fillId="8" borderId="30" xfId="4" applyNumberFormat="1" applyFont="1" applyFill="1" applyBorder="1"/>
    <xf numFmtId="0" fontId="24" fillId="0" borderId="30" xfId="2" applyFont="1" applyBorder="1"/>
    <xf numFmtId="2" fontId="24" fillId="8" borderId="30" xfId="2" applyNumberFormat="1" applyFont="1" applyFill="1" applyBorder="1"/>
    <xf numFmtId="0" fontId="24" fillId="0" borderId="22" xfId="2" applyFont="1" applyBorder="1"/>
    <xf numFmtId="0" fontId="24" fillId="0" borderId="31" xfId="2" applyFont="1" applyBorder="1"/>
    <xf numFmtId="2" fontId="25" fillId="8" borderId="32" xfId="4" applyNumberFormat="1" applyFont="1" applyFill="1" applyBorder="1"/>
    <xf numFmtId="0" fontId="24" fillId="0" borderId="32" xfId="2" applyFont="1" applyBorder="1"/>
    <xf numFmtId="2" fontId="24" fillId="8" borderId="32" xfId="2" applyNumberFormat="1" applyFont="1" applyFill="1" applyBorder="1"/>
    <xf numFmtId="2" fontId="24" fillId="9" borderId="32" xfId="2" applyNumberFormat="1" applyFont="1" applyFill="1" applyBorder="1"/>
    <xf numFmtId="2" fontId="24" fillId="9" borderId="33" xfId="2" applyNumberFormat="1" applyFont="1" applyFill="1" applyBorder="1"/>
    <xf numFmtId="0" fontId="26" fillId="0" borderId="0" xfId="0" applyFont="1"/>
    <xf numFmtId="0" fontId="21" fillId="2" borderId="1" xfId="0" applyFont="1" applyFill="1" applyBorder="1" applyAlignment="1">
      <alignment wrapText="1"/>
    </xf>
    <xf numFmtId="0" fontId="21" fillId="2" borderId="1" xfId="0" applyFont="1" applyFill="1" applyBorder="1" applyAlignment="1">
      <alignment horizontal="right"/>
    </xf>
    <xf numFmtId="0" fontId="21" fillId="3" borderId="5" xfId="0" applyFont="1" applyFill="1" applyBorder="1" applyAlignment="1">
      <alignment horizontal="left" vertical="top" wrapText="1"/>
    </xf>
    <xf numFmtId="0" fontId="21" fillId="0" borderId="5" xfId="0" applyFont="1" applyBorder="1" applyAlignment="1">
      <alignment horizontal="right"/>
    </xf>
    <xf numFmtId="0" fontId="21" fillId="2" borderId="5" xfId="0" applyFont="1" applyFill="1" applyBorder="1" applyAlignment="1">
      <alignment horizontal="left" vertical="top" wrapText="1"/>
    </xf>
    <xf numFmtId="0" fontId="21" fillId="2" borderId="5" xfId="0" applyFont="1" applyFill="1" applyBorder="1" applyAlignment="1">
      <alignment horizontal="right"/>
    </xf>
    <xf numFmtId="0" fontId="21" fillId="3"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21" fillId="0" borderId="1" xfId="0" applyFont="1" applyBorder="1" applyAlignment="1">
      <alignment horizontal="right"/>
    </xf>
    <xf numFmtId="0" fontId="21" fillId="4" borderId="5" xfId="0" applyFont="1" applyFill="1" applyBorder="1" applyAlignment="1">
      <alignment horizontal="left" vertical="top" wrapText="1"/>
    </xf>
    <xf numFmtId="0" fontId="21" fillId="4" borderId="5" xfId="0" applyFont="1" applyFill="1" applyBorder="1" applyAlignment="1">
      <alignment horizontal="right"/>
    </xf>
    <xf numFmtId="0" fontId="21" fillId="4" borderId="1" xfId="0" applyFont="1" applyFill="1" applyBorder="1" applyAlignment="1">
      <alignment horizontal="right"/>
    </xf>
    <xf numFmtId="0" fontId="21" fillId="4" borderId="1" xfId="0" applyFont="1" applyFill="1" applyBorder="1" applyAlignment="1">
      <alignment horizontal="left" vertical="top" wrapText="1"/>
    </xf>
    <xf numFmtId="0" fontId="23" fillId="0" borderId="0" xfId="2" applyFont="1"/>
    <xf numFmtId="0" fontId="1" fillId="4" borderId="0" xfId="0" applyFont="1" applyFill="1" applyBorder="1" applyAlignment="1">
      <alignment horizontal="right" vertical="center"/>
    </xf>
    <xf numFmtId="0" fontId="1" fillId="4" borderId="0" xfId="0" applyFont="1" applyFill="1" applyBorder="1" applyAlignment="1">
      <alignment horizontal="right"/>
    </xf>
    <xf numFmtId="0" fontId="1" fillId="4" borderId="0" xfId="0" applyFont="1" applyFill="1" applyBorder="1" applyAlignment="1">
      <alignment horizontal="right" vertical="top"/>
    </xf>
    <xf numFmtId="0" fontId="17" fillId="2" borderId="2" xfId="0" applyFont="1" applyFill="1" applyBorder="1" applyProtection="1">
      <protection locked="0"/>
    </xf>
    <xf numFmtId="0" fontId="0" fillId="0" borderId="0" xfId="0" applyProtection="1"/>
    <xf numFmtId="0" fontId="4" fillId="0" borderId="0" xfId="0" applyFont="1" applyAlignment="1" applyProtection="1">
      <alignment horizontal="left" vertical="center"/>
    </xf>
    <xf numFmtId="0" fontId="3" fillId="0" borderId="0" xfId="0" applyFont="1" applyAlignment="1" applyProtection="1">
      <alignment horizontal="left" vertical="center"/>
    </xf>
    <xf numFmtId="0" fontId="17" fillId="2" borderId="1" xfId="0" applyFont="1" applyFill="1" applyBorder="1" applyProtection="1"/>
    <xf numFmtId="0" fontId="2" fillId="0" borderId="0" xfId="1" applyProtection="1"/>
    <xf numFmtId="0" fontId="0" fillId="3" borderId="0" xfId="0" applyFill="1" applyBorder="1" applyProtection="1"/>
    <xf numFmtId="0" fontId="0" fillId="10" borderId="0" xfId="0" applyFill="1" applyProtection="1"/>
    <xf numFmtId="0" fontId="1" fillId="10" borderId="0" xfId="0" applyFont="1" applyFill="1" applyBorder="1" applyAlignment="1" applyProtection="1">
      <alignment horizontal="right" vertical="center"/>
    </xf>
    <xf numFmtId="0" fontId="15" fillId="10" borderId="0" xfId="0" applyFont="1" applyFill="1" applyBorder="1" applyProtection="1"/>
    <xf numFmtId="0" fontId="0" fillId="10" borderId="47" xfId="0" applyFill="1" applyBorder="1" applyProtection="1"/>
    <xf numFmtId="0" fontId="1" fillId="10" borderId="0" xfId="0" applyFont="1" applyFill="1" applyBorder="1" applyAlignment="1" applyProtection="1">
      <alignment horizontal="right"/>
    </xf>
    <xf numFmtId="0" fontId="1" fillId="10" borderId="0" xfId="0" applyFont="1" applyFill="1" applyBorder="1" applyAlignment="1" applyProtection="1">
      <alignment horizontal="right" vertical="top"/>
    </xf>
    <xf numFmtId="0" fontId="0" fillId="0" borderId="0" xfId="0" applyAlignment="1" applyProtection="1">
      <alignment horizontal="left"/>
    </xf>
    <xf numFmtId="0" fontId="17" fillId="2" borderId="1" xfId="0" applyFont="1" applyFill="1" applyBorder="1" applyAlignment="1" applyProtection="1">
      <alignment horizontal="center"/>
    </xf>
    <xf numFmtId="0" fontId="17" fillId="2" borderId="3" xfId="0" applyFont="1" applyFill="1" applyBorder="1" applyAlignment="1" applyProtection="1"/>
    <xf numFmtId="0" fontId="17" fillId="0" borderId="1" xfId="0" applyFont="1" applyBorder="1" applyAlignment="1" applyProtection="1">
      <alignment horizontal="center"/>
    </xf>
    <xf numFmtId="0" fontId="5" fillId="0" borderId="0" xfId="0" applyFont="1" applyProtection="1"/>
    <xf numFmtId="0" fontId="17" fillId="0" borderId="0" xfId="0" applyFont="1" applyProtection="1"/>
    <xf numFmtId="0" fontId="17" fillId="0" borderId="0" xfId="0" applyFont="1" applyBorder="1" applyAlignment="1" applyProtection="1">
      <alignment horizontal="center"/>
    </xf>
    <xf numFmtId="0" fontId="17" fillId="3" borderId="1" xfId="0" applyFont="1" applyFill="1" applyBorder="1" applyAlignment="1" applyProtection="1">
      <alignment wrapText="1"/>
    </xf>
    <xf numFmtId="0" fontId="0" fillId="3" borderId="0" xfId="0" applyFill="1" applyProtection="1"/>
    <xf numFmtId="0" fontId="2" fillId="0" borderId="10" xfId="1" applyBorder="1" applyAlignment="1" applyProtection="1">
      <alignment horizontal="left" vertical="top" wrapText="1"/>
    </xf>
    <xf numFmtId="0" fontId="5" fillId="2" borderId="1" xfId="0" applyFont="1" applyFill="1" applyBorder="1" applyProtection="1"/>
    <xf numFmtId="0" fontId="2" fillId="0" borderId="0" xfId="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Alignment="1" applyProtection="1">
      <alignment horizontal="right"/>
    </xf>
    <xf numFmtId="0" fontId="17" fillId="2" borderId="1" xfId="0" applyFont="1" applyFill="1" applyBorder="1" applyAlignment="1" applyProtection="1">
      <alignment horizontal="left" indent="2"/>
    </xf>
    <xf numFmtId="0" fontId="17" fillId="3" borderId="1" xfId="0" applyFont="1" applyFill="1" applyBorder="1" applyAlignment="1" applyProtection="1">
      <alignment horizontal="left"/>
    </xf>
    <xf numFmtId="0" fontId="17" fillId="3" borderId="7" xfId="0" applyFont="1" applyFill="1" applyBorder="1" applyProtection="1"/>
    <xf numFmtId="0" fontId="17" fillId="3" borderId="0" xfId="0" applyFont="1" applyFill="1" applyBorder="1" applyProtection="1"/>
    <xf numFmtId="0" fontId="17" fillId="0" borderId="1" xfId="0" applyFont="1" applyBorder="1" applyAlignment="1" applyProtection="1">
      <alignment horizontal="left"/>
    </xf>
    <xf numFmtId="0" fontId="17" fillId="3" borderId="10" xfId="0" applyFont="1" applyFill="1" applyBorder="1" applyAlignment="1" applyProtection="1">
      <alignment horizontal="center" vertical="top" wrapText="1"/>
    </xf>
    <xf numFmtId="0" fontId="17" fillId="3" borderId="0" xfId="0" applyFont="1" applyFill="1" applyBorder="1" applyAlignment="1" applyProtection="1">
      <alignment horizontal="center" vertical="top" wrapText="1"/>
    </xf>
    <xf numFmtId="0" fontId="17" fillId="3" borderId="0" xfId="0" applyFont="1" applyFill="1" applyBorder="1" applyAlignment="1" applyProtection="1">
      <alignment wrapText="1"/>
    </xf>
    <xf numFmtId="0" fontId="20" fillId="0" borderId="0" xfId="1" applyFont="1" applyBorder="1" applyAlignment="1" applyProtection="1">
      <alignment horizontal="left" vertical="top" wrapText="1" indent="1"/>
    </xf>
    <xf numFmtId="0" fontId="5" fillId="3" borderId="0" xfId="0" applyFont="1" applyFill="1" applyBorder="1" applyAlignment="1" applyProtection="1">
      <alignment horizontal="right"/>
    </xf>
    <xf numFmtId="0" fontId="17" fillId="10" borderId="0" xfId="0" applyFont="1" applyFill="1" applyProtection="1"/>
    <xf numFmtId="0" fontId="24" fillId="0" borderId="38" xfId="2" applyFont="1" applyBorder="1"/>
    <xf numFmtId="0" fontId="24" fillId="0" borderId="26" xfId="2" applyFont="1" applyBorder="1"/>
    <xf numFmtId="0" fontId="24" fillId="0" borderId="46" xfId="2" applyFont="1" applyBorder="1"/>
    <xf numFmtId="0" fontId="8" fillId="0" borderId="0" xfId="2" applyAlignment="1">
      <alignment vertical="center"/>
    </xf>
    <xf numFmtId="164" fontId="17" fillId="11" borderId="1" xfId="0" applyNumberFormat="1" applyFont="1" applyFill="1" applyBorder="1" applyAlignment="1" applyProtection="1">
      <alignment horizontal="left"/>
      <protection locked="0"/>
    </xf>
    <xf numFmtId="0" fontId="19" fillId="11" borderId="1" xfId="1" applyFont="1" applyFill="1" applyBorder="1" applyAlignment="1" applyProtection="1">
      <protection locked="0"/>
    </xf>
    <xf numFmtId="0" fontId="8" fillId="0" borderId="0" xfId="2" applyAlignment="1">
      <alignment vertical="top"/>
    </xf>
    <xf numFmtId="0" fontId="0" fillId="10" borderId="47" xfId="0" applyFill="1" applyBorder="1" applyAlignment="1"/>
    <xf numFmtId="2" fontId="23" fillId="0" borderId="44" xfId="2" applyNumberFormat="1" applyFont="1" applyBorder="1" applyAlignment="1">
      <alignment horizontal="center"/>
    </xf>
    <xf numFmtId="0" fontId="0" fillId="0" borderId="0" xfId="0" applyAlignment="1">
      <alignment vertical="center"/>
    </xf>
    <xf numFmtId="0" fontId="0" fillId="10" borderId="0" xfId="0" applyFill="1" applyBorder="1" applyAlignment="1" applyProtection="1">
      <alignment horizontal="left"/>
    </xf>
    <xf numFmtId="0" fontId="0" fillId="10" borderId="47" xfId="0" applyFill="1" applyBorder="1" applyAlignment="1" applyProtection="1">
      <alignment horizontal="center"/>
    </xf>
    <xf numFmtId="0" fontId="3" fillId="0" borderId="0" xfId="0" applyFont="1" applyAlignment="1" applyProtection="1">
      <alignment horizontal="left" vertical="center"/>
    </xf>
    <xf numFmtId="0" fontId="0" fillId="10" borderId="0" xfId="0" applyFill="1" applyBorder="1" applyAlignment="1" applyProtection="1">
      <alignment horizontal="left" vertical="top"/>
    </xf>
    <xf numFmtId="0" fontId="2" fillId="10" borderId="0" xfId="1" applyFill="1" applyBorder="1" applyAlignment="1" applyProtection="1">
      <alignment horizontal="left"/>
    </xf>
    <xf numFmtId="0" fontId="16" fillId="10" borderId="0" xfId="1" applyFont="1" applyFill="1" applyBorder="1" applyAlignment="1" applyProtection="1">
      <alignment horizontal="left"/>
    </xf>
    <xf numFmtId="49" fontId="0" fillId="10" borderId="0" xfId="0" applyNumberFormat="1" applyFill="1" applyBorder="1" applyAlignment="1" applyProtection="1">
      <alignment horizontal="left" wrapText="1"/>
    </xf>
    <xf numFmtId="0" fontId="5" fillId="6" borderId="7" xfId="0" applyFont="1" applyFill="1" applyBorder="1" applyAlignment="1" applyProtection="1">
      <alignment horizontal="left" vertical="top" wrapText="1"/>
    </xf>
    <xf numFmtId="0" fontId="5" fillId="6" borderId="0" xfId="0" applyFont="1" applyFill="1" applyBorder="1" applyAlignment="1" applyProtection="1">
      <alignment horizontal="left" vertical="top" wrapText="1"/>
    </xf>
    <xf numFmtId="0" fontId="20" fillId="0" borderId="9" xfId="1" applyFont="1" applyBorder="1" applyAlignment="1" applyProtection="1">
      <alignment horizontal="left" vertical="top" wrapText="1" indent="1"/>
    </xf>
    <xf numFmtId="0" fontId="20" fillId="0" borderId="2" xfId="1" applyFont="1" applyBorder="1" applyAlignment="1" applyProtection="1">
      <alignment horizontal="left" vertical="top" wrapText="1" indent="1"/>
    </xf>
    <xf numFmtId="0" fontId="5" fillId="6" borderId="10" xfId="0" applyFont="1" applyFill="1" applyBorder="1" applyAlignment="1" applyProtection="1">
      <alignment horizontal="left" vertical="top" wrapText="1"/>
    </xf>
    <xf numFmtId="0" fontId="20" fillId="0" borderId="10" xfId="1" applyFont="1" applyBorder="1" applyAlignment="1" applyProtection="1">
      <alignment horizontal="left" vertical="top" wrapText="1" indent="1"/>
    </xf>
    <xf numFmtId="0" fontId="20" fillId="0" borderId="11" xfId="1" applyFont="1" applyBorder="1" applyAlignment="1" applyProtection="1">
      <alignment horizontal="left" vertical="top" wrapText="1" indent="1"/>
    </xf>
    <xf numFmtId="0" fontId="5" fillId="6" borderId="7" xfId="0" applyFont="1" applyFill="1" applyBorder="1" applyAlignment="1" applyProtection="1">
      <alignment horizontal="left" wrapText="1"/>
    </xf>
    <xf numFmtId="0" fontId="5" fillId="6" borderId="0" xfId="0" applyFont="1" applyFill="1" applyBorder="1" applyAlignment="1" applyProtection="1">
      <alignment horizontal="left" wrapText="1"/>
    </xf>
    <xf numFmtId="0" fontId="2" fillId="3" borderId="0" xfId="1" applyFill="1" applyBorder="1" applyAlignment="1" applyProtection="1">
      <alignment horizontal="center" vertical="top" wrapText="1"/>
    </xf>
    <xf numFmtId="0" fontId="0" fillId="10" borderId="0" xfId="0" applyFill="1" applyBorder="1" applyAlignment="1">
      <alignment horizontal="left"/>
    </xf>
    <xf numFmtId="0" fontId="3" fillId="0" borderId="0" xfId="0" applyFont="1" applyAlignment="1">
      <alignment horizontal="left" vertical="center"/>
    </xf>
    <xf numFmtId="0" fontId="0" fillId="10" borderId="0" xfId="0" applyFill="1" applyBorder="1" applyAlignment="1">
      <alignment horizontal="left" vertical="top"/>
    </xf>
    <xf numFmtId="0" fontId="2" fillId="10" borderId="0" xfId="1" applyFill="1" applyBorder="1" applyAlignment="1">
      <alignment horizontal="left"/>
    </xf>
    <xf numFmtId="0" fontId="16" fillId="10" borderId="0" xfId="1" applyFont="1" applyFill="1" applyBorder="1" applyAlignment="1">
      <alignment horizontal="left"/>
    </xf>
    <xf numFmtId="49" fontId="0" fillId="10" borderId="0" xfId="0" applyNumberFormat="1" applyFill="1" applyBorder="1" applyAlignment="1">
      <alignment horizontal="left" wrapText="1"/>
    </xf>
    <xf numFmtId="0" fontId="0" fillId="10" borderId="47" xfId="0" applyFill="1" applyBorder="1" applyAlignment="1">
      <alignment horizontal="center"/>
    </xf>
    <xf numFmtId="0" fontId="0" fillId="4" borderId="47" xfId="0" applyFill="1" applyBorder="1" applyAlignment="1">
      <alignment horizontal="center"/>
    </xf>
    <xf numFmtId="0" fontId="0" fillId="4" borderId="0" xfId="0" applyFill="1" applyBorder="1" applyAlignment="1">
      <alignment horizontal="left" vertical="top"/>
    </xf>
    <xf numFmtId="0" fontId="2" fillId="4" borderId="0" xfId="1" applyFill="1" applyBorder="1" applyAlignment="1">
      <alignment horizontal="left"/>
    </xf>
    <xf numFmtId="0" fontId="16" fillId="4" borderId="0" xfId="1" applyFont="1" applyFill="1" applyBorder="1" applyAlignment="1">
      <alignment horizontal="left"/>
    </xf>
    <xf numFmtId="49" fontId="0" fillId="4" borderId="0" xfId="0" applyNumberFormat="1" applyFill="1" applyBorder="1" applyAlignment="1">
      <alignment horizontal="left" wrapText="1"/>
    </xf>
    <xf numFmtId="0" fontId="0" fillId="4" borderId="0" xfId="0" applyFill="1" applyBorder="1" applyAlignment="1">
      <alignment horizontal="left"/>
    </xf>
    <xf numFmtId="0" fontId="5" fillId="0" borderId="10" xfId="0" applyFont="1" applyBorder="1" applyAlignment="1">
      <alignment horizontal="center" vertical="top"/>
    </xf>
    <xf numFmtId="0" fontId="22" fillId="7" borderId="0" xfId="2" applyFont="1" applyFill="1" applyAlignment="1">
      <alignment horizontal="center"/>
    </xf>
    <xf numFmtId="0" fontId="8" fillId="0" borderId="0" xfId="2" applyAlignment="1">
      <alignment horizontal="left" vertical="center" wrapText="1"/>
    </xf>
    <xf numFmtId="0" fontId="24" fillId="0" borderId="43" xfId="2" applyFont="1" applyBorder="1" applyAlignment="1">
      <alignment horizontal="left"/>
    </xf>
    <xf numFmtId="0" fontId="24" fillId="0" borderId="37" xfId="2" applyFont="1" applyBorder="1" applyAlignment="1">
      <alignment horizontal="left"/>
    </xf>
    <xf numFmtId="0" fontId="23" fillId="0" borderId="20" xfId="2" applyFont="1" applyBorder="1" applyAlignment="1">
      <alignment horizontal="center"/>
    </xf>
    <xf numFmtId="0" fontId="23" fillId="0" borderId="21" xfId="2" applyFont="1" applyBorder="1" applyAlignment="1">
      <alignment horizontal="center"/>
    </xf>
    <xf numFmtId="0" fontId="23" fillId="0" borderId="12" xfId="2" applyFont="1" applyBorder="1" applyAlignment="1">
      <alignment horizontal="center"/>
    </xf>
    <xf numFmtId="0" fontId="23" fillId="0" borderId="14" xfId="2" applyFont="1" applyBorder="1" applyAlignment="1">
      <alignment horizontal="center"/>
    </xf>
    <xf numFmtId="0" fontId="24" fillId="0" borderId="26" xfId="2" applyFont="1" applyBorder="1" applyAlignment="1">
      <alignment horizontal="left"/>
    </xf>
    <xf numFmtId="0" fontId="24" fillId="0" borderId="42" xfId="2" applyFont="1" applyBorder="1" applyAlignment="1">
      <alignment horizontal="left"/>
    </xf>
    <xf numFmtId="0" fontId="24" fillId="0" borderId="3" xfId="2" applyFont="1" applyBorder="1" applyAlignment="1">
      <alignment horizontal="left"/>
    </xf>
    <xf numFmtId="0" fontId="24" fillId="0" borderId="38" xfId="2" applyFont="1" applyBorder="1" applyAlignment="1">
      <alignment horizontal="left"/>
    </xf>
    <xf numFmtId="0" fontId="24" fillId="0" borderId="39" xfId="2" applyFont="1" applyBorder="1" applyAlignment="1">
      <alignment horizontal="left"/>
    </xf>
    <xf numFmtId="0" fontId="23" fillId="0" borderId="34" xfId="2" applyFont="1" applyBorder="1" applyAlignment="1">
      <alignment horizontal="center"/>
    </xf>
    <xf numFmtId="0" fontId="23" fillId="0" borderId="35" xfId="2" applyFont="1" applyBorder="1" applyAlignment="1">
      <alignment horizontal="center"/>
    </xf>
    <xf numFmtId="0" fontId="22" fillId="7" borderId="12" xfId="2" applyFont="1" applyFill="1" applyBorder="1" applyAlignment="1">
      <alignment horizontal="center"/>
    </xf>
    <xf numFmtId="0" fontId="22" fillId="7" borderId="13" xfId="2" applyFont="1" applyFill="1" applyBorder="1" applyAlignment="1">
      <alignment horizontal="center"/>
    </xf>
    <xf numFmtId="0" fontId="22" fillId="7" borderId="14" xfId="2" applyFont="1" applyFill="1" applyBorder="1" applyAlignment="1">
      <alignment horizontal="center"/>
    </xf>
    <xf numFmtId="0" fontId="22" fillId="7" borderId="18" xfId="2" applyFont="1" applyFill="1" applyBorder="1" applyAlignment="1">
      <alignment horizontal="center"/>
    </xf>
    <xf numFmtId="0" fontId="24" fillId="0" borderId="23" xfId="2" applyFont="1" applyBorder="1" applyAlignment="1">
      <alignment horizontal="left"/>
    </xf>
    <xf numFmtId="0" fontId="24" fillId="0" borderId="8" xfId="2" applyFont="1" applyBorder="1" applyAlignment="1">
      <alignment horizontal="left"/>
    </xf>
    <xf numFmtId="0" fontId="2" fillId="0" borderId="1" xfId="1" applyBorder="1" applyProtection="1">
      <protection locked="0"/>
    </xf>
  </cellXfs>
  <cellStyles count="5">
    <cellStyle name="Hipervínculo" xfId="1" builtinId="8"/>
    <cellStyle name="Millares 2" xfId="3"/>
    <cellStyle name="Millares 3" xfId="4"/>
    <cellStyle name="Normal" xfId="0" builtinId="0"/>
    <cellStyle name="Normal 2" xfId="2"/>
  </cellStyles>
  <dxfs count="377">
    <dxf>
      <fill>
        <patternFill>
          <bgColor rgb="FFFFFF00"/>
        </patternFill>
      </fill>
    </dxf>
    <dxf>
      <fill>
        <patternFill>
          <bgColor rgb="FFFF0000"/>
        </patternFill>
      </fill>
    </dxf>
    <dxf>
      <fill>
        <patternFill>
          <bgColor rgb="FF92D05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Medium9"/>
  <colors>
    <mruColors>
      <color rgb="FFD1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s-ES" sz="2400"/>
              <a:t>Nivel de adecuación A</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extLst>
              <c:ext xmlns:c16="http://schemas.microsoft.com/office/drawing/2014/chart" uri="{C3380CC4-5D6E-409C-BE32-E72D297353CC}">
                <c16:uniqueId val="{00000001-942B-44A0-8E8F-17095B0B91C9}"/>
              </c:ext>
            </c:extLst>
          </c:dPt>
          <c:dPt>
            <c:idx val="1"/>
            <c:bubble3D val="0"/>
            <c:spPr>
              <a:solidFill>
                <a:srgbClr val="FF0000"/>
              </a:solidFill>
            </c:spPr>
            <c:extLst>
              <c:ext xmlns:c16="http://schemas.microsoft.com/office/drawing/2014/chart" uri="{C3380CC4-5D6E-409C-BE32-E72D297353CC}">
                <c16:uniqueId val="{00000003-942B-44A0-8E8F-17095B0B91C9}"/>
              </c:ext>
            </c:extLst>
          </c:dPt>
          <c:dLbls>
            <c:spPr>
              <a:noFill/>
              <a:ln>
                <a:noFill/>
              </a:ln>
              <a:effectLst/>
            </c:spPr>
            <c:txPr>
              <a:bodyPr/>
              <a:lstStyle/>
              <a:p>
                <a:pPr>
                  <a:defRPr sz="1800"/>
                </a:pPr>
                <a:endParaRPr lang="es-CO"/>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'3.1 Gráficas y estadísticas A'!$C$10:$C$11</c:f>
              <c:strCache>
                <c:ptCount val="2"/>
                <c:pt idx="0">
                  <c:v>% cumplimiento A</c:v>
                </c:pt>
                <c:pt idx="1">
                  <c:v>% incumplimiento A</c:v>
                </c:pt>
              </c:strCache>
            </c:strRef>
          </c:cat>
          <c:val>
            <c:numRef>
              <c:f>'3.1 Gráficas y estadísticas A'!$E$10:$E$11</c:f>
              <c:numCache>
                <c:formatCode>0.00</c:formatCode>
                <c:ptCount val="2"/>
                <c:pt idx="0">
                  <c:v>0</c:v>
                </c:pt>
                <c:pt idx="1">
                  <c:v>0</c:v>
                </c:pt>
              </c:numCache>
            </c:numRef>
          </c:val>
          <c:extLst>
            <c:ext xmlns:c16="http://schemas.microsoft.com/office/drawing/2014/chart" uri="{C3380CC4-5D6E-409C-BE32-E72D297353CC}">
              <c16:uniqueId val="{00000004-942B-44A0-8E8F-17095B0B91C9}"/>
            </c:ext>
          </c:extLst>
        </c:ser>
        <c:dLbls>
          <c:showLegendKey val="0"/>
          <c:showVal val="0"/>
          <c:showCatName val="0"/>
          <c:showSerName val="0"/>
          <c:showPercent val="1"/>
          <c:showBubbleSize val="0"/>
          <c:showLeaderLines val="1"/>
        </c:dLbls>
      </c:pie3DChart>
    </c:plotArea>
    <c:legend>
      <c:legendPos val="t"/>
      <c:layout/>
      <c:overlay val="0"/>
      <c:txPr>
        <a:bodyPr/>
        <a:lstStyle/>
        <a:p>
          <a:pPr>
            <a:defRPr sz="1400"/>
          </a:pPr>
          <a:endParaRPr lang="es-CO"/>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a:t>% Promedio Cumplimiento por Principio</a:t>
            </a:r>
          </a:p>
        </c:rich>
      </c:tx>
      <c:layout/>
      <c:overlay val="0"/>
    </c:title>
    <c:autoTitleDeleted val="0"/>
    <c:plotArea>
      <c:layout/>
      <c:barChart>
        <c:barDir val="col"/>
        <c:grouping val="clustered"/>
        <c:varyColors val="0"/>
        <c:ser>
          <c:idx val="0"/>
          <c:order val="0"/>
          <c:invertIfNegative val="0"/>
          <c:dPt>
            <c:idx val="0"/>
            <c:invertIfNegative val="0"/>
            <c:bubble3D val="0"/>
            <c:extLst>
              <c:ext xmlns:c16="http://schemas.microsoft.com/office/drawing/2014/chart" uri="{C3380CC4-5D6E-409C-BE32-E72D297353CC}">
                <c16:uniqueId val="{00000000-6F18-4400-9103-42DBCD4A89BF}"/>
              </c:ext>
            </c:extLst>
          </c:dPt>
          <c:dPt>
            <c:idx val="1"/>
            <c:invertIfNegative val="0"/>
            <c:bubble3D val="0"/>
            <c:extLst>
              <c:ext xmlns:c16="http://schemas.microsoft.com/office/drawing/2014/chart" uri="{C3380CC4-5D6E-409C-BE32-E72D297353CC}">
                <c16:uniqueId val="{00000001-6F18-4400-9103-42DBCD4A89BF}"/>
              </c:ext>
            </c:extLst>
          </c:dPt>
          <c:dPt>
            <c:idx val="2"/>
            <c:invertIfNegative val="0"/>
            <c:bubble3D val="0"/>
            <c:extLst>
              <c:ext xmlns:c16="http://schemas.microsoft.com/office/drawing/2014/chart" uri="{C3380CC4-5D6E-409C-BE32-E72D297353CC}">
                <c16:uniqueId val="{00000002-6F18-4400-9103-42DBCD4A89BF}"/>
              </c:ext>
            </c:extLst>
          </c:dPt>
          <c:dPt>
            <c:idx val="3"/>
            <c:invertIfNegative val="0"/>
            <c:bubble3D val="0"/>
            <c:extLst>
              <c:ext xmlns:c16="http://schemas.microsoft.com/office/drawing/2014/chart" uri="{C3380CC4-5D6E-409C-BE32-E72D297353CC}">
                <c16:uniqueId val="{00000003-6F18-4400-9103-42DBCD4A89BF}"/>
              </c:ext>
            </c:extLst>
          </c:dPt>
          <c:dLbls>
            <c:spPr>
              <a:noFill/>
              <a:ln>
                <a:noFill/>
              </a:ln>
              <a:effectLst/>
            </c:spPr>
            <c:txPr>
              <a:bodyPr/>
              <a:lstStyle/>
              <a:p>
                <a:pPr>
                  <a:defRPr sz="1800" b="1"/>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'6. Resultados x principio'!$P$6:$S$6</c:f>
              <c:strCache>
                <c:ptCount val="4"/>
                <c:pt idx="0">
                  <c:v>Perceptible</c:v>
                </c:pt>
                <c:pt idx="1">
                  <c:v>Operable</c:v>
                </c:pt>
                <c:pt idx="2">
                  <c:v>Comprensible</c:v>
                </c:pt>
                <c:pt idx="3">
                  <c:v>Robusto</c:v>
                </c:pt>
              </c:strCache>
            </c:strRef>
          </c:cat>
          <c:val>
            <c:numRef>
              <c:f>'6. Resultados x principio'!$E$23:$H$23</c:f>
              <c:numCache>
                <c:formatCode>0.00</c:formatCode>
                <c:ptCount val="4"/>
                <c:pt idx="0">
                  <c:v>75</c:v>
                </c:pt>
                <c:pt idx="1">
                  <c:v>62.5</c:v>
                </c:pt>
                <c:pt idx="2">
                  <c:v>100</c:v>
                </c:pt>
                <c:pt idx="3">
                  <c:v>100</c:v>
                </c:pt>
              </c:numCache>
            </c:numRef>
          </c:val>
          <c:extLst>
            <c:ext xmlns:c16="http://schemas.microsoft.com/office/drawing/2014/chart" uri="{C3380CC4-5D6E-409C-BE32-E72D297353CC}">
              <c16:uniqueId val="{00000004-6F18-4400-9103-42DBCD4A89BF}"/>
            </c:ext>
          </c:extLst>
        </c:ser>
        <c:dLbls>
          <c:showLegendKey val="0"/>
          <c:showVal val="0"/>
          <c:showCatName val="0"/>
          <c:showSerName val="0"/>
          <c:showPercent val="0"/>
          <c:showBubbleSize val="0"/>
        </c:dLbls>
        <c:gapWidth val="75"/>
        <c:overlap val="40"/>
        <c:axId val="87997824"/>
        <c:axId val="87999616"/>
      </c:barChart>
      <c:catAx>
        <c:axId val="87997824"/>
        <c:scaling>
          <c:orientation val="minMax"/>
        </c:scaling>
        <c:delete val="0"/>
        <c:axPos val="b"/>
        <c:numFmt formatCode="General" sourceLinked="1"/>
        <c:majorTickMark val="none"/>
        <c:minorTickMark val="none"/>
        <c:tickLblPos val="nextTo"/>
        <c:txPr>
          <a:bodyPr/>
          <a:lstStyle/>
          <a:p>
            <a:pPr>
              <a:defRPr b="1"/>
            </a:pPr>
            <a:endParaRPr lang="es-CO"/>
          </a:p>
        </c:txPr>
        <c:crossAx val="87999616"/>
        <c:crosses val="autoZero"/>
        <c:auto val="1"/>
        <c:lblAlgn val="ctr"/>
        <c:lblOffset val="100"/>
        <c:noMultiLvlLbl val="0"/>
      </c:catAx>
      <c:valAx>
        <c:axId val="87999616"/>
        <c:scaling>
          <c:orientation val="minMax"/>
        </c:scaling>
        <c:delete val="0"/>
        <c:axPos val="l"/>
        <c:majorGridlines/>
        <c:numFmt formatCode="0.00" sourceLinked="1"/>
        <c:majorTickMark val="none"/>
        <c:minorTickMark val="none"/>
        <c:tickLblPos val="nextTo"/>
        <c:txPr>
          <a:bodyPr/>
          <a:lstStyle/>
          <a:p>
            <a:pPr>
              <a:defRPr b="1"/>
            </a:pPr>
            <a:endParaRPr lang="es-CO"/>
          </a:p>
        </c:txPr>
        <c:crossAx val="8799782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del nivel 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'3.1 Gráficas y estadísticas A'!$A$18:$A$32</c:f>
              <c:strCache>
                <c:ptCount val="15"/>
                <c:pt idx="0">
                  <c:v>Inicio</c:v>
                </c:pt>
                <c:pt idx="1">
                  <c:v>login</c:v>
                </c:pt>
                <c:pt idx="2">
                  <c:v>Inicio-Dashboard</c:v>
                </c:pt>
                <c:pt idx="3">
                  <c:v>Dashboard-Usuarios</c:v>
                </c:pt>
                <c:pt idx="4">
                  <c:v>Dashboard-Servicios</c:v>
                </c:pt>
                <c:pt idx="5">
                  <c:v>Dashboard-Reservas</c:v>
                </c:pt>
                <c:pt idx="6">
                  <c:v>Dashboard-Reservas-clientes</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A'!$H$18:$H$32</c:f>
              <c:numCache>
                <c:formatCode>0.00</c:formatCode>
                <c:ptCount val="15"/>
                <c:pt idx="0">
                  <c:v>82.352941176470594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1AE-488C-B300-48B6D0C0BF29}"/>
            </c:ext>
          </c:extLst>
        </c:ser>
        <c:ser>
          <c:idx val="1"/>
          <c:order val="1"/>
          <c:tx>
            <c:v>% de incumplimiento del nivel 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'3.1 Gráficas y estadísticas A'!$A$18:$A$32</c:f>
              <c:strCache>
                <c:ptCount val="15"/>
                <c:pt idx="0">
                  <c:v>Inicio</c:v>
                </c:pt>
                <c:pt idx="1">
                  <c:v>login</c:v>
                </c:pt>
                <c:pt idx="2">
                  <c:v>Inicio-Dashboard</c:v>
                </c:pt>
                <c:pt idx="3">
                  <c:v>Dashboard-Usuarios</c:v>
                </c:pt>
                <c:pt idx="4">
                  <c:v>Dashboard-Servicios</c:v>
                </c:pt>
                <c:pt idx="5">
                  <c:v>Dashboard-Reservas</c:v>
                </c:pt>
                <c:pt idx="6">
                  <c:v>Dashboard-Reservas-clientes</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A'!$I$18:$I$32</c:f>
              <c:numCache>
                <c:formatCode>0.00</c:formatCode>
                <c:ptCount val="15"/>
                <c:pt idx="0">
                  <c:v>17.647058823529413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1AE-488C-B300-48B6D0C0BF29}"/>
            </c:ext>
          </c:extLst>
        </c:ser>
        <c:dLbls>
          <c:showLegendKey val="0"/>
          <c:showVal val="1"/>
          <c:showCatName val="0"/>
          <c:showSerName val="0"/>
          <c:showPercent val="0"/>
          <c:showBubbleSize val="0"/>
        </c:dLbls>
        <c:gapWidth val="75"/>
        <c:shape val="box"/>
        <c:axId val="84611072"/>
        <c:axId val="84612608"/>
        <c:axId val="0"/>
      </c:bar3DChart>
      <c:catAx>
        <c:axId val="84611072"/>
        <c:scaling>
          <c:orientation val="minMax"/>
        </c:scaling>
        <c:delete val="0"/>
        <c:axPos val="l"/>
        <c:numFmt formatCode="General" sourceLinked="0"/>
        <c:majorTickMark val="none"/>
        <c:minorTickMark val="none"/>
        <c:tickLblPos val="nextTo"/>
        <c:crossAx val="84612608"/>
        <c:crosses val="autoZero"/>
        <c:auto val="1"/>
        <c:lblAlgn val="ctr"/>
        <c:lblOffset val="100"/>
        <c:noMultiLvlLbl val="0"/>
      </c:catAx>
      <c:valAx>
        <c:axId val="84612608"/>
        <c:scaling>
          <c:orientation val="minMax"/>
        </c:scaling>
        <c:delete val="0"/>
        <c:axPos val="b"/>
        <c:numFmt formatCode="0.00" sourceLinked="1"/>
        <c:majorTickMark val="none"/>
        <c:minorTickMark val="none"/>
        <c:tickLblPos val="nextTo"/>
        <c:crossAx val="846110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s-ES" sz="2000"/>
              <a:t>Nivel de adecuación AA</a:t>
            </a:r>
          </a:p>
        </c:rich>
      </c:tx>
      <c:layout/>
      <c:overlay val="0"/>
    </c:title>
    <c:autoTitleDeleted val="0"/>
    <c:view3D>
      <c:rotX val="30"/>
      <c:rotY val="0"/>
      <c:rAngAx val="0"/>
    </c:view3D>
    <c:floor>
      <c:thickness val="0"/>
    </c:floor>
    <c:sideWall>
      <c:thickness val="0"/>
    </c:sideWall>
    <c:backWall>
      <c:thickness val="0"/>
    </c:backWall>
    <c:plotArea>
      <c:layout/>
      <c:pie3DChart>
        <c:varyColors val="0"/>
        <c:ser>
          <c:idx val="0"/>
          <c:order val="0"/>
          <c:dPt>
            <c:idx val="0"/>
            <c:bubble3D val="0"/>
            <c:spPr>
              <a:solidFill>
                <a:srgbClr val="00B050"/>
              </a:solidFill>
            </c:spPr>
            <c:extLst>
              <c:ext xmlns:c16="http://schemas.microsoft.com/office/drawing/2014/chart" uri="{C3380CC4-5D6E-409C-BE32-E72D297353CC}">
                <c16:uniqueId val="{00000001-B3EB-453E-A6DA-1006EA3C0D50}"/>
              </c:ext>
            </c:extLst>
          </c:dPt>
          <c:dPt>
            <c:idx val="1"/>
            <c:bubble3D val="0"/>
            <c:spPr>
              <a:solidFill>
                <a:srgbClr val="FF0000"/>
              </a:solidFill>
            </c:spPr>
            <c:extLst>
              <c:ext xmlns:c16="http://schemas.microsoft.com/office/drawing/2014/chart" uri="{C3380CC4-5D6E-409C-BE32-E72D297353CC}">
                <c16:uniqueId val="{00000003-B3EB-453E-A6DA-1006EA3C0D50}"/>
              </c:ext>
            </c:extLst>
          </c:dPt>
          <c:dLbls>
            <c:spPr>
              <a:noFill/>
              <a:ln>
                <a:noFill/>
              </a:ln>
              <a:effectLst/>
            </c:spPr>
            <c:txPr>
              <a:bodyPr/>
              <a:lstStyle/>
              <a:p>
                <a:pPr>
                  <a:defRPr sz="1600" b="1"/>
                </a:pPr>
                <a:endParaRPr lang="es-CO"/>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'4.1 Gráficas y estadísticas AA'!$C$33:$C$34</c:f>
              <c:strCache>
                <c:ptCount val="2"/>
                <c:pt idx="0">
                  <c:v>% cumplimiento A+AA</c:v>
                </c:pt>
                <c:pt idx="1">
                  <c:v>% incumplimiento A+AA</c:v>
                </c:pt>
              </c:strCache>
            </c:strRef>
          </c:cat>
          <c:val>
            <c:numRef>
              <c:f>'4.1 Gráficas y estadísticas AA'!$E$33:$E$34</c:f>
              <c:numCache>
                <c:formatCode>0.00</c:formatCode>
                <c:ptCount val="2"/>
                <c:pt idx="0">
                  <c:v>0</c:v>
                </c:pt>
                <c:pt idx="1">
                  <c:v>0</c:v>
                </c:pt>
              </c:numCache>
            </c:numRef>
          </c:val>
          <c:extLst>
            <c:ext xmlns:c16="http://schemas.microsoft.com/office/drawing/2014/chart" uri="{C3380CC4-5D6E-409C-BE32-E72D297353CC}">
              <c16:uniqueId val="{00000004-B3EB-453E-A6DA-1006EA3C0D50}"/>
            </c:ext>
          </c:extLst>
        </c:ser>
        <c:dLbls>
          <c:showLegendKey val="0"/>
          <c:showVal val="0"/>
          <c:showCatName val="0"/>
          <c:showSerName val="0"/>
          <c:showPercent val="1"/>
          <c:showBubbleSize val="0"/>
          <c:showLeaderLines val="1"/>
        </c:dLbls>
      </c:pie3DChart>
    </c:plotArea>
    <c:legend>
      <c:legendPos val="t"/>
      <c:layout/>
      <c:overlay val="0"/>
      <c:txPr>
        <a:bodyPr/>
        <a:lstStyle/>
        <a:p>
          <a:pPr>
            <a:defRPr sz="1200"/>
          </a:pPr>
          <a:endParaRPr lang="es-CO"/>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 nivel A+AA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'4.1 Gráficas y estadísticas AA'!$A$62:$A$76</c:f>
              <c:strCache>
                <c:ptCount val="15"/>
                <c:pt idx="0">
                  <c:v>Inicio</c:v>
                </c:pt>
                <c:pt idx="1">
                  <c:v>login</c:v>
                </c:pt>
                <c:pt idx="2">
                  <c:v>Inicio-Dashboard</c:v>
                </c:pt>
                <c:pt idx="3">
                  <c:v>Dashboard-Usuarios</c:v>
                </c:pt>
                <c:pt idx="4">
                  <c:v>Dashboard-Servicios</c:v>
                </c:pt>
                <c:pt idx="5">
                  <c:v>Dashboard-Reservas</c:v>
                </c:pt>
                <c:pt idx="6">
                  <c:v>Dashboard-Reservas-clientes</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AA'!$H$62:$H$76</c:f>
              <c:numCache>
                <c:formatCode>0.00</c:formatCode>
                <c:ptCount val="15"/>
                <c:pt idx="0">
                  <c:v>81.481481481481481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423-4AD3-ADEA-B97F17CB9ED1}"/>
            </c:ext>
          </c:extLst>
        </c:ser>
        <c:ser>
          <c:idx val="1"/>
          <c:order val="1"/>
          <c:tx>
            <c:v>% incumplimiento de nivel A+AA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'4.1 Gráficas y estadísticas AA'!$A$62:$A$76</c:f>
              <c:strCache>
                <c:ptCount val="15"/>
                <c:pt idx="0">
                  <c:v>Inicio</c:v>
                </c:pt>
                <c:pt idx="1">
                  <c:v>login</c:v>
                </c:pt>
                <c:pt idx="2">
                  <c:v>Inicio-Dashboard</c:v>
                </c:pt>
                <c:pt idx="3">
                  <c:v>Dashboard-Usuarios</c:v>
                </c:pt>
                <c:pt idx="4">
                  <c:v>Dashboard-Servicios</c:v>
                </c:pt>
                <c:pt idx="5">
                  <c:v>Dashboard-Reservas</c:v>
                </c:pt>
                <c:pt idx="6">
                  <c:v>Dashboard-Reservas-clientes</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AA'!$I$62:$I$76</c:f>
              <c:numCache>
                <c:formatCode>0.00</c:formatCode>
                <c:ptCount val="15"/>
                <c:pt idx="0">
                  <c:v>18.518518518518519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423-4AD3-ADEA-B97F17CB9ED1}"/>
            </c:ext>
          </c:extLst>
        </c:ser>
        <c:dLbls>
          <c:showLegendKey val="0"/>
          <c:showVal val="1"/>
          <c:showCatName val="0"/>
          <c:showSerName val="0"/>
          <c:showPercent val="0"/>
          <c:showBubbleSize val="0"/>
        </c:dLbls>
        <c:gapWidth val="75"/>
        <c:shape val="box"/>
        <c:axId val="87379328"/>
        <c:axId val="87381120"/>
        <c:axId val="0"/>
      </c:bar3DChart>
      <c:catAx>
        <c:axId val="87379328"/>
        <c:scaling>
          <c:orientation val="minMax"/>
        </c:scaling>
        <c:delete val="0"/>
        <c:axPos val="l"/>
        <c:numFmt formatCode="General" sourceLinked="0"/>
        <c:majorTickMark val="none"/>
        <c:minorTickMark val="none"/>
        <c:tickLblPos val="nextTo"/>
        <c:crossAx val="87381120"/>
        <c:crosses val="autoZero"/>
        <c:auto val="1"/>
        <c:lblAlgn val="ctr"/>
        <c:lblOffset val="100"/>
        <c:noMultiLvlLbl val="0"/>
      </c:catAx>
      <c:valAx>
        <c:axId val="87381120"/>
        <c:scaling>
          <c:orientation val="minMax"/>
        </c:scaling>
        <c:delete val="0"/>
        <c:axPos val="b"/>
        <c:numFmt formatCode="0.00" sourceLinked="1"/>
        <c:majorTickMark val="none"/>
        <c:minorTickMark val="none"/>
        <c:tickLblPos val="nextTo"/>
        <c:crossAx val="8737932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 Resultados x criterio'!$C$5</c:f>
              <c:strCache>
                <c:ptCount val="1"/>
                <c:pt idx="0">
                  <c:v>Nº páginas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criterio'!$C$6:$C$30</c:f>
              <c:numCache>
                <c:formatCode>General</c:formatCode>
                <c:ptCount val="25"/>
                <c:pt idx="0">
                  <c:v>0</c:v>
                </c:pt>
                <c:pt idx="1">
                  <c:v>0</c:v>
                </c:pt>
                <c:pt idx="2">
                  <c:v>0</c:v>
                </c:pt>
                <c:pt idx="3">
                  <c:v>0</c:v>
                </c:pt>
                <c:pt idx="4">
                  <c:v>5</c:v>
                </c:pt>
                <c:pt idx="5">
                  <c:v>6</c:v>
                </c:pt>
                <c:pt idx="6">
                  <c:v>7</c:v>
                </c:pt>
                <c:pt idx="7">
                  <c:v>5</c:v>
                </c:pt>
                <c:pt idx="8">
                  <c:v>0</c:v>
                </c:pt>
                <c:pt idx="9">
                  <c:v>0</c:v>
                </c:pt>
                <c:pt idx="10">
                  <c:v>0</c:v>
                </c:pt>
                <c:pt idx="11">
                  <c:v>0</c:v>
                </c:pt>
                <c:pt idx="12">
                  <c:v>0</c:v>
                </c:pt>
                <c:pt idx="13">
                  <c:v>0</c:v>
                </c:pt>
                <c:pt idx="14">
                  <c:v>0</c:v>
                </c:pt>
                <c:pt idx="15">
                  <c:v>7</c:v>
                </c:pt>
                <c:pt idx="16">
                  <c:v>7</c:v>
                </c:pt>
                <c:pt idx="17">
                  <c:v>7</c:v>
                </c:pt>
                <c:pt idx="18">
                  <c:v>7</c:v>
                </c:pt>
                <c:pt idx="19">
                  <c:v>7</c:v>
                </c:pt>
                <c:pt idx="20">
                  <c:v>7</c:v>
                </c:pt>
                <c:pt idx="21">
                  <c:v>7</c:v>
                </c:pt>
                <c:pt idx="22">
                  <c:v>7</c:v>
                </c:pt>
                <c:pt idx="23">
                  <c:v>7</c:v>
                </c:pt>
                <c:pt idx="24">
                  <c:v>7</c:v>
                </c:pt>
              </c:numCache>
            </c:numRef>
          </c:val>
          <c:extLst>
            <c:ext xmlns:c16="http://schemas.microsoft.com/office/drawing/2014/chart" uri="{C3380CC4-5D6E-409C-BE32-E72D297353CC}">
              <c16:uniqueId val="{00000000-2DC2-4B1A-857B-94975C0BB961}"/>
            </c:ext>
          </c:extLst>
        </c:ser>
        <c:ser>
          <c:idx val="1"/>
          <c:order val="1"/>
          <c:tx>
            <c:strRef>
              <c:f>'5. Resultados x criterio'!$D$5</c:f>
              <c:strCache>
                <c:ptCount val="1"/>
                <c:pt idx="0">
                  <c:v>Nº páginas no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criterio'!$D$6:$D$30</c:f>
              <c:numCache>
                <c:formatCode>General</c:formatCode>
                <c:ptCount val="25"/>
                <c:pt idx="0">
                  <c:v>3</c:v>
                </c:pt>
                <c:pt idx="1">
                  <c:v>0</c:v>
                </c:pt>
                <c:pt idx="2">
                  <c:v>0</c:v>
                </c:pt>
                <c:pt idx="3">
                  <c:v>0</c:v>
                </c:pt>
                <c:pt idx="4">
                  <c:v>1</c:v>
                </c:pt>
                <c:pt idx="5">
                  <c:v>0</c:v>
                </c:pt>
                <c:pt idx="6">
                  <c:v>0</c:v>
                </c:pt>
                <c:pt idx="7">
                  <c:v>2</c:v>
                </c:pt>
                <c:pt idx="8">
                  <c:v>0</c:v>
                </c:pt>
                <c:pt idx="9">
                  <c:v>7</c:v>
                </c:pt>
                <c:pt idx="10">
                  <c:v>7</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1-2DC2-4B1A-857B-94975C0BB961}"/>
            </c:ext>
          </c:extLst>
        </c:ser>
        <c:ser>
          <c:idx val="2"/>
          <c:order val="2"/>
          <c:tx>
            <c:strRef>
              <c:f>'5. Resultados x criterio'!$E$5</c:f>
              <c:strCache>
                <c:ptCount val="1"/>
                <c:pt idx="0">
                  <c:v>Nº páginas que no aplica</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criterio'!$E$6:$E$30</c:f>
              <c:numCache>
                <c:formatCode>General</c:formatCode>
                <c:ptCount val="25"/>
                <c:pt idx="0">
                  <c:v>4</c:v>
                </c:pt>
                <c:pt idx="1">
                  <c:v>7</c:v>
                </c:pt>
                <c:pt idx="2">
                  <c:v>7</c:v>
                </c:pt>
                <c:pt idx="3">
                  <c:v>7</c:v>
                </c:pt>
                <c:pt idx="4">
                  <c:v>1</c:v>
                </c:pt>
                <c:pt idx="5">
                  <c:v>1</c:v>
                </c:pt>
                <c:pt idx="6">
                  <c:v>0</c:v>
                </c:pt>
                <c:pt idx="7">
                  <c:v>0</c:v>
                </c:pt>
                <c:pt idx="8">
                  <c:v>7</c:v>
                </c:pt>
                <c:pt idx="9">
                  <c:v>0</c:v>
                </c:pt>
                <c:pt idx="10">
                  <c:v>0</c:v>
                </c:pt>
                <c:pt idx="11">
                  <c:v>7</c:v>
                </c:pt>
                <c:pt idx="12">
                  <c:v>7</c:v>
                </c:pt>
                <c:pt idx="13">
                  <c:v>7</c:v>
                </c:pt>
                <c:pt idx="14">
                  <c:v>7</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2-2DC2-4B1A-857B-94975C0BB961}"/>
            </c:ext>
          </c:extLst>
        </c:ser>
        <c:dLbls>
          <c:showLegendKey val="0"/>
          <c:showVal val="0"/>
          <c:showCatName val="0"/>
          <c:showSerName val="0"/>
          <c:showPercent val="0"/>
          <c:showBubbleSize val="0"/>
        </c:dLbls>
        <c:gapWidth val="150"/>
        <c:axId val="84822656"/>
        <c:axId val="84832640"/>
      </c:barChart>
      <c:catAx>
        <c:axId val="84822656"/>
        <c:scaling>
          <c:orientation val="minMax"/>
        </c:scaling>
        <c:delete val="0"/>
        <c:axPos val="b"/>
        <c:numFmt formatCode="General" sourceLinked="0"/>
        <c:majorTickMark val="out"/>
        <c:minorTickMark val="none"/>
        <c:tickLblPos val="nextTo"/>
        <c:crossAx val="84832640"/>
        <c:crosses val="autoZero"/>
        <c:auto val="1"/>
        <c:lblAlgn val="ctr"/>
        <c:lblOffset val="100"/>
        <c:noMultiLvlLbl val="0"/>
      </c:catAx>
      <c:valAx>
        <c:axId val="84832640"/>
        <c:scaling>
          <c:orientation val="minMax"/>
          <c:max val="15"/>
          <c:min val="0"/>
        </c:scaling>
        <c:delete val="0"/>
        <c:axPos val="l"/>
        <c:majorGridlines/>
        <c:numFmt formatCode="General" sourceLinked="1"/>
        <c:majorTickMark val="out"/>
        <c:minorTickMark val="none"/>
        <c:tickLblPos val="nextTo"/>
        <c:crossAx val="84822656"/>
        <c:crosses val="autoZero"/>
        <c:crossBetween val="between"/>
        <c:majorUnit val="1"/>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Nº páginas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criterio'!$C$31:$C$43</c:f>
              <c:numCache>
                <c:formatCode>General</c:formatCode>
                <c:ptCount val="13"/>
                <c:pt idx="0">
                  <c:v>0</c:v>
                </c:pt>
                <c:pt idx="1">
                  <c:v>0</c:v>
                </c:pt>
                <c:pt idx="2">
                  <c:v>7</c:v>
                </c:pt>
                <c:pt idx="3">
                  <c:v>0</c:v>
                </c:pt>
                <c:pt idx="4">
                  <c:v>7</c:v>
                </c:pt>
                <c:pt idx="5">
                  <c:v>0</c:v>
                </c:pt>
                <c:pt idx="6">
                  <c:v>7</c:v>
                </c:pt>
                <c:pt idx="7">
                  <c:v>7</c:v>
                </c:pt>
                <c:pt idx="8">
                  <c:v>0</c:v>
                </c:pt>
                <c:pt idx="9">
                  <c:v>7</c:v>
                </c:pt>
                <c:pt idx="10">
                  <c:v>7</c:v>
                </c:pt>
                <c:pt idx="11">
                  <c:v>7</c:v>
                </c:pt>
                <c:pt idx="12">
                  <c:v>7</c:v>
                </c:pt>
              </c:numCache>
            </c:numRef>
          </c:val>
          <c:extLst>
            <c:ext xmlns:c16="http://schemas.microsoft.com/office/drawing/2014/chart" uri="{C3380CC4-5D6E-409C-BE32-E72D297353CC}">
              <c16:uniqueId val="{00000000-24FB-4102-B3C4-B7D83E705024}"/>
            </c:ext>
          </c:extLst>
        </c:ser>
        <c:ser>
          <c:idx val="1"/>
          <c:order val="1"/>
          <c:tx>
            <c:v>Nº páginas no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criterio'!$D$31:$D$43</c:f>
              <c:numCache>
                <c:formatCode>General</c:formatCode>
                <c:ptCount val="13"/>
                <c:pt idx="0">
                  <c:v>0</c:v>
                </c:pt>
                <c:pt idx="1">
                  <c:v>0</c:v>
                </c:pt>
                <c:pt idx="2">
                  <c:v>0</c:v>
                </c:pt>
                <c:pt idx="3">
                  <c:v>7</c:v>
                </c:pt>
                <c:pt idx="4">
                  <c:v>0</c:v>
                </c:pt>
                <c:pt idx="5">
                  <c:v>7</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24FB-4102-B3C4-B7D83E705024}"/>
            </c:ext>
          </c:extLst>
        </c:ser>
        <c:ser>
          <c:idx val="2"/>
          <c:order val="2"/>
          <c:tx>
            <c:v>Nº páginas no se aplica</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criterio'!$E$31:$E$43</c:f>
              <c:numCache>
                <c:formatCode>General</c:formatCode>
                <c:ptCount val="13"/>
                <c:pt idx="0">
                  <c:v>7</c:v>
                </c:pt>
                <c:pt idx="1">
                  <c:v>7</c:v>
                </c:pt>
                <c:pt idx="2">
                  <c:v>0</c:v>
                </c:pt>
                <c:pt idx="3">
                  <c:v>0</c:v>
                </c:pt>
                <c:pt idx="4">
                  <c:v>0</c:v>
                </c:pt>
                <c:pt idx="5">
                  <c:v>0</c:v>
                </c:pt>
                <c:pt idx="6">
                  <c:v>0</c:v>
                </c:pt>
                <c:pt idx="7">
                  <c:v>0</c:v>
                </c:pt>
                <c:pt idx="8">
                  <c:v>7</c:v>
                </c:pt>
                <c:pt idx="9">
                  <c:v>0</c:v>
                </c:pt>
                <c:pt idx="10">
                  <c:v>0</c:v>
                </c:pt>
                <c:pt idx="11">
                  <c:v>0</c:v>
                </c:pt>
                <c:pt idx="12">
                  <c:v>0</c:v>
                </c:pt>
              </c:numCache>
            </c:numRef>
          </c:val>
          <c:extLst>
            <c:ext xmlns:c16="http://schemas.microsoft.com/office/drawing/2014/chart" uri="{C3380CC4-5D6E-409C-BE32-E72D297353CC}">
              <c16:uniqueId val="{00000002-24FB-4102-B3C4-B7D83E705024}"/>
            </c:ext>
          </c:extLst>
        </c:ser>
        <c:dLbls>
          <c:showLegendKey val="0"/>
          <c:showVal val="0"/>
          <c:showCatName val="0"/>
          <c:showSerName val="0"/>
          <c:showPercent val="0"/>
          <c:showBubbleSize val="0"/>
        </c:dLbls>
        <c:gapWidth val="150"/>
        <c:axId val="84858752"/>
        <c:axId val="84860288"/>
      </c:barChart>
      <c:catAx>
        <c:axId val="84858752"/>
        <c:scaling>
          <c:orientation val="minMax"/>
        </c:scaling>
        <c:delete val="0"/>
        <c:axPos val="b"/>
        <c:numFmt formatCode="General" sourceLinked="0"/>
        <c:majorTickMark val="out"/>
        <c:minorTickMark val="none"/>
        <c:tickLblPos val="nextTo"/>
        <c:crossAx val="84860288"/>
        <c:crosses val="autoZero"/>
        <c:auto val="1"/>
        <c:lblAlgn val="ctr"/>
        <c:lblOffset val="100"/>
        <c:noMultiLvlLbl val="0"/>
      </c:catAx>
      <c:valAx>
        <c:axId val="84860288"/>
        <c:scaling>
          <c:orientation val="minMax"/>
          <c:max val="15"/>
          <c:min val="0"/>
        </c:scaling>
        <c:delete val="0"/>
        <c:axPos val="l"/>
        <c:majorGridlines/>
        <c:numFmt formatCode="General" sourceLinked="1"/>
        <c:majorTickMark val="out"/>
        <c:minorTickMark val="none"/>
        <c:tickLblPos val="nextTo"/>
        <c:crossAx val="8485875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Hoja4!$A$13</c:f>
              <c:strCache>
                <c:ptCount val="1"/>
                <c:pt idx="0">
                  <c:v>1.1.1 </c:v>
                </c:pt>
              </c:strCache>
            </c:strRef>
          </c:tx>
          <c:invertIfNegative val="0"/>
          <c:cat>
            <c:strLit>
              <c:ptCount val="3"/>
              <c:pt idx="0">
                <c:v>Nº páginas cumplen</c:v>
              </c:pt>
              <c:pt idx="1">
                <c:v>Nº páginas no cumplen</c:v>
              </c:pt>
              <c:pt idx="2">
                <c:v>Nº páginas que no aplica</c:v>
              </c:pt>
            </c:strLit>
          </c:cat>
          <c:val>
            <c:numRef>
              <c:f>'5. Resultados x criterio'!$C$6:$E$6</c:f>
              <c:numCache>
                <c:formatCode>General</c:formatCode>
                <c:ptCount val="3"/>
                <c:pt idx="0">
                  <c:v>0</c:v>
                </c:pt>
                <c:pt idx="1">
                  <c:v>3</c:v>
                </c:pt>
                <c:pt idx="2">
                  <c:v>4</c:v>
                </c:pt>
              </c:numCache>
            </c:numRef>
          </c:val>
          <c:extLst>
            <c:ext xmlns:c16="http://schemas.microsoft.com/office/drawing/2014/chart" uri="{C3380CC4-5D6E-409C-BE32-E72D297353CC}">
              <c16:uniqueId val="{00000000-8298-4E6C-86A3-84153C7194A7}"/>
            </c:ext>
          </c:extLst>
        </c:ser>
        <c:ser>
          <c:idx val="1"/>
          <c:order val="1"/>
          <c:tx>
            <c:strRef>
              <c:f>Hoja4!$A$14</c:f>
              <c:strCache>
                <c:ptCount val="1"/>
                <c:pt idx="0">
                  <c:v>1.2.1</c:v>
                </c:pt>
              </c:strCache>
            </c:strRef>
          </c:tx>
          <c:invertIfNegative val="0"/>
          <c:cat>
            <c:strLit>
              <c:ptCount val="3"/>
              <c:pt idx="0">
                <c:v>Nº páginas cumplen</c:v>
              </c:pt>
              <c:pt idx="1">
                <c:v>Nº páginas no cumplen</c:v>
              </c:pt>
              <c:pt idx="2">
                <c:v>Nº páginas que no aplica</c:v>
              </c:pt>
            </c:strLit>
          </c:cat>
          <c:val>
            <c:numRef>
              <c:f>'5. Resultados x criterio'!$C$7:$E$7</c:f>
              <c:numCache>
                <c:formatCode>General</c:formatCode>
                <c:ptCount val="3"/>
                <c:pt idx="0">
                  <c:v>0</c:v>
                </c:pt>
                <c:pt idx="1">
                  <c:v>0</c:v>
                </c:pt>
                <c:pt idx="2">
                  <c:v>7</c:v>
                </c:pt>
              </c:numCache>
            </c:numRef>
          </c:val>
          <c:extLst>
            <c:ext xmlns:c16="http://schemas.microsoft.com/office/drawing/2014/chart" uri="{C3380CC4-5D6E-409C-BE32-E72D297353CC}">
              <c16:uniqueId val="{00000001-8298-4E6C-86A3-84153C7194A7}"/>
            </c:ext>
          </c:extLst>
        </c:ser>
        <c:ser>
          <c:idx val="2"/>
          <c:order val="2"/>
          <c:tx>
            <c:strRef>
              <c:f>Hoja4!$A$15</c:f>
              <c:strCache>
                <c:ptCount val="1"/>
                <c:pt idx="0">
                  <c:v>1.2.2 </c:v>
                </c:pt>
              </c:strCache>
            </c:strRef>
          </c:tx>
          <c:invertIfNegative val="0"/>
          <c:cat>
            <c:strLit>
              <c:ptCount val="3"/>
              <c:pt idx="0">
                <c:v>Nº páginas cumplen</c:v>
              </c:pt>
              <c:pt idx="1">
                <c:v>Nº páginas no cumplen</c:v>
              </c:pt>
              <c:pt idx="2">
                <c:v>Nº páginas que no aplica</c:v>
              </c:pt>
            </c:strLit>
          </c:cat>
          <c:val>
            <c:numRef>
              <c:f>'5. Resultados x criterio'!$C$8:$E$8</c:f>
              <c:numCache>
                <c:formatCode>General</c:formatCode>
                <c:ptCount val="3"/>
                <c:pt idx="0">
                  <c:v>0</c:v>
                </c:pt>
                <c:pt idx="1">
                  <c:v>0</c:v>
                </c:pt>
                <c:pt idx="2">
                  <c:v>7</c:v>
                </c:pt>
              </c:numCache>
            </c:numRef>
          </c:val>
          <c:extLst>
            <c:ext xmlns:c16="http://schemas.microsoft.com/office/drawing/2014/chart" uri="{C3380CC4-5D6E-409C-BE32-E72D297353CC}">
              <c16:uniqueId val="{00000002-8298-4E6C-86A3-84153C7194A7}"/>
            </c:ext>
          </c:extLst>
        </c:ser>
        <c:ser>
          <c:idx val="3"/>
          <c:order val="3"/>
          <c:tx>
            <c:strRef>
              <c:f>Hoja4!$A$16</c:f>
              <c:strCache>
                <c:ptCount val="1"/>
                <c:pt idx="0">
                  <c:v>1.2.3</c:v>
                </c:pt>
              </c:strCache>
            </c:strRef>
          </c:tx>
          <c:invertIfNegative val="0"/>
          <c:cat>
            <c:strLit>
              <c:ptCount val="3"/>
              <c:pt idx="0">
                <c:v>Nº páginas cumplen</c:v>
              </c:pt>
              <c:pt idx="1">
                <c:v>Nº páginas no cumplen</c:v>
              </c:pt>
              <c:pt idx="2">
                <c:v>Nº páginas que no aplica</c:v>
              </c:pt>
            </c:strLit>
          </c:cat>
          <c:val>
            <c:numRef>
              <c:f>'5. Resultados x criterio'!$C$9:$E$9</c:f>
              <c:numCache>
                <c:formatCode>General</c:formatCode>
                <c:ptCount val="3"/>
                <c:pt idx="0">
                  <c:v>0</c:v>
                </c:pt>
                <c:pt idx="1">
                  <c:v>0</c:v>
                </c:pt>
                <c:pt idx="2">
                  <c:v>7</c:v>
                </c:pt>
              </c:numCache>
            </c:numRef>
          </c:val>
          <c:extLst>
            <c:ext xmlns:c16="http://schemas.microsoft.com/office/drawing/2014/chart" uri="{C3380CC4-5D6E-409C-BE32-E72D297353CC}">
              <c16:uniqueId val="{00000003-8298-4E6C-86A3-84153C7194A7}"/>
            </c:ext>
          </c:extLst>
        </c:ser>
        <c:ser>
          <c:idx val="4"/>
          <c:order val="4"/>
          <c:tx>
            <c:strRef>
              <c:f>Hoja4!$A$17</c:f>
              <c:strCache>
                <c:ptCount val="1"/>
                <c:pt idx="0">
                  <c:v>1.3.1</c:v>
                </c:pt>
              </c:strCache>
            </c:strRef>
          </c:tx>
          <c:invertIfNegative val="0"/>
          <c:cat>
            <c:strLit>
              <c:ptCount val="3"/>
              <c:pt idx="0">
                <c:v>Nº páginas cumplen</c:v>
              </c:pt>
              <c:pt idx="1">
                <c:v>Nº páginas no cumplen</c:v>
              </c:pt>
              <c:pt idx="2">
                <c:v>Nº páginas que no aplica</c:v>
              </c:pt>
            </c:strLit>
          </c:cat>
          <c:val>
            <c:numRef>
              <c:f>'5. Resultados x criterio'!$C$10:$E$10</c:f>
              <c:numCache>
                <c:formatCode>General</c:formatCode>
                <c:ptCount val="3"/>
                <c:pt idx="0">
                  <c:v>5</c:v>
                </c:pt>
                <c:pt idx="1">
                  <c:v>1</c:v>
                </c:pt>
                <c:pt idx="2">
                  <c:v>1</c:v>
                </c:pt>
              </c:numCache>
            </c:numRef>
          </c:val>
          <c:extLst>
            <c:ext xmlns:c16="http://schemas.microsoft.com/office/drawing/2014/chart" uri="{C3380CC4-5D6E-409C-BE32-E72D297353CC}">
              <c16:uniqueId val="{00000004-8298-4E6C-86A3-84153C7194A7}"/>
            </c:ext>
          </c:extLst>
        </c:ser>
        <c:ser>
          <c:idx val="5"/>
          <c:order val="5"/>
          <c:tx>
            <c:strRef>
              <c:f>Hoja4!$A$18</c:f>
              <c:strCache>
                <c:ptCount val="1"/>
                <c:pt idx="0">
                  <c:v>1.3.2</c:v>
                </c:pt>
              </c:strCache>
            </c:strRef>
          </c:tx>
          <c:invertIfNegative val="0"/>
          <c:cat>
            <c:strLit>
              <c:ptCount val="3"/>
              <c:pt idx="0">
                <c:v>Nº páginas cumplen</c:v>
              </c:pt>
              <c:pt idx="1">
                <c:v>Nº páginas no cumplen</c:v>
              </c:pt>
              <c:pt idx="2">
                <c:v>Nº páginas que no aplica</c:v>
              </c:pt>
            </c:strLit>
          </c:cat>
          <c:val>
            <c:numRef>
              <c:f>'5. Resultados x criterio'!$C$11:$E$11</c:f>
              <c:numCache>
                <c:formatCode>General</c:formatCode>
                <c:ptCount val="3"/>
                <c:pt idx="0">
                  <c:v>6</c:v>
                </c:pt>
                <c:pt idx="1">
                  <c:v>0</c:v>
                </c:pt>
                <c:pt idx="2">
                  <c:v>1</c:v>
                </c:pt>
              </c:numCache>
            </c:numRef>
          </c:val>
          <c:extLst>
            <c:ext xmlns:c16="http://schemas.microsoft.com/office/drawing/2014/chart" uri="{C3380CC4-5D6E-409C-BE32-E72D297353CC}">
              <c16:uniqueId val="{00000005-8298-4E6C-86A3-84153C7194A7}"/>
            </c:ext>
          </c:extLst>
        </c:ser>
        <c:ser>
          <c:idx val="6"/>
          <c:order val="6"/>
          <c:tx>
            <c:strRef>
              <c:f>Hoja4!$A$19</c:f>
              <c:strCache>
                <c:ptCount val="1"/>
                <c:pt idx="0">
                  <c:v>1.3.3</c:v>
                </c:pt>
              </c:strCache>
            </c:strRef>
          </c:tx>
          <c:invertIfNegative val="0"/>
          <c:cat>
            <c:strLit>
              <c:ptCount val="3"/>
              <c:pt idx="0">
                <c:v>Nº páginas cumplen</c:v>
              </c:pt>
              <c:pt idx="1">
                <c:v>Nº páginas no cumplen</c:v>
              </c:pt>
              <c:pt idx="2">
                <c:v>Nº páginas que no aplica</c:v>
              </c:pt>
            </c:strLit>
          </c:cat>
          <c:val>
            <c:numRef>
              <c:f>'5. Resultados x criterio'!$C$12:$E$12</c:f>
              <c:numCache>
                <c:formatCode>General</c:formatCode>
                <c:ptCount val="3"/>
                <c:pt idx="0">
                  <c:v>7</c:v>
                </c:pt>
                <c:pt idx="1">
                  <c:v>0</c:v>
                </c:pt>
                <c:pt idx="2">
                  <c:v>0</c:v>
                </c:pt>
              </c:numCache>
            </c:numRef>
          </c:val>
          <c:extLst>
            <c:ext xmlns:c16="http://schemas.microsoft.com/office/drawing/2014/chart" uri="{C3380CC4-5D6E-409C-BE32-E72D297353CC}">
              <c16:uniqueId val="{00000006-8298-4E6C-86A3-84153C7194A7}"/>
            </c:ext>
          </c:extLst>
        </c:ser>
        <c:ser>
          <c:idx val="7"/>
          <c:order val="7"/>
          <c:tx>
            <c:strRef>
              <c:f>Hoja4!$A$20</c:f>
              <c:strCache>
                <c:ptCount val="1"/>
                <c:pt idx="0">
                  <c:v>1.4.1</c:v>
                </c:pt>
              </c:strCache>
            </c:strRef>
          </c:tx>
          <c:invertIfNegative val="0"/>
          <c:cat>
            <c:strLit>
              <c:ptCount val="3"/>
              <c:pt idx="0">
                <c:v>Nº páginas cumplen</c:v>
              </c:pt>
              <c:pt idx="1">
                <c:v>Nº páginas no cumplen</c:v>
              </c:pt>
              <c:pt idx="2">
                <c:v>Nº páginas que no aplica</c:v>
              </c:pt>
            </c:strLit>
          </c:cat>
          <c:val>
            <c:numRef>
              <c:f>'5. Resultados x criterio'!$C$13:$E$13</c:f>
              <c:numCache>
                <c:formatCode>General</c:formatCode>
                <c:ptCount val="3"/>
                <c:pt idx="0">
                  <c:v>5</c:v>
                </c:pt>
                <c:pt idx="1">
                  <c:v>2</c:v>
                </c:pt>
                <c:pt idx="2">
                  <c:v>0</c:v>
                </c:pt>
              </c:numCache>
            </c:numRef>
          </c:val>
          <c:extLst>
            <c:ext xmlns:c16="http://schemas.microsoft.com/office/drawing/2014/chart" uri="{C3380CC4-5D6E-409C-BE32-E72D297353CC}">
              <c16:uniqueId val="{00000007-8298-4E6C-86A3-84153C7194A7}"/>
            </c:ext>
          </c:extLst>
        </c:ser>
        <c:ser>
          <c:idx val="8"/>
          <c:order val="8"/>
          <c:tx>
            <c:strRef>
              <c:f>Hoja4!$A$21</c:f>
              <c:strCache>
                <c:ptCount val="1"/>
                <c:pt idx="0">
                  <c:v>1.4.2</c:v>
                </c:pt>
              </c:strCache>
            </c:strRef>
          </c:tx>
          <c:invertIfNegative val="0"/>
          <c:cat>
            <c:strLit>
              <c:ptCount val="3"/>
              <c:pt idx="0">
                <c:v>Nº páginas cumplen</c:v>
              </c:pt>
              <c:pt idx="1">
                <c:v>Nº páginas no cumplen</c:v>
              </c:pt>
              <c:pt idx="2">
                <c:v>Nº páginas que no aplica</c:v>
              </c:pt>
            </c:strLit>
          </c:cat>
          <c:val>
            <c:numRef>
              <c:f>'5. Resultados x criterio'!$C$14:$E$14</c:f>
              <c:numCache>
                <c:formatCode>General</c:formatCode>
                <c:ptCount val="3"/>
                <c:pt idx="0">
                  <c:v>0</c:v>
                </c:pt>
                <c:pt idx="1">
                  <c:v>0</c:v>
                </c:pt>
                <c:pt idx="2">
                  <c:v>7</c:v>
                </c:pt>
              </c:numCache>
            </c:numRef>
          </c:val>
          <c:extLst>
            <c:ext xmlns:c16="http://schemas.microsoft.com/office/drawing/2014/chart" uri="{C3380CC4-5D6E-409C-BE32-E72D297353CC}">
              <c16:uniqueId val="{00000008-8298-4E6C-86A3-84153C7194A7}"/>
            </c:ext>
          </c:extLst>
        </c:ser>
        <c:ser>
          <c:idx val="9"/>
          <c:order val="9"/>
          <c:tx>
            <c:strRef>
              <c:f>Hoja4!$A$22</c:f>
              <c:strCache>
                <c:ptCount val="1"/>
                <c:pt idx="0">
                  <c:v>2.1.1</c:v>
                </c:pt>
              </c:strCache>
            </c:strRef>
          </c:tx>
          <c:invertIfNegative val="0"/>
          <c:cat>
            <c:strLit>
              <c:ptCount val="3"/>
              <c:pt idx="0">
                <c:v>Nº páginas cumplen</c:v>
              </c:pt>
              <c:pt idx="1">
                <c:v>Nº páginas no cumplen</c:v>
              </c:pt>
              <c:pt idx="2">
                <c:v>Nº páginas que no aplica</c:v>
              </c:pt>
            </c:strLit>
          </c:cat>
          <c:val>
            <c:numRef>
              <c:f>'5. Resultados x criterio'!$C$15:$E$15</c:f>
              <c:numCache>
                <c:formatCode>General</c:formatCode>
                <c:ptCount val="3"/>
                <c:pt idx="0">
                  <c:v>0</c:v>
                </c:pt>
                <c:pt idx="1">
                  <c:v>7</c:v>
                </c:pt>
                <c:pt idx="2">
                  <c:v>0</c:v>
                </c:pt>
              </c:numCache>
            </c:numRef>
          </c:val>
          <c:extLst>
            <c:ext xmlns:c16="http://schemas.microsoft.com/office/drawing/2014/chart" uri="{C3380CC4-5D6E-409C-BE32-E72D297353CC}">
              <c16:uniqueId val="{00000009-8298-4E6C-86A3-84153C7194A7}"/>
            </c:ext>
          </c:extLst>
        </c:ser>
        <c:ser>
          <c:idx val="10"/>
          <c:order val="10"/>
          <c:tx>
            <c:strRef>
              <c:f>Hoja4!$A$23</c:f>
              <c:strCache>
                <c:ptCount val="1"/>
                <c:pt idx="0">
                  <c:v>2.1.2</c:v>
                </c:pt>
              </c:strCache>
            </c:strRef>
          </c:tx>
          <c:invertIfNegative val="0"/>
          <c:cat>
            <c:strLit>
              <c:ptCount val="3"/>
              <c:pt idx="0">
                <c:v>Nº páginas cumplen</c:v>
              </c:pt>
              <c:pt idx="1">
                <c:v>Nº páginas no cumplen</c:v>
              </c:pt>
              <c:pt idx="2">
                <c:v>Nº páginas que no aplica</c:v>
              </c:pt>
            </c:strLit>
          </c:cat>
          <c:val>
            <c:numRef>
              <c:f>'5. Resultados x criterio'!$C$16:$E$16</c:f>
              <c:numCache>
                <c:formatCode>General</c:formatCode>
                <c:ptCount val="3"/>
                <c:pt idx="0">
                  <c:v>0</c:v>
                </c:pt>
                <c:pt idx="1">
                  <c:v>7</c:v>
                </c:pt>
                <c:pt idx="2">
                  <c:v>0</c:v>
                </c:pt>
              </c:numCache>
            </c:numRef>
          </c:val>
          <c:extLst>
            <c:ext xmlns:c16="http://schemas.microsoft.com/office/drawing/2014/chart" uri="{C3380CC4-5D6E-409C-BE32-E72D297353CC}">
              <c16:uniqueId val="{0000000A-8298-4E6C-86A3-84153C7194A7}"/>
            </c:ext>
          </c:extLst>
        </c:ser>
        <c:ser>
          <c:idx val="11"/>
          <c:order val="11"/>
          <c:tx>
            <c:strRef>
              <c:f>Hoja4!$A$24</c:f>
              <c:strCache>
                <c:ptCount val="1"/>
                <c:pt idx="0">
                  <c:v>2.2.1 </c:v>
                </c:pt>
              </c:strCache>
            </c:strRef>
          </c:tx>
          <c:invertIfNegative val="0"/>
          <c:cat>
            <c:strLit>
              <c:ptCount val="3"/>
              <c:pt idx="0">
                <c:v>Nº páginas cumplen</c:v>
              </c:pt>
              <c:pt idx="1">
                <c:v>Nº páginas no cumplen</c:v>
              </c:pt>
              <c:pt idx="2">
                <c:v>Nº páginas que no aplica</c:v>
              </c:pt>
            </c:strLit>
          </c:cat>
          <c:val>
            <c:numRef>
              <c:f>'5. Resultados x criterio'!$C$17:$E$17</c:f>
              <c:numCache>
                <c:formatCode>General</c:formatCode>
                <c:ptCount val="3"/>
                <c:pt idx="0">
                  <c:v>0</c:v>
                </c:pt>
                <c:pt idx="1">
                  <c:v>0</c:v>
                </c:pt>
                <c:pt idx="2">
                  <c:v>7</c:v>
                </c:pt>
              </c:numCache>
            </c:numRef>
          </c:val>
          <c:extLst>
            <c:ext xmlns:c16="http://schemas.microsoft.com/office/drawing/2014/chart" uri="{C3380CC4-5D6E-409C-BE32-E72D297353CC}">
              <c16:uniqueId val="{0000000B-8298-4E6C-86A3-84153C7194A7}"/>
            </c:ext>
          </c:extLst>
        </c:ser>
        <c:ser>
          <c:idx val="12"/>
          <c:order val="12"/>
          <c:tx>
            <c:strRef>
              <c:f>Hoja4!$A$25</c:f>
              <c:strCache>
                <c:ptCount val="1"/>
                <c:pt idx="0">
                  <c:v>2.2.2</c:v>
                </c:pt>
              </c:strCache>
            </c:strRef>
          </c:tx>
          <c:invertIfNegative val="0"/>
          <c:cat>
            <c:strLit>
              <c:ptCount val="3"/>
              <c:pt idx="0">
                <c:v>Nº páginas cumplen</c:v>
              </c:pt>
              <c:pt idx="1">
                <c:v>Nº páginas no cumplen</c:v>
              </c:pt>
              <c:pt idx="2">
                <c:v>Nº páginas que no aplica</c:v>
              </c:pt>
            </c:strLit>
          </c:cat>
          <c:val>
            <c:numRef>
              <c:f>'5. Resultados x criterio'!$C$18:$E$18</c:f>
              <c:numCache>
                <c:formatCode>General</c:formatCode>
                <c:ptCount val="3"/>
                <c:pt idx="0">
                  <c:v>0</c:v>
                </c:pt>
                <c:pt idx="1">
                  <c:v>0</c:v>
                </c:pt>
                <c:pt idx="2">
                  <c:v>7</c:v>
                </c:pt>
              </c:numCache>
            </c:numRef>
          </c:val>
          <c:extLst>
            <c:ext xmlns:c16="http://schemas.microsoft.com/office/drawing/2014/chart" uri="{C3380CC4-5D6E-409C-BE32-E72D297353CC}">
              <c16:uniqueId val="{0000000C-8298-4E6C-86A3-84153C7194A7}"/>
            </c:ext>
          </c:extLst>
        </c:ser>
        <c:ser>
          <c:idx val="13"/>
          <c:order val="13"/>
          <c:tx>
            <c:strRef>
              <c:f>Hoja4!$A$26</c:f>
              <c:strCache>
                <c:ptCount val="1"/>
                <c:pt idx="0">
                  <c:v>2.3.1</c:v>
                </c:pt>
              </c:strCache>
            </c:strRef>
          </c:tx>
          <c:invertIfNegative val="0"/>
          <c:cat>
            <c:strLit>
              <c:ptCount val="3"/>
              <c:pt idx="0">
                <c:v>Nº páginas cumplen</c:v>
              </c:pt>
              <c:pt idx="1">
                <c:v>Nº páginas no cumplen</c:v>
              </c:pt>
              <c:pt idx="2">
                <c:v>Nº páginas que no aplica</c:v>
              </c:pt>
            </c:strLit>
          </c:cat>
          <c:val>
            <c:numRef>
              <c:f>'5. Resultados x criterio'!$C$19:$E$19</c:f>
              <c:numCache>
                <c:formatCode>General</c:formatCode>
                <c:ptCount val="3"/>
                <c:pt idx="0">
                  <c:v>0</c:v>
                </c:pt>
                <c:pt idx="1">
                  <c:v>0</c:v>
                </c:pt>
                <c:pt idx="2">
                  <c:v>7</c:v>
                </c:pt>
              </c:numCache>
            </c:numRef>
          </c:val>
          <c:extLst>
            <c:ext xmlns:c16="http://schemas.microsoft.com/office/drawing/2014/chart" uri="{C3380CC4-5D6E-409C-BE32-E72D297353CC}">
              <c16:uniqueId val="{0000000D-8298-4E6C-86A3-84153C7194A7}"/>
            </c:ext>
          </c:extLst>
        </c:ser>
        <c:ser>
          <c:idx val="14"/>
          <c:order val="14"/>
          <c:tx>
            <c:strRef>
              <c:f>Hoja4!$A$27</c:f>
              <c:strCache>
                <c:ptCount val="1"/>
                <c:pt idx="0">
                  <c:v>2.4.1</c:v>
                </c:pt>
              </c:strCache>
            </c:strRef>
          </c:tx>
          <c:invertIfNegative val="0"/>
          <c:cat>
            <c:strLit>
              <c:ptCount val="3"/>
              <c:pt idx="0">
                <c:v>Nº páginas cumplen</c:v>
              </c:pt>
              <c:pt idx="1">
                <c:v>Nº páginas no cumplen</c:v>
              </c:pt>
              <c:pt idx="2">
                <c:v>Nº páginas que no aplica</c:v>
              </c:pt>
            </c:strLit>
          </c:cat>
          <c:val>
            <c:numRef>
              <c:f>'5. Resultados x criterio'!$C$20:$E$20</c:f>
              <c:numCache>
                <c:formatCode>General</c:formatCode>
                <c:ptCount val="3"/>
                <c:pt idx="0">
                  <c:v>0</c:v>
                </c:pt>
                <c:pt idx="1">
                  <c:v>0</c:v>
                </c:pt>
                <c:pt idx="2">
                  <c:v>7</c:v>
                </c:pt>
              </c:numCache>
            </c:numRef>
          </c:val>
          <c:extLst>
            <c:ext xmlns:c16="http://schemas.microsoft.com/office/drawing/2014/chart" uri="{C3380CC4-5D6E-409C-BE32-E72D297353CC}">
              <c16:uniqueId val="{0000000E-8298-4E6C-86A3-84153C7194A7}"/>
            </c:ext>
          </c:extLst>
        </c:ser>
        <c:ser>
          <c:idx val="15"/>
          <c:order val="15"/>
          <c:tx>
            <c:strRef>
              <c:f>Hoja4!$A$28</c:f>
              <c:strCache>
                <c:ptCount val="1"/>
                <c:pt idx="0">
                  <c:v>2.4.2</c:v>
                </c:pt>
              </c:strCache>
            </c:strRef>
          </c:tx>
          <c:invertIfNegative val="0"/>
          <c:cat>
            <c:strLit>
              <c:ptCount val="3"/>
              <c:pt idx="0">
                <c:v>Nº páginas cumplen</c:v>
              </c:pt>
              <c:pt idx="1">
                <c:v>Nº páginas no cumplen</c:v>
              </c:pt>
              <c:pt idx="2">
                <c:v>Nº páginas que no aplica</c:v>
              </c:pt>
            </c:strLit>
          </c:cat>
          <c:val>
            <c:numRef>
              <c:f>'5. Resultados x criterio'!$C$21:$E$21</c:f>
              <c:numCache>
                <c:formatCode>General</c:formatCode>
                <c:ptCount val="3"/>
                <c:pt idx="0">
                  <c:v>7</c:v>
                </c:pt>
                <c:pt idx="1">
                  <c:v>0</c:v>
                </c:pt>
                <c:pt idx="2">
                  <c:v>0</c:v>
                </c:pt>
              </c:numCache>
            </c:numRef>
          </c:val>
          <c:extLst>
            <c:ext xmlns:c16="http://schemas.microsoft.com/office/drawing/2014/chart" uri="{C3380CC4-5D6E-409C-BE32-E72D297353CC}">
              <c16:uniqueId val="{0000000F-8298-4E6C-86A3-84153C7194A7}"/>
            </c:ext>
          </c:extLst>
        </c:ser>
        <c:ser>
          <c:idx val="16"/>
          <c:order val="16"/>
          <c:tx>
            <c:strRef>
              <c:f>Hoja4!$A$29</c:f>
              <c:strCache>
                <c:ptCount val="1"/>
                <c:pt idx="0">
                  <c:v>2.4.3</c:v>
                </c:pt>
              </c:strCache>
            </c:strRef>
          </c:tx>
          <c:invertIfNegative val="0"/>
          <c:cat>
            <c:strLit>
              <c:ptCount val="3"/>
              <c:pt idx="0">
                <c:v>Nº páginas cumplen</c:v>
              </c:pt>
              <c:pt idx="1">
                <c:v>Nº páginas no cumplen</c:v>
              </c:pt>
              <c:pt idx="2">
                <c:v>Nº páginas que no aplica</c:v>
              </c:pt>
            </c:strLit>
          </c:cat>
          <c:val>
            <c:numRef>
              <c:f>'5. Resultados x criterio'!$C$22:$E$22</c:f>
              <c:numCache>
                <c:formatCode>General</c:formatCode>
                <c:ptCount val="3"/>
                <c:pt idx="0">
                  <c:v>7</c:v>
                </c:pt>
                <c:pt idx="1">
                  <c:v>0</c:v>
                </c:pt>
                <c:pt idx="2">
                  <c:v>0</c:v>
                </c:pt>
              </c:numCache>
            </c:numRef>
          </c:val>
          <c:extLst>
            <c:ext xmlns:c16="http://schemas.microsoft.com/office/drawing/2014/chart" uri="{C3380CC4-5D6E-409C-BE32-E72D297353CC}">
              <c16:uniqueId val="{00000010-8298-4E6C-86A3-84153C7194A7}"/>
            </c:ext>
          </c:extLst>
        </c:ser>
        <c:ser>
          <c:idx val="17"/>
          <c:order val="17"/>
          <c:tx>
            <c:strRef>
              <c:f>Hoja4!$A$30</c:f>
              <c:strCache>
                <c:ptCount val="1"/>
                <c:pt idx="0">
                  <c:v>2.4.4</c:v>
                </c:pt>
              </c:strCache>
            </c:strRef>
          </c:tx>
          <c:invertIfNegative val="0"/>
          <c:cat>
            <c:strLit>
              <c:ptCount val="3"/>
              <c:pt idx="0">
                <c:v>Nº páginas cumplen</c:v>
              </c:pt>
              <c:pt idx="1">
                <c:v>Nº páginas no cumplen</c:v>
              </c:pt>
              <c:pt idx="2">
                <c:v>Nº páginas que no aplica</c:v>
              </c:pt>
            </c:strLit>
          </c:cat>
          <c:val>
            <c:numRef>
              <c:f>'5. Resultados x criterio'!$C$23:$E$23</c:f>
              <c:numCache>
                <c:formatCode>General</c:formatCode>
                <c:ptCount val="3"/>
                <c:pt idx="0">
                  <c:v>7</c:v>
                </c:pt>
                <c:pt idx="1">
                  <c:v>0</c:v>
                </c:pt>
                <c:pt idx="2">
                  <c:v>0</c:v>
                </c:pt>
              </c:numCache>
            </c:numRef>
          </c:val>
          <c:extLst>
            <c:ext xmlns:c16="http://schemas.microsoft.com/office/drawing/2014/chart" uri="{C3380CC4-5D6E-409C-BE32-E72D297353CC}">
              <c16:uniqueId val="{00000011-8298-4E6C-86A3-84153C7194A7}"/>
            </c:ext>
          </c:extLst>
        </c:ser>
        <c:ser>
          <c:idx val="18"/>
          <c:order val="18"/>
          <c:tx>
            <c:strRef>
              <c:f>Hoja4!$A$31</c:f>
              <c:strCache>
                <c:ptCount val="1"/>
                <c:pt idx="0">
                  <c:v>3.1.1 </c:v>
                </c:pt>
              </c:strCache>
            </c:strRef>
          </c:tx>
          <c:invertIfNegative val="0"/>
          <c:cat>
            <c:strLit>
              <c:ptCount val="3"/>
              <c:pt idx="0">
                <c:v>Nº páginas cumplen</c:v>
              </c:pt>
              <c:pt idx="1">
                <c:v>Nº páginas no cumplen</c:v>
              </c:pt>
              <c:pt idx="2">
                <c:v>Nº páginas que no aplica</c:v>
              </c:pt>
            </c:strLit>
          </c:cat>
          <c:val>
            <c:numRef>
              <c:f>'5. Resultados x criterio'!$C$24:$E$24</c:f>
              <c:numCache>
                <c:formatCode>General</c:formatCode>
                <c:ptCount val="3"/>
                <c:pt idx="0">
                  <c:v>7</c:v>
                </c:pt>
                <c:pt idx="1">
                  <c:v>0</c:v>
                </c:pt>
                <c:pt idx="2">
                  <c:v>0</c:v>
                </c:pt>
              </c:numCache>
            </c:numRef>
          </c:val>
          <c:extLst>
            <c:ext xmlns:c16="http://schemas.microsoft.com/office/drawing/2014/chart" uri="{C3380CC4-5D6E-409C-BE32-E72D297353CC}">
              <c16:uniqueId val="{00000012-8298-4E6C-86A3-84153C7194A7}"/>
            </c:ext>
          </c:extLst>
        </c:ser>
        <c:ser>
          <c:idx val="19"/>
          <c:order val="19"/>
          <c:tx>
            <c:strRef>
              <c:f>Hoja4!$A$32</c:f>
              <c:strCache>
                <c:ptCount val="1"/>
                <c:pt idx="0">
                  <c:v>3.2.1</c:v>
                </c:pt>
              </c:strCache>
            </c:strRef>
          </c:tx>
          <c:invertIfNegative val="0"/>
          <c:val>
            <c:numRef>
              <c:f>'5. Resultados x criterio'!$C$25:$E$25</c:f>
              <c:numCache>
                <c:formatCode>General</c:formatCode>
                <c:ptCount val="3"/>
                <c:pt idx="0">
                  <c:v>7</c:v>
                </c:pt>
                <c:pt idx="1">
                  <c:v>0</c:v>
                </c:pt>
                <c:pt idx="2">
                  <c:v>0</c:v>
                </c:pt>
              </c:numCache>
            </c:numRef>
          </c:val>
          <c:extLst>
            <c:ext xmlns:c16="http://schemas.microsoft.com/office/drawing/2014/chart" uri="{C3380CC4-5D6E-409C-BE32-E72D297353CC}">
              <c16:uniqueId val="{00000013-8298-4E6C-86A3-84153C7194A7}"/>
            </c:ext>
          </c:extLst>
        </c:ser>
        <c:ser>
          <c:idx val="20"/>
          <c:order val="20"/>
          <c:tx>
            <c:strRef>
              <c:f>Hoja4!$A$33</c:f>
              <c:strCache>
                <c:ptCount val="1"/>
                <c:pt idx="0">
                  <c:v>3.2.2</c:v>
                </c:pt>
              </c:strCache>
            </c:strRef>
          </c:tx>
          <c:invertIfNegative val="0"/>
          <c:val>
            <c:numRef>
              <c:f>'5. Resultados x criterio'!$C$26:$E$26</c:f>
              <c:numCache>
                <c:formatCode>General</c:formatCode>
                <c:ptCount val="3"/>
                <c:pt idx="0">
                  <c:v>7</c:v>
                </c:pt>
                <c:pt idx="1">
                  <c:v>0</c:v>
                </c:pt>
                <c:pt idx="2">
                  <c:v>0</c:v>
                </c:pt>
              </c:numCache>
            </c:numRef>
          </c:val>
          <c:extLst>
            <c:ext xmlns:c16="http://schemas.microsoft.com/office/drawing/2014/chart" uri="{C3380CC4-5D6E-409C-BE32-E72D297353CC}">
              <c16:uniqueId val="{00000014-8298-4E6C-86A3-84153C7194A7}"/>
            </c:ext>
          </c:extLst>
        </c:ser>
        <c:ser>
          <c:idx val="21"/>
          <c:order val="21"/>
          <c:tx>
            <c:strRef>
              <c:f>Hoja4!$A$34</c:f>
              <c:strCache>
                <c:ptCount val="1"/>
                <c:pt idx="0">
                  <c:v>3.3.1</c:v>
                </c:pt>
              </c:strCache>
            </c:strRef>
          </c:tx>
          <c:invertIfNegative val="0"/>
          <c:val>
            <c:numRef>
              <c:f>'5. Resultados x criterio'!$C$27:$E$27</c:f>
              <c:numCache>
                <c:formatCode>General</c:formatCode>
                <c:ptCount val="3"/>
                <c:pt idx="0">
                  <c:v>7</c:v>
                </c:pt>
                <c:pt idx="1">
                  <c:v>0</c:v>
                </c:pt>
                <c:pt idx="2">
                  <c:v>0</c:v>
                </c:pt>
              </c:numCache>
            </c:numRef>
          </c:val>
          <c:extLst>
            <c:ext xmlns:c16="http://schemas.microsoft.com/office/drawing/2014/chart" uri="{C3380CC4-5D6E-409C-BE32-E72D297353CC}">
              <c16:uniqueId val="{00000015-8298-4E6C-86A3-84153C7194A7}"/>
            </c:ext>
          </c:extLst>
        </c:ser>
        <c:ser>
          <c:idx val="22"/>
          <c:order val="22"/>
          <c:tx>
            <c:strRef>
              <c:f>Hoja4!$A$35</c:f>
              <c:strCache>
                <c:ptCount val="1"/>
                <c:pt idx="0">
                  <c:v>3.3.2</c:v>
                </c:pt>
              </c:strCache>
            </c:strRef>
          </c:tx>
          <c:invertIfNegative val="0"/>
          <c:val>
            <c:numRef>
              <c:f>'5. Resultados x criterio'!$C$28:$E$28</c:f>
              <c:numCache>
                <c:formatCode>General</c:formatCode>
                <c:ptCount val="3"/>
                <c:pt idx="0">
                  <c:v>7</c:v>
                </c:pt>
                <c:pt idx="1">
                  <c:v>0</c:v>
                </c:pt>
                <c:pt idx="2">
                  <c:v>0</c:v>
                </c:pt>
              </c:numCache>
            </c:numRef>
          </c:val>
          <c:extLst>
            <c:ext xmlns:c16="http://schemas.microsoft.com/office/drawing/2014/chart" uri="{C3380CC4-5D6E-409C-BE32-E72D297353CC}">
              <c16:uniqueId val="{00000016-8298-4E6C-86A3-84153C7194A7}"/>
            </c:ext>
          </c:extLst>
        </c:ser>
        <c:ser>
          <c:idx val="23"/>
          <c:order val="23"/>
          <c:tx>
            <c:strRef>
              <c:f>Hoja4!$A$36</c:f>
              <c:strCache>
                <c:ptCount val="1"/>
                <c:pt idx="0">
                  <c:v>4.1.1</c:v>
                </c:pt>
              </c:strCache>
            </c:strRef>
          </c:tx>
          <c:invertIfNegative val="0"/>
          <c:val>
            <c:numRef>
              <c:f>'5. Resultados x criterio'!$C$29:$E$29</c:f>
              <c:numCache>
                <c:formatCode>General</c:formatCode>
                <c:ptCount val="3"/>
                <c:pt idx="0">
                  <c:v>7</c:v>
                </c:pt>
                <c:pt idx="1">
                  <c:v>0</c:v>
                </c:pt>
                <c:pt idx="2">
                  <c:v>0</c:v>
                </c:pt>
              </c:numCache>
            </c:numRef>
          </c:val>
          <c:extLst>
            <c:ext xmlns:c16="http://schemas.microsoft.com/office/drawing/2014/chart" uri="{C3380CC4-5D6E-409C-BE32-E72D297353CC}">
              <c16:uniqueId val="{00000017-8298-4E6C-86A3-84153C7194A7}"/>
            </c:ext>
          </c:extLst>
        </c:ser>
        <c:ser>
          <c:idx val="24"/>
          <c:order val="24"/>
          <c:tx>
            <c:strRef>
              <c:f>Hoja4!$A$37</c:f>
              <c:strCache>
                <c:ptCount val="1"/>
                <c:pt idx="0">
                  <c:v>4.1.2</c:v>
                </c:pt>
              </c:strCache>
            </c:strRef>
          </c:tx>
          <c:invertIfNegative val="0"/>
          <c:val>
            <c:numRef>
              <c:f>'5. Resultados x criterio'!$C$30:$E$30</c:f>
              <c:numCache>
                <c:formatCode>General</c:formatCode>
                <c:ptCount val="3"/>
                <c:pt idx="0">
                  <c:v>7</c:v>
                </c:pt>
                <c:pt idx="1">
                  <c:v>0</c:v>
                </c:pt>
                <c:pt idx="2">
                  <c:v>0</c:v>
                </c:pt>
              </c:numCache>
            </c:numRef>
          </c:val>
          <c:extLst>
            <c:ext xmlns:c16="http://schemas.microsoft.com/office/drawing/2014/chart" uri="{C3380CC4-5D6E-409C-BE32-E72D297353CC}">
              <c16:uniqueId val="{00000018-8298-4E6C-86A3-84153C7194A7}"/>
            </c:ext>
          </c:extLst>
        </c:ser>
        <c:dLbls>
          <c:showLegendKey val="0"/>
          <c:showVal val="0"/>
          <c:showCatName val="0"/>
          <c:showSerName val="0"/>
          <c:showPercent val="0"/>
          <c:showBubbleSize val="0"/>
        </c:dLbls>
        <c:gapWidth val="150"/>
        <c:axId val="87775104"/>
        <c:axId val="87776640"/>
      </c:barChart>
      <c:catAx>
        <c:axId val="87775104"/>
        <c:scaling>
          <c:orientation val="minMax"/>
        </c:scaling>
        <c:delete val="0"/>
        <c:axPos val="b"/>
        <c:numFmt formatCode="General" sourceLinked="0"/>
        <c:majorTickMark val="none"/>
        <c:minorTickMark val="none"/>
        <c:tickLblPos val="nextTo"/>
        <c:crossAx val="87776640"/>
        <c:crosses val="autoZero"/>
        <c:auto val="1"/>
        <c:lblAlgn val="ctr"/>
        <c:lblOffset val="100"/>
        <c:noMultiLvlLbl val="0"/>
      </c:catAx>
      <c:valAx>
        <c:axId val="87776640"/>
        <c:scaling>
          <c:orientation val="minMax"/>
          <c:max val="15"/>
          <c:min val="0"/>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87775104"/>
        <c:crosses val="autoZero"/>
        <c:crossBetween val="between"/>
        <c:majorUnit val="1"/>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Hoja4!$C$13</c:f>
              <c:strCache>
                <c:ptCount val="1"/>
                <c:pt idx="0">
                  <c:v>1.2.4</c:v>
                </c:pt>
              </c:strCache>
            </c:strRef>
          </c:tx>
          <c:invertIfNegative val="0"/>
          <c:cat>
            <c:strLit>
              <c:ptCount val="3"/>
              <c:pt idx="0">
                <c:v>Nº páginas cumplen</c:v>
              </c:pt>
              <c:pt idx="1">
                <c:v>Nº páginas no cumplen</c:v>
              </c:pt>
              <c:pt idx="2">
                <c:v>Nº páginas que no aplica</c:v>
              </c:pt>
            </c:strLit>
          </c:cat>
          <c:val>
            <c:numRef>
              <c:f>'5. Resultados x criterio'!$C$31:$E$31</c:f>
              <c:numCache>
                <c:formatCode>General</c:formatCode>
                <c:ptCount val="3"/>
                <c:pt idx="0">
                  <c:v>0</c:v>
                </c:pt>
                <c:pt idx="1">
                  <c:v>0</c:v>
                </c:pt>
                <c:pt idx="2">
                  <c:v>7</c:v>
                </c:pt>
              </c:numCache>
            </c:numRef>
          </c:val>
          <c:extLst>
            <c:ext xmlns:c16="http://schemas.microsoft.com/office/drawing/2014/chart" uri="{C3380CC4-5D6E-409C-BE32-E72D297353CC}">
              <c16:uniqueId val="{00000000-D084-418E-9E31-5A918D13D288}"/>
            </c:ext>
          </c:extLst>
        </c:ser>
        <c:ser>
          <c:idx val="1"/>
          <c:order val="1"/>
          <c:tx>
            <c:strRef>
              <c:f>Hoja4!$C$14</c:f>
              <c:strCache>
                <c:ptCount val="1"/>
                <c:pt idx="0">
                  <c:v>1.2.5</c:v>
                </c:pt>
              </c:strCache>
            </c:strRef>
          </c:tx>
          <c:invertIfNegative val="0"/>
          <c:cat>
            <c:strLit>
              <c:ptCount val="3"/>
              <c:pt idx="0">
                <c:v>Nº páginas cumplen</c:v>
              </c:pt>
              <c:pt idx="1">
                <c:v>Nº páginas no cumplen</c:v>
              </c:pt>
              <c:pt idx="2">
                <c:v>Nº páginas que no aplica</c:v>
              </c:pt>
            </c:strLit>
          </c:cat>
          <c:val>
            <c:numRef>
              <c:f>'5. Resultados x criterio'!$C$32:$E$32</c:f>
              <c:numCache>
                <c:formatCode>General</c:formatCode>
                <c:ptCount val="3"/>
                <c:pt idx="0">
                  <c:v>0</c:v>
                </c:pt>
                <c:pt idx="1">
                  <c:v>0</c:v>
                </c:pt>
                <c:pt idx="2">
                  <c:v>7</c:v>
                </c:pt>
              </c:numCache>
            </c:numRef>
          </c:val>
          <c:extLst>
            <c:ext xmlns:c16="http://schemas.microsoft.com/office/drawing/2014/chart" uri="{C3380CC4-5D6E-409C-BE32-E72D297353CC}">
              <c16:uniqueId val="{00000001-D084-418E-9E31-5A918D13D288}"/>
            </c:ext>
          </c:extLst>
        </c:ser>
        <c:ser>
          <c:idx val="2"/>
          <c:order val="2"/>
          <c:tx>
            <c:strRef>
              <c:f>Hoja4!$C$15</c:f>
              <c:strCache>
                <c:ptCount val="1"/>
                <c:pt idx="0">
                  <c:v>1.4.3</c:v>
                </c:pt>
              </c:strCache>
            </c:strRef>
          </c:tx>
          <c:invertIfNegative val="0"/>
          <c:cat>
            <c:strLit>
              <c:ptCount val="3"/>
              <c:pt idx="0">
                <c:v>Nº páginas cumplen</c:v>
              </c:pt>
              <c:pt idx="1">
                <c:v>Nº páginas no cumplen</c:v>
              </c:pt>
              <c:pt idx="2">
                <c:v>Nº páginas que no aplica</c:v>
              </c:pt>
            </c:strLit>
          </c:cat>
          <c:val>
            <c:numRef>
              <c:f>'5. Resultados x criterio'!$C$33:$E$33</c:f>
              <c:numCache>
                <c:formatCode>General</c:formatCode>
                <c:ptCount val="3"/>
                <c:pt idx="0">
                  <c:v>7</c:v>
                </c:pt>
                <c:pt idx="1">
                  <c:v>0</c:v>
                </c:pt>
                <c:pt idx="2">
                  <c:v>0</c:v>
                </c:pt>
              </c:numCache>
            </c:numRef>
          </c:val>
          <c:extLst>
            <c:ext xmlns:c16="http://schemas.microsoft.com/office/drawing/2014/chart" uri="{C3380CC4-5D6E-409C-BE32-E72D297353CC}">
              <c16:uniqueId val="{00000002-D084-418E-9E31-5A918D13D288}"/>
            </c:ext>
          </c:extLst>
        </c:ser>
        <c:ser>
          <c:idx val="3"/>
          <c:order val="3"/>
          <c:tx>
            <c:strRef>
              <c:f>Hoja4!$C$16</c:f>
              <c:strCache>
                <c:ptCount val="1"/>
                <c:pt idx="0">
                  <c:v>1.4.4</c:v>
                </c:pt>
              </c:strCache>
            </c:strRef>
          </c:tx>
          <c:invertIfNegative val="0"/>
          <c:cat>
            <c:strLit>
              <c:ptCount val="3"/>
              <c:pt idx="0">
                <c:v>Nº páginas cumplen</c:v>
              </c:pt>
              <c:pt idx="1">
                <c:v>Nº páginas no cumplen</c:v>
              </c:pt>
              <c:pt idx="2">
                <c:v>Nº páginas que no aplica</c:v>
              </c:pt>
            </c:strLit>
          </c:cat>
          <c:val>
            <c:numRef>
              <c:f>'5. Resultados x criterio'!$C$34:$E$34</c:f>
              <c:numCache>
                <c:formatCode>General</c:formatCode>
                <c:ptCount val="3"/>
                <c:pt idx="0">
                  <c:v>0</c:v>
                </c:pt>
                <c:pt idx="1">
                  <c:v>7</c:v>
                </c:pt>
                <c:pt idx="2">
                  <c:v>0</c:v>
                </c:pt>
              </c:numCache>
            </c:numRef>
          </c:val>
          <c:extLst>
            <c:ext xmlns:c16="http://schemas.microsoft.com/office/drawing/2014/chart" uri="{C3380CC4-5D6E-409C-BE32-E72D297353CC}">
              <c16:uniqueId val="{00000003-D084-418E-9E31-5A918D13D288}"/>
            </c:ext>
          </c:extLst>
        </c:ser>
        <c:ser>
          <c:idx val="4"/>
          <c:order val="4"/>
          <c:tx>
            <c:strRef>
              <c:f>Hoja4!$C$17</c:f>
              <c:strCache>
                <c:ptCount val="1"/>
                <c:pt idx="0">
                  <c:v>1.4.5</c:v>
                </c:pt>
              </c:strCache>
            </c:strRef>
          </c:tx>
          <c:invertIfNegative val="0"/>
          <c:cat>
            <c:strLit>
              <c:ptCount val="3"/>
              <c:pt idx="0">
                <c:v>Nº páginas cumplen</c:v>
              </c:pt>
              <c:pt idx="1">
                <c:v>Nº páginas no cumplen</c:v>
              </c:pt>
              <c:pt idx="2">
                <c:v>Nº páginas que no aplica</c:v>
              </c:pt>
            </c:strLit>
          </c:cat>
          <c:val>
            <c:numRef>
              <c:f>'5. Resultados x criterio'!$C$35:$E$35</c:f>
              <c:numCache>
                <c:formatCode>General</c:formatCode>
                <c:ptCount val="3"/>
                <c:pt idx="0">
                  <c:v>7</c:v>
                </c:pt>
                <c:pt idx="1">
                  <c:v>0</c:v>
                </c:pt>
                <c:pt idx="2">
                  <c:v>0</c:v>
                </c:pt>
              </c:numCache>
            </c:numRef>
          </c:val>
          <c:extLst>
            <c:ext xmlns:c16="http://schemas.microsoft.com/office/drawing/2014/chart" uri="{C3380CC4-5D6E-409C-BE32-E72D297353CC}">
              <c16:uniqueId val="{00000004-D084-418E-9E31-5A918D13D288}"/>
            </c:ext>
          </c:extLst>
        </c:ser>
        <c:ser>
          <c:idx val="5"/>
          <c:order val="5"/>
          <c:tx>
            <c:strRef>
              <c:f>Hoja4!$C$18</c:f>
              <c:strCache>
                <c:ptCount val="1"/>
                <c:pt idx="0">
                  <c:v>2.4.5</c:v>
                </c:pt>
              </c:strCache>
            </c:strRef>
          </c:tx>
          <c:invertIfNegative val="0"/>
          <c:cat>
            <c:strLit>
              <c:ptCount val="3"/>
              <c:pt idx="0">
                <c:v>Nº páginas cumplen</c:v>
              </c:pt>
              <c:pt idx="1">
                <c:v>Nº páginas no cumplen</c:v>
              </c:pt>
              <c:pt idx="2">
                <c:v>Nº páginas que no aplica</c:v>
              </c:pt>
            </c:strLit>
          </c:cat>
          <c:val>
            <c:numRef>
              <c:f>'5. Resultados x criterio'!$C$36:$E$36</c:f>
              <c:numCache>
                <c:formatCode>General</c:formatCode>
                <c:ptCount val="3"/>
                <c:pt idx="0">
                  <c:v>0</c:v>
                </c:pt>
                <c:pt idx="1">
                  <c:v>7</c:v>
                </c:pt>
                <c:pt idx="2">
                  <c:v>0</c:v>
                </c:pt>
              </c:numCache>
            </c:numRef>
          </c:val>
          <c:extLst>
            <c:ext xmlns:c16="http://schemas.microsoft.com/office/drawing/2014/chart" uri="{C3380CC4-5D6E-409C-BE32-E72D297353CC}">
              <c16:uniqueId val="{00000005-D084-418E-9E31-5A918D13D288}"/>
            </c:ext>
          </c:extLst>
        </c:ser>
        <c:ser>
          <c:idx val="6"/>
          <c:order val="6"/>
          <c:tx>
            <c:strRef>
              <c:f>Hoja4!$C$19</c:f>
              <c:strCache>
                <c:ptCount val="1"/>
                <c:pt idx="0">
                  <c:v>2.4.6</c:v>
                </c:pt>
              </c:strCache>
            </c:strRef>
          </c:tx>
          <c:invertIfNegative val="0"/>
          <c:cat>
            <c:strLit>
              <c:ptCount val="3"/>
              <c:pt idx="0">
                <c:v>Nº páginas cumplen</c:v>
              </c:pt>
              <c:pt idx="1">
                <c:v>Nº páginas no cumplen</c:v>
              </c:pt>
              <c:pt idx="2">
                <c:v>Nº páginas que no aplica</c:v>
              </c:pt>
            </c:strLit>
          </c:cat>
          <c:val>
            <c:numRef>
              <c:f>'5. Resultados x criterio'!$C$37:$E$37</c:f>
              <c:numCache>
                <c:formatCode>General</c:formatCode>
                <c:ptCount val="3"/>
                <c:pt idx="0">
                  <c:v>7</c:v>
                </c:pt>
                <c:pt idx="1">
                  <c:v>0</c:v>
                </c:pt>
                <c:pt idx="2">
                  <c:v>0</c:v>
                </c:pt>
              </c:numCache>
            </c:numRef>
          </c:val>
          <c:extLst>
            <c:ext xmlns:c16="http://schemas.microsoft.com/office/drawing/2014/chart" uri="{C3380CC4-5D6E-409C-BE32-E72D297353CC}">
              <c16:uniqueId val="{00000006-D084-418E-9E31-5A918D13D288}"/>
            </c:ext>
          </c:extLst>
        </c:ser>
        <c:ser>
          <c:idx val="7"/>
          <c:order val="7"/>
          <c:tx>
            <c:strRef>
              <c:f>Hoja4!$C$20</c:f>
              <c:strCache>
                <c:ptCount val="1"/>
                <c:pt idx="0">
                  <c:v>2.4.7</c:v>
                </c:pt>
              </c:strCache>
            </c:strRef>
          </c:tx>
          <c:invertIfNegative val="0"/>
          <c:cat>
            <c:strLit>
              <c:ptCount val="3"/>
              <c:pt idx="0">
                <c:v>Nº páginas cumplen</c:v>
              </c:pt>
              <c:pt idx="1">
                <c:v>Nº páginas no cumplen</c:v>
              </c:pt>
              <c:pt idx="2">
                <c:v>Nº páginas que no aplica</c:v>
              </c:pt>
            </c:strLit>
          </c:cat>
          <c:val>
            <c:numRef>
              <c:f>'5. Resultados x criterio'!$C$38:$E$38</c:f>
              <c:numCache>
                <c:formatCode>General</c:formatCode>
                <c:ptCount val="3"/>
                <c:pt idx="0">
                  <c:v>7</c:v>
                </c:pt>
                <c:pt idx="1">
                  <c:v>0</c:v>
                </c:pt>
                <c:pt idx="2">
                  <c:v>0</c:v>
                </c:pt>
              </c:numCache>
            </c:numRef>
          </c:val>
          <c:extLst>
            <c:ext xmlns:c16="http://schemas.microsoft.com/office/drawing/2014/chart" uri="{C3380CC4-5D6E-409C-BE32-E72D297353CC}">
              <c16:uniqueId val="{00000007-D084-418E-9E31-5A918D13D288}"/>
            </c:ext>
          </c:extLst>
        </c:ser>
        <c:ser>
          <c:idx val="8"/>
          <c:order val="8"/>
          <c:tx>
            <c:strRef>
              <c:f>Hoja4!$C$21</c:f>
              <c:strCache>
                <c:ptCount val="1"/>
                <c:pt idx="0">
                  <c:v>3.1.2</c:v>
                </c:pt>
              </c:strCache>
            </c:strRef>
          </c:tx>
          <c:invertIfNegative val="0"/>
          <c:cat>
            <c:strLit>
              <c:ptCount val="3"/>
              <c:pt idx="0">
                <c:v>Nº páginas cumplen</c:v>
              </c:pt>
              <c:pt idx="1">
                <c:v>Nº páginas no cumplen</c:v>
              </c:pt>
              <c:pt idx="2">
                <c:v>Nº páginas que no aplica</c:v>
              </c:pt>
            </c:strLit>
          </c:cat>
          <c:val>
            <c:numRef>
              <c:f>'5. Resultados x criterio'!$C$39:$E$39</c:f>
              <c:numCache>
                <c:formatCode>General</c:formatCode>
                <c:ptCount val="3"/>
                <c:pt idx="0">
                  <c:v>0</c:v>
                </c:pt>
                <c:pt idx="1">
                  <c:v>0</c:v>
                </c:pt>
                <c:pt idx="2">
                  <c:v>7</c:v>
                </c:pt>
              </c:numCache>
            </c:numRef>
          </c:val>
          <c:extLst>
            <c:ext xmlns:c16="http://schemas.microsoft.com/office/drawing/2014/chart" uri="{C3380CC4-5D6E-409C-BE32-E72D297353CC}">
              <c16:uniqueId val="{00000008-D084-418E-9E31-5A918D13D288}"/>
            </c:ext>
          </c:extLst>
        </c:ser>
        <c:ser>
          <c:idx val="9"/>
          <c:order val="9"/>
          <c:tx>
            <c:strRef>
              <c:f>Hoja4!$C$22</c:f>
              <c:strCache>
                <c:ptCount val="1"/>
                <c:pt idx="0">
                  <c:v>3.2.3</c:v>
                </c:pt>
              </c:strCache>
            </c:strRef>
          </c:tx>
          <c:invertIfNegative val="0"/>
          <c:cat>
            <c:strLit>
              <c:ptCount val="3"/>
              <c:pt idx="0">
                <c:v>Nº páginas cumplen</c:v>
              </c:pt>
              <c:pt idx="1">
                <c:v>Nº páginas no cumplen</c:v>
              </c:pt>
              <c:pt idx="2">
                <c:v>Nº páginas que no aplica</c:v>
              </c:pt>
            </c:strLit>
          </c:cat>
          <c:val>
            <c:numRef>
              <c:f>'5. Resultados x criterio'!$C$40:$E$40</c:f>
              <c:numCache>
                <c:formatCode>General</c:formatCode>
                <c:ptCount val="3"/>
                <c:pt idx="0">
                  <c:v>7</c:v>
                </c:pt>
                <c:pt idx="1">
                  <c:v>0</c:v>
                </c:pt>
                <c:pt idx="2">
                  <c:v>0</c:v>
                </c:pt>
              </c:numCache>
            </c:numRef>
          </c:val>
          <c:extLst>
            <c:ext xmlns:c16="http://schemas.microsoft.com/office/drawing/2014/chart" uri="{C3380CC4-5D6E-409C-BE32-E72D297353CC}">
              <c16:uniqueId val="{00000009-D084-418E-9E31-5A918D13D288}"/>
            </c:ext>
          </c:extLst>
        </c:ser>
        <c:ser>
          <c:idx val="10"/>
          <c:order val="10"/>
          <c:tx>
            <c:strRef>
              <c:f>Hoja4!$C$23</c:f>
              <c:strCache>
                <c:ptCount val="1"/>
                <c:pt idx="0">
                  <c:v>3.2.4</c:v>
                </c:pt>
              </c:strCache>
            </c:strRef>
          </c:tx>
          <c:invertIfNegative val="0"/>
          <c:cat>
            <c:strLit>
              <c:ptCount val="3"/>
              <c:pt idx="0">
                <c:v>Nº páginas cumplen</c:v>
              </c:pt>
              <c:pt idx="1">
                <c:v>Nº páginas no cumplen</c:v>
              </c:pt>
              <c:pt idx="2">
                <c:v>Nº páginas que no aplica</c:v>
              </c:pt>
            </c:strLit>
          </c:cat>
          <c:val>
            <c:numRef>
              <c:f>'5. Resultados x criterio'!$C$41:$E$41</c:f>
              <c:numCache>
                <c:formatCode>General</c:formatCode>
                <c:ptCount val="3"/>
                <c:pt idx="0">
                  <c:v>7</c:v>
                </c:pt>
                <c:pt idx="1">
                  <c:v>0</c:v>
                </c:pt>
                <c:pt idx="2">
                  <c:v>0</c:v>
                </c:pt>
              </c:numCache>
            </c:numRef>
          </c:val>
          <c:extLst>
            <c:ext xmlns:c16="http://schemas.microsoft.com/office/drawing/2014/chart" uri="{C3380CC4-5D6E-409C-BE32-E72D297353CC}">
              <c16:uniqueId val="{0000000A-D084-418E-9E31-5A918D13D288}"/>
            </c:ext>
          </c:extLst>
        </c:ser>
        <c:ser>
          <c:idx val="11"/>
          <c:order val="11"/>
          <c:tx>
            <c:strRef>
              <c:f>Hoja4!$C$24</c:f>
              <c:strCache>
                <c:ptCount val="1"/>
                <c:pt idx="0">
                  <c:v>3.3.3</c:v>
                </c:pt>
              </c:strCache>
            </c:strRef>
          </c:tx>
          <c:invertIfNegative val="0"/>
          <c:cat>
            <c:strLit>
              <c:ptCount val="3"/>
              <c:pt idx="0">
                <c:v>Nº páginas cumplen</c:v>
              </c:pt>
              <c:pt idx="1">
                <c:v>Nº páginas no cumplen</c:v>
              </c:pt>
              <c:pt idx="2">
                <c:v>Nº páginas que no aplica</c:v>
              </c:pt>
            </c:strLit>
          </c:cat>
          <c:val>
            <c:numRef>
              <c:f>'5. Resultados x criterio'!$C$42:$E$42</c:f>
              <c:numCache>
                <c:formatCode>General</c:formatCode>
                <c:ptCount val="3"/>
                <c:pt idx="0">
                  <c:v>7</c:v>
                </c:pt>
                <c:pt idx="1">
                  <c:v>0</c:v>
                </c:pt>
                <c:pt idx="2">
                  <c:v>0</c:v>
                </c:pt>
              </c:numCache>
            </c:numRef>
          </c:val>
          <c:extLst>
            <c:ext xmlns:c16="http://schemas.microsoft.com/office/drawing/2014/chart" uri="{C3380CC4-5D6E-409C-BE32-E72D297353CC}">
              <c16:uniqueId val="{0000000B-D084-418E-9E31-5A918D13D288}"/>
            </c:ext>
          </c:extLst>
        </c:ser>
        <c:ser>
          <c:idx val="12"/>
          <c:order val="12"/>
          <c:tx>
            <c:strRef>
              <c:f>Hoja4!$C$25</c:f>
              <c:strCache>
                <c:ptCount val="1"/>
                <c:pt idx="0">
                  <c:v>3.3.4</c:v>
                </c:pt>
              </c:strCache>
            </c:strRef>
          </c:tx>
          <c:invertIfNegative val="0"/>
          <c:cat>
            <c:strLit>
              <c:ptCount val="3"/>
              <c:pt idx="0">
                <c:v>Nº páginas cumplen</c:v>
              </c:pt>
              <c:pt idx="1">
                <c:v>Nº páginas no cumplen</c:v>
              </c:pt>
              <c:pt idx="2">
                <c:v>Nº páginas que no aplica</c:v>
              </c:pt>
            </c:strLit>
          </c:cat>
          <c:val>
            <c:numRef>
              <c:f>'5. Resultados x criterio'!$C$43:$E$43</c:f>
              <c:numCache>
                <c:formatCode>General</c:formatCode>
                <c:ptCount val="3"/>
                <c:pt idx="0">
                  <c:v>7</c:v>
                </c:pt>
                <c:pt idx="1">
                  <c:v>0</c:v>
                </c:pt>
                <c:pt idx="2">
                  <c:v>0</c:v>
                </c:pt>
              </c:numCache>
            </c:numRef>
          </c:val>
          <c:extLst>
            <c:ext xmlns:c16="http://schemas.microsoft.com/office/drawing/2014/chart" uri="{C3380CC4-5D6E-409C-BE32-E72D297353CC}">
              <c16:uniqueId val="{0000000C-D084-418E-9E31-5A918D13D288}"/>
            </c:ext>
          </c:extLst>
        </c:ser>
        <c:dLbls>
          <c:showLegendKey val="0"/>
          <c:showVal val="0"/>
          <c:showCatName val="0"/>
          <c:showSerName val="0"/>
          <c:showPercent val="0"/>
          <c:showBubbleSize val="0"/>
        </c:dLbls>
        <c:gapWidth val="150"/>
        <c:axId val="87849216"/>
        <c:axId val="87859200"/>
      </c:barChart>
      <c:catAx>
        <c:axId val="87849216"/>
        <c:scaling>
          <c:orientation val="minMax"/>
        </c:scaling>
        <c:delete val="0"/>
        <c:axPos val="b"/>
        <c:numFmt formatCode="General" sourceLinked="0"/>
        <c:majorTickMark val="none"/>
        <c:minorTickMark val="none"/>
        <c:tickLblPos val="nextTo"/>
        <c:crossAx val="87859200"/>
        <c:crosses val="autoZero"/>
        <c:auto val="1"/>
        <c:lblAlgn val="ctr"/>
        <c:lblOffset val="100"/>
        <c:noMultiLvlLbl val="0"/>
      </c:catAx>
      <c:valAx>
        <c:axId val="87859200"/>
        <c:scaling>
          <c:orientation val="minMax"/>
          <c:max val="15"/>
          <c:min val="0"/>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87849216"/>
        <c:crosses val="autoZero"/>
        <c:crossBetween val="between"/>
        <c:majorUnit val="1"/>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sz="1800" b="1" i="0" baseline="0">
                <a:effectLst/>
              </a:rPr>
              <a:t>% Promedio de Nivel de Cumplimiento </a:t>
            </a:r>
            <a:endParaRPr lang="es-CL">
              <a:effectLst/>
            </a:endParaRPr>
          </a:p>
        </c:rich>
      </c:tx>
      <c:layout/>
      <c:overlay val="0"/>
    </c:title>
    <c:autoTitleDeleted val="0"/>
    <c:plotArea>
      <c:layout/>
      <c:barChart>
        <c:barDir val="col"/>
        <c:grouping val="clustered"/>
        <c:varyColors val="0"/>
        <c:ser>
          <c:idx val="0"/>
          <c:order val="0"/>
          <c:invertIfNegative val="0"/>
          <c:dPt>
            <c:idx val="0"/>
            <c:invertIfNegative val="0"/>
            <c:bubble3D val="0"/>
            <c:extLst>
              <c:ext xmlns:c16="http://schemas.microsoft.com/office/drawing/2014/chart" uri="{C3380CC4-5D6E-409C-BE32-E72D297353CC}">
                <c16:uniqueId val="{00000000-2DD0-4D6F-8680-4A314201864A}"/>
              </c:ext>
            </c:extLst>
          </c:dPt>
          <c:dPt>
            <c:idx val="1"/>
            <c:invertIfNegative val="0"/>
            <c:bubble3D val="0"/>
            <c:extLst>
              <c:ext xmlns:c16="http://schemas.microsoft.com/office/drawing/2014/chart" uri="{C3380CC4-5D6E-409C-BE32-E72D297353CC}">
                <c16:uniqueId val="{00000001-2DD0-4D6F-8680-4A314201864A}"/>
              </c:ext>
            </c:extLst>
          </c:dPt>
          <c:dLbls>
            <c:dLbl>
              <c:idx val="1"/>
              <c:numFmt formatCode="#,##0.00" sourceLinked="0"/>
              <c:spPr/>
              <c:txPr>
                <a:bodyPr/>
                <a:lstStyle/>
                <a:p>
                  <a:pPr>
                    <a:defRPr sz="1800" b="1"/>
                  </a:pPr>
                  <a:endParaRPr lang="es-CO"/>
                </a:p>
              </c:txPr>
              <c:dLblPos val="inEnd"/>
              <c:showLegendKey val="0"/>
              <c:showVal val="1"/>
              <c:showCatName val="0"/>
              <c:showSerName val="0"/>
              <c:showPercent val="0"/>
              <c:showBubbleSize val="0"/>
              <c:extLst>
                <c:ext xmlns:c16="http://schemas.microsoft.com/office/drawing/2014/chart" uri="{C3380CC4-5D6E-409C-BE32-E72D297353CC}">
                  <c16:uniqueId val="{00000001-2DD0-4D6F-8680-4A314201864A}"/>
                </c:ext>
              </c:extLst>
            </c:dLbl>
            <c:spPr>
              <a:noFill/>
              <a:ln>
                <a:noFill/>
              </a:ln>
              <a:effectLst/>
            </c:spPr>
            <c:txPr>
              <a:bodyPr/>
              <a:lstStyle/>
              <a:p>
                <a:pPr>
                  <a:defRPr sz="1800" b="1"/>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'6. Resultados x principio'!$L$8:$M$8</c:f>
              <c:strCache>
                <c:ptCount val="2"/>
                <c:pt idx="0">
                  <c:v>Nivel A</c:v>
                </c:pt>
                <c:pt idx="1">
                  <c:v>Nivel AA</c:v>
                </c:pt>
              </c:strCache>
            </c:strRef>
          </c:cat>
          <c:val>
            <c:numRef>
              <c:f>'6. Resultados x principio'!$C$23:$D$23</c:f>
              <c:numCache>
                <c:formatCode>0.00</c:formatCode>
                <c:ptCount val="2"/>
                <c:pt idx="0">
                  <c:v>82.352941176470594</c:v>
                </c:pt>
                <c:pt idx="1">
                  <c:v>81.481481481481481</c:v>
                </c:pt>
              </c:numCache>
            </c:numRef>
          </c:val>
          <c:extLst>
            <c:ext xmlns:c16="http://schemas.microsoft.com/office/drawing/2014/chart" uri="{C3380CC4-5D6E-409C-BE32-E72D297353CC}">
              <c16:uniqueId val="{00000002-2DD0-4D6F-8680-4A314201864A}"/>
            </c:ext>
          </c:extLst>
        </c:ser>
        <c:dLbls>
          <c:showLegendKey val="0"/>
          <c:showVal val="0"/>
          <c:showCatName val="0"/>
          <c:showSerName val="0"/>
          <c:showPercent val="0"/>
          <c:showBubbleSize val="0"/>
        </c:dLbls>
        <c:gapWidth val="75"/>
        <c:overlap val="40"/>
        <c:axId val="87951616"/>
        <c:axId val="87957504"/>
      </c:barChart>
      <c:catAx>
        <c:axId val="87951616"/>
        <c:scaling>
          <c:orientation val="minMax"/>
        </c:scaling>
        <c:delete val="0"/>
        <c:axPos val="b"/>
        <c:numFmt formatCode="General" sourceLinked="1"/>
        <c:majorTickMark val="none"/>
        <c:minorTickMark val="none"/>
        <c:tickLblPos val="nextTo"/>
        <c:txPr>
          <a:bodyPr/>
          <a:lstStyle/>
          <a:p>
            <a:pPr>
              <a:defRPr b="1"/>
            </a:pPr>
            <a:endParaRPr lang="es-CO"/>
          </a:p>
        </c:txPr>
        <c:crossAx val="87957504"/>
        <c:crosses val="autoZero"/>
        <c:auto val="1"/>
        <c:lblAlgn val="ctr"/>
        <c:lblOffset val="100"/>
        <c:noMultiLvlLbl val="0"/>
      </c:catAx>
      <c:valAx>
        <c:axId val="87957504"/>
        <c:scaling>
          <c:orientation val="minMax"/>
        </c:scaling>
        <c:delete val="0"/>
        <c:axPos val="l"/>
        <c:majorGridlines/>
        <c:numFmt formatCode="0.00" sourceLinked="1"/>
        <c:majorTickMark val="none"/>
        <c:minorTickMark val="none"/>
        <c:tickLblPos val="nextTo"/>
        <c:txPr>
          <a:bodyPr/>
          <a:lstStyle/>
          <a:p>
            <a:pPr>
              <a:defRPr b="1"/>
            </a:pPr>
            <a:endParaRPr lang="es-CO"/>
          </a:p>
        </c:txPr>
        <c:crossAx val="8795161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4</xdr:row>
      <xdr:rowOff>247649</xdr:rowOff>
    </xdr:from>
    <xdr:to>
      <xdr:col>5</xdr:col>
      <xdr:colOff>514350</xdr:colOff>
      <xdr:row>4</xdr:row>
      <xdr:rowOff>2847974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742949</xdr:colOff>
      <xdr:row>36</xdr:row>
      <xdr:rowOff>85724</xdr:rowOff>
    </xdr:from>
    <xdr:to>
      <xdr:col>10</xdr:col>
      <xdr:colOff>161925</xdr:colOff>
      <xdr:row>67</xdr:row>
      <xdr:rowOff>142876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38102</xdr:colOff>
      <xdr:row>5</xdr:row>
      <xdr:rowOff>38100</xdr:rowOff>
    </xdr:from>
    <xdr:to>
      <xdr:col>5</xdr:col>
      <xdr:colOff>1400176</xdr:colOff>
      <xdr:row>19</xdr:row>
      <xdr:rowOff>114300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82</xdr:row>
      <xdr:rowOff>66675</xdr:rowOff>
    </xdr:from>
    <xdr:to>
      <xdr:col>8</xdr:col>
      <xdr:colOff>1117601</xdr:colOff>
      <xdr:row>114</xdr:row>
      <xdr:rowOff>180976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5</xdr:row>
      <xdr:rowOff>180974</xdr:rowOff>
    </xdr:from>
    <xdr:to>
      <xdr:col>19</xdr:col>
      <xdr:colOff>180976</xdr:colOff>
      <xdr:row>20</xdr:row>
      <xdr:rowOff>323850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30</xdr:row>
      <xdr:rowOff>180975</xdr:rowOff>
    </xdr:from>
    <xdr:to>
      <xdr:col>19</xdr:col>
      <xdr:colOff>561975</xdr:colOff>
      <xdr:row>43</xdr:row>
      <xdr:rowOff>0</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752475</xdr:colOff>
      <xdr:row>5</xdr:row>
      <xdr:rowOff>200025</xdr:rowOff>
    </xdr:from>
    <xdr:to>
      <xdr:col>32</xdr:col>
      <xdr:colOff>152400</xdr:colOff>
      <xdr:row>15</xdr:row>
      <xdr:rowOff>942976</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9525</xdr:colOff>
      <xdr:row>30</xdr:row>
      <xdr:rowOff>190500</xdr:rowOff>
    </xdr:from>
    <xdr:to>
      <xdr:col>32</xdr:col>
      <xdr:colOff>171450</xdr:colOff>
      <xdr:row>46</xdr:row>
      <xdr:rowOff>142876</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1314450</xdr:colOff>
      <xdr:row>26</xdr:row>
      <xdr:rowOff>133350</xdr:rowOff>
    </xdr:from>
    <xdr:to>
      <xdr:col>4</xdr:col>
      <xdr:colOff>838200</xdr:colOff>
      <xdr:row>45</xdr:row>
      <xdr:rowOff>28575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1114425</xdr:colOff>
      <xdr:row>26</xdr:row>
      <xdr:rowOff>104775</xdr:rowOff>
    </xdr:from>
    <xdr:to>
      <xdr:col>9</xdr:col>
      <xdr:colOff>85725</xdr:colOff>
      <xdr:row>45</xdr:row>
      <xdr:rowOff>19050</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ebas\Downloads\modific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A"/>
      <sheetName val="AA"/>
      <sheetName val="Criterios de éxito"/>
      <sheetName val="Resumen"/>
      <sheetName val="Tabla Resumen"/>
      <sheetName val="Hoja4"/>
    </sheetNames>
    <sheetDataSet>
      <sheetData sheetId="0"/>
      <sheetData sheetId="1"/>
      <sheetData sheetId="2"/>
      <sheetData sheetId="3"/>
      <sheetData sheetId="4"/>
      <sheetData sheetId="5">
        <row r="2">
          <cell r="P2" t="str">
            <v>Perceptible</v>
          </cell>
        </row>
      </sheetData>
      <sheetData sheetId="6">
        <row r="5">
          <cell r="A5" t="str">
            <v>Sí</v>
          </cell>
        </row>
        <row r="6">
          <cell r="A6" t="str">
            <v>No</v>
          </cell>
        </row>
        <row r="7">
          <cell r="A7" t="str">
            <v>No se aplica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sableyaccesible.com/recurso_glosario.php" TargetMode="Externa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27.0.0.1:8000/admin/" TargetMode="External"/><Relationship Id="rId3" Type="http://schemas.openxmlformats.org/officeDocument/2006/relationships/hyperlink" Target="http://olgacarreras.blogspot.com.es/2012/04/metodologia-de-evaluacion-de.html" TargetMode="External"/><Relationship Id="rId7" Type="http://schemas.openxmlformats.org/officeDocument/2006/relationships/hyperlink" Target="http://127.0.0.1:8000/admin/users/" TargetMode="Externa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6" Type="http://schemas.openxmlformats.org/officeDocument/2006/relationships/hyperlink" Target="http://127.0.0.1:8000/admin/services/" TargetMode="External"/><Relationship Id="rId5" Type="http://schemas.openxmlformats.org/officeDocument/2006/relationships/hyperlink" Target="http://127.0.0.1:8000/admin/appointments/" TargetMode="External"/><Relationship Id="rId4" Type="http://schemas.openxmlformats.org/officeDocument/2006/relationships/hyperlink" Target="http://127.0.0.1:8000/appointments/" TargetMode="External"/><Relationship Id="rId9" Type="http://schemas.openxmlformats.org/officeDocument/2006/relationships/hyperlink" Target="http://127.0.0.1:8000/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usableyaccesible.com/recurso_descargas.html" TargetMode="External"/><Relationship Id="rId13" Type="http://schemas.openxmlformats.org/officeDocument/2006/relationships/hyperlink" Target="http://www.w3.org/TR/UNDERSTANDING-WCAG20/time-limits-required-behaviors.html" TargetMode="External"/><Relationship Id="rId18" Type="http://schemas.openxmlformats.org/officeDocument/2006/relationships/hyperlink" Target="http://www.w3.org/TR/UNDERSTANDING-WCAG20/navigation-mechanisms-focus-order.html" TargetMode="External"/><Relationship Id="rId26" Type="http://schemas.openxmlformats.org/officeDocument/2006/relationships/hyperlink" Target="http://www.w3.org/TR/UNDERSTANDING-WCAG20/ensure-compat-rsv.html" TargetMode="External"/><Relationship Id="rId3" Type="http://schemas.openxmlformats.org/officeDocument/2006/relationships/hyperlink" Target="http://www.w3.org/TR/UNDERSTANDING-WCAG20/media-equiv-audio-desc.html" TargetMode="External"/><Relationship Id="rId21" Type="http://schemas.openxmlformats.org/officeDocument/2006/relationships/hyperlink" Target="http://www.w3.org/TR/UNDERSTANDING-WCAG20/consistent-behavior-receive-focus.html" TargetMode="External"/><Relationship Id="rId7" Type="http://schemas.openxmlformats.org/officeDocument/2006/relationships/hyperlink" Target="mailto:carreras.olga@gmail.com" TargetMode="External"/><Relationship Id="rId12" Type="http://schemas.openxmlformats.org/officeDocument/2006/relationships/hyperlink" Target="http://www.w3.org/TR/UNDERSTANDING-WCAG20/keyboard-operation-trapping.html" TargetMode="External"/><Relationship Id="rId17" Type="http://schemas.openxmlformats.org/officeDocument/2006/relationships/hyperlink" Target="http://www.w3.org/TR/UNDERSTANDING-WCAG20/navigation-mechanisms-title.html" TargetMode="External"/><Relationship Id="rId25" Type="http://schemas.openxmlformats.org/officeDocument/2006/relationships/hyperlink" Target="http://www.w3.org/TR/UNDERSTANDING-WCAG20/ensure-compat-parses.html" TargetMode="External"/><Relationship Id="rId2" Type="http://schemas.openxmlformats.org/officeDocument/2006/relationships/hyperlink" Target="http://www.w3.org/TR/UNDERSTANDING-WCAG20/media-equiv-captions.html" TargetMode="External"/><Relationship Id="rId16" Type="http://schemas.openxmlformats.org/officeDocument/2006/relationships/hyperlink" Target="http://www.w3.org/TR/UNDERSTANDING-WCAG20/navigation-mechanisms-skip.html" TargetMode="External"/><Relationship Id="rId20" Type="http://schemas.openxmlformats.org/officeDocument/2006/relationships/hyperlink" Target="http://www.w3.org/TR/UNDERSTANDING-WCAG20/meaning-doc-lang-id.html" TargetMode="External"/><Relationship Id="rId29" Type="http://schemas.openxmlformats.org/officeDocument/2006/relationships/hyperlink" Target="http://olgacarreras.blogspot.com.es/2014/07/textos-alternativos-imagenes-accesibles.html" TargetMode="External"/><Relationship Id="rId1" Type="http://schemas.openxmlformats.org/officeDocument/2006/relationships/hyperlink" Target="http://www.w3.org/TR/UNDERSTANDING-WCAG20/text-equiv-all.html" TargetMode="External"/><Relationship Id="rId6" Type="http://schemas.openxmlformats.org/officeDocument/2006/relationships/hyperlink" Target="http://www.w3.org/TR/UNDERSTANDING-WCAG20/content-structure-separation-understanding.html" TargetMode="External"/><Relationship Id="rId11" Type="http://schemas.openxmlformats.org/officeDocument/2006/relationships/hyperlink" Target="http://www.w3.org/TR/UNDERSTANDING-WCAG20/keyboard-operation-keyboard-operable.html" TargetMode="External"/><Relationship Id="rId24" Type="http://schemas.openxmlformats.org/officeDocument/2006/relationships/hyperlink" Target="http://www.w3.org/TR/UNDERSTANDING-WCAG20/minimize-error-cues.html" TargetMode="External"/><Relationship Id="rId5" Type="http://schemas.openxmlformats.org/officeDocument/2006/relationships/hyperlink" Target="http://www.w3.org/TR/UNDERSTANDING-WCAG20/content-structure-separation-sequence.html" TargetMode="External"/><Relationship Id="rId15" Type="http://schemas.openxmlformats.org/officeDocument/2006/relationships/hyperlink" Target="http://www.w3.org/TR/UNDERSTANDING-WCAG20/seizure-does-not-violate.html" TargetMode="External"/><Relationship Id="rId23" Type="http://schemas.openxmlformats.org/officeDocument/2006/relationships/hyperlink" Target="http://www.w3.org/TR/UNDERSTANDING-WCAG20/minimize-error-identified.html" TargetMode="External"/><Relationship Id="rId28" Type="http://schemas.openxmlformats.org/officeDocument/2006/relationships/hyperlink" Target="http://qweos.net/blog/2009/01/28/guias-practicas-para-profesionales-web-puntos-de-verificacion-de-las-pautas-de-accesibilidad-al-contenido-web-wcag-20/" TargetMode="External"/><Relationship Id="rId10" Type="http://schemas.openxmlformats.org/officeDocument/2006/relationships/hyperlink" Target="http://www.w3.org/TR/UNDERSTANDING-WCAG20/visual-audio-contrast-dis-audio.html" TargetMode="External"/><Relationship Id="rId19" Type="http://schemas.openxmlformats.org/officeDocument/2006/relationships/hyperlink" Target="http://www.w3.org/TR/UNDERSTANDING-WCAG20/navigation-mechanisms-refs.html" TargetMode="External"/><Relationship Id="rId31" Type="http://schemas.openxmlformats.org/officeDocument/2006/relationships/printerSettings" Target="../printerSettings/printerSettings2.bin"/><Relationship Id="rId4" Type="http://schemas.openxmlformats.org/officeDocument/2006/relationships/hyperlink" Target="http://www.w3.org/TR/UNDERSTANDING-WCAG20/content-structure-separation-programmatic.html" TargetMode="External"/><Relationship Id="rId9" Type="http://schemas.openxmlformats.org/officeDocument/2006/relationships/hyperlink" Target="http://www.w3.org/TR/UNDERSTANDING-WCAG20/visual-audio-contrast-without-color.html" TargetMode="External"/><Relationship Id="rId14" Type="http://schemas.openxmlformats.org/officeDocument/2006/relationships/hyperlink" Target="http://www.w3.org/TR/UNDERSTANDING-WCAG20/time-limits-pause.html" TargetMode="External"/><Relationship Id="rId22" Type="http://schemas.openxmlformats.org/officeDocument/2006/relationships/hyperlink" Target="http://www.w3.org/TR/UNDERSTANDING-WCAG20/consistent-behavior-unpredictable-change.html" TargetMode="External"/><Relationship Id="rId27" Type="http://schemas.openxmlformats.org/officeDocument/2006/relationships/hyperlink" Target="http://www.w3.org/TR/UNDERSTANDING-WCAG20/media-equiv-av-only-alt.html" TargetMode="External"/><Relationship Id="rId30" Type="http://schemas.openxmlformats.org/officeDocument/2006/relationships/hyperlink" Target="http://olgacarreras.blogspot.com.es/2009/04/dos-anos-de-usable-y-accesible.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www.w3.org/TR/UNDERSTANDING-WCAG20/visual-audio-contrast-text-presentation.html" TargetMode="External"/><Relationship Id="rId13" Type="http://schemas.openxmlformats.org/officeDocument/2006/relationships/hyperlink" Target="http://www.w3.org/TR/UNDERSTANDING-WCAG20/consistent-behavior-consistent-locations.html" TargetMode="External"/><Relationship Id="rId3" Type="http://schemas.openxmlformats.org/officeDocument/2006/relationships/hyperlink" Target="http://qweos.net/blog/2009/01/28/guias-practicas-para-profesionales-web-puntos-de-verificacion-de-las-pautas-de-accesibilidad-al-contenido-web-wcag-20/" TargetMode="External"/><Relationship Id="rId7" Type="http://schemas.openxmlformats.org/officeDocument/2006/relationships/hyperlink" Target="http://www.w3.org/TR/UNDERSTANDING-WCAG20/visual-audio-contrast-scale.html" TargetMode="External"/><Relationship Id="rId12" Type="http://schemas.openxmlformats.org/officeDocument/2006/relationships/hyperlink" Target="http://www.w3.org/TR/UNDERSTANDING-WCAG20/meaning-other-lang-id.html" TargetMode="External"/><Relationship Id="rId2" Type="http://schemas.openxmlformats.org/officeDocument/2006/relationships/hyperlink" Target="http://www.usableyaccesible.com/recurso_descargas.html" TargetMode="External"/><Relationship Id="rId16" Type="http://schemas.openxmlformats.org/officeDocument/2006/relationships/hyperlink" Target="http://www.w3.org/TR/UNDERSTANDING-WCAG20/minimize-error-reversible.html" TargetMode="External"/><Relationship Id="rId1" Type="http://schemas.openxmlformats.org/officeDocument/2006/relationships/hyperlink" Target="mailto:carreras.olga@gmail.com" TargetMode="External"/><Relationship Id="rId6" Type="http://schemas.openxmlformats.org/officeDocument/2006/relationships/hyperlink" Target="http://www.w3.org/TR/UNDERSTANDING-WCAG20/visual-audio-contrast-contrast.html" TargetMode="External"/><Relationship Id="rId11" Type="http://schemas.openxmlformats.org/officeDocument/2006/relationships/hyperlink" Target="http://www.w3.org/TR/UNDERSTANDING-WCAG20/navigation-mechanisms-focus-visible.html" TargetMode="External"/><Relationship Id="rId5" Type="http://schemas.openxmlformats.org/officeDocument/2006/relationships/hyperlink" Target="http://www.w3.org/TR/UNDERSTANDING-WCAG20/media-equiv-audio-desc-only.html" TargetMode="External"/><Relationship Id="rId15" Type="http://schemas.openxmlformats.org/officeDocument/2006/relationships/hyperlink" Target="http://www.w3.org/TR/UNDERSTANDING-WCAG20/minimize-error-suggestions.html" TargetMode="External"/><Relationship Id="rId10" Type="http://schemas.openxmlformats.org/officeDocument/2006/relationships/hyperlink" Target="http://www.w3.org/TR/UNDERSTANDING-WCAG20/navigation-mechanisms-descriptive.html" TargetMode="External"/><Relationship Id="rId4" Type="http://schemas.openxmlformats.org/officeDocument/2006/relationships/hyperlink" Target="http://www.w3.org/TR/UNDERSTANDING-WCAG20/media-equiv-real-time-captions.html" TargetMode="External"/><Relationship Id="rId9" Type="http://schemas.openxmlformats.org/officeDocument/2006/relationships/hyperlink" Target="http://www.w3.org/TR/UNDERSTANDING-WCAG20/navigation-mechanisms-mult-loc.html" TargetMode="External"/><Relationship Id="rId14" Type="http://schemas.openxmlformats.org/officeDocument/2006/relationships/hyperlink" Target="http://www.w3.org/TR/UNDERSTANDING-WCAG20/consistent-behavior-consistent-functionality.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2"/>
  <sheetViews>
    <sheetView showGridLines="0" tabSelected="1" workbookViewId="0">
      <selection activeCell="B23" sqref="B23"/>
    </sheetView>
  </sheetViews>
  <sheetFormatPr baseColWidth="10" defaultColWidth="9.125" defaultRowHeight="15" x14ac:dyDescent="0.25"/>
  <cols>
    <col min="1" max="1" width="49.875" style="124" customWidth="1"/>
    <col min="2" max="2" width="105" style="124" customWidth="1"/>
    <col min="3" max="3" width="204.625" style="124" customWidth="1"/>
    <col min="4" max="4" width="19.625" style="124" customWidth="1"/>
    <col min="5" max="5" width="63.25" style="124" customWidth="1"/>
    <col min="6" max="16384" width="9.125" style="124"/>
  </cols>
  <sheetData>
    <row r="1" spans="1:82" ht="28.5" customHeight="1" x14ac:dyDescent="0.25">
      <c r="A1" s="173" t="s">
        <v>170</v>
      </c>
      <c r="B1" s="173"/>
    </row>
    <row r="2" spans="1:82" x14ac:dyDescent="0.25">
      <c r="A2" s="173"/>
      <c r="B2" s="173"/>
    </row>
    <row r="3" spans="1:82" ht="28.5" x14ac:dyDescent="0.25">
      <c r="A3" s="125" t="s">
        <v>184</v>
      </c>
      <c r="B3" s="126"/>
    </row>
    <row r="5" spans="1:82" ht="18.75" x14ac:dyDescent="0.3">
      <c r="A5" s="127" t="s">
        <v>0</v>
      </c>
      <c r="B5" s="30" t="s">
        <v>446</v>
      </c>
    </row>
    <row r="6" spans="1:82" ht="18.75" x14ac:dyDescent="0.3">
      <c r="A6" s="127" t="s">
        <v>174</v>
      </c>
      <c r="B6" s="28" t="s">
        <v>447</v>
      </c>
      <c r="C6" s="124" t="s">
        <v>177</v>
      </c>
    </row>
    <row r="7" spans="1:82" ht="18.75" x14ac:dyDescent="0.3">
      <c r="A7" s="127" t="s">
        <v>175</v>
      </c>
      <c r="B7" s="29" t="s">
        <v>448</v>
      </c>
      <c r="C7" s="124" t="s">
        <v>176</v>
      </c>
    </row>
    <row r="8" spans="1:82" ht="18.75" x14ac:dyDescent="0.3">
      <c r="A8" s="127" t="s">
        <v>179</v>
      </c>
      <c r="B8" s="27" t="s">
        <v>449</v>
      </c>
    </row>
    <row r="9" spans="1:82" ht="18.75" x14ac:dyDescent="0.3">
      <c r="A9" s="127" t="s">
        <v>1</v>
      </c>
      <c r="B9" s="30" t="s">
        <v>446</v>
      </c>
    </row>
    <row r="10" spans="1:82" ht="18.75" x14ac:dyDescent="0.3">
      <c r="A10" s="127" t="s">
        <v>178</v>
      </c>
      <c r="B10" s="166" t="s">
        <v>22</v>
      </c>
      <c r="C10" s="124" t="s">
        <v>444</v>
      </c>
    </row>
    <row r="11" spans="1:82" ht="18.75" x14ac:dyDescent="0.3">
      <c r="A11" s="127" t="s">
        <v>180</v>
      </c>
      <c r="B11" s="29"/>
      <c r="C11" s="124" t="s">
        <v>181</v>
      </c>
    </row>
    <row r="12" spans="1:82" ht="18.75" x14ac:dyDescent="0.3">
      <c r="A12" s="127" t="s">
        <v>182</v>
      </c>
      <c r="B12" s="29"/>
      <c r="C12" s="128" t="s">
        <v>183</v>
      </c>
    </row>
    <row r="15" spans="1:82" ht="15.75" thickBot="1" x14ac:dyDescent="0.3"/>
    <row r="16" spans="1:82" s="130" customFormat="1" ht="9" customHeight="1" thickTop="1" thickBot="1" x14ac:dyDescent="0.3">
      <c r="A16" s="172"/>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c r="CB16" s="129"/>
      <c r="CC16" s="129"/>
      <c r="CD16" s="129"/>
    </row>
    <row r="17" spans="1:82" s="133" customFormat="1" ht="15.75" thickTop="1" x14ac:dyDescent="0.25">
      <c r="A17" s="131" t="s">
        <v>44</v>
      </c>
      <c r="B17" s="174" t="s">
        <v>2</v>
      </c>
      <c r="C17" s="174"/>
      <c r="D17" s="174"/>
      <c r="E17" s="174"/>
      <c r="F17" s="174"/>
      <c r="G17" s="174"/>
      <c r="H17" s="174"/>
      <c r="I17" s="174"/>
      <c r="J17" s="174"/>
      <c r="K17" s="132"/>
      <c r="L17" s="132"/>
      <c r="M17" s="132"/>
      <c r="N17" s="132"/>
      <c r="O17" s="132"/>
      <c r="P17" s="132"/>
      <c r="Q17" s="132"/>
      <c r="R17" s="132"/>
      <c r="S17" s="132"/>
      <c r="T17" s="132"/>
      <c r="U17" s="132"/>
      <c r="V17" s="132"/>
      <c r="W17" s="132"/>
      <c r="X17" s="132"/>
      <c r="Y17" s="132"/>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c r="BY17" s="129"/>
      <c r="BZ17" s="129"/>
      <c r="CA17" s="129"/>
      <c r="CB17" s="129"/>
      <c r="CC17" s="129"/>
      <c r="CD17" s="129"/>
    </row>
    <row r="18" spans="1:82" s="130" customFormat="1" x14ac:dyDescent="0.25">
      <c r="A18" s="134" t="s">
        <v>173</v>
      </c>
      <c r="B18" s="175" t="s">
        <v>47</v>
      </c>
      <c r="C18" s="176"/>
      <c r="D18" s="176"/>
      <c r="E18" s="176"/>
      <c r="F18" s="176"/>
      <c r="G18" s="176"/>
      <c r="H18" s="176"/>
      <c r="I18" s="176"/>
      <c r="J18" s="176"/>
      <c r="K18" s="132"/>
      <c r="L18" s="132"/>
      <c r="M18" s="132"/>
      <c r="N18" s="132"/>
      <c r="O18" s="132"/>
      <c r="P18" s="132"/>
      <c r="Q18" s="132"/>
      <c r="R18" s="132"/>
      <c r="S18" s="132"/>
      <c r="T18" s="132"/>
      <c r="U18" s="132"/>
      <c r="V18" s="132"/>
      <c r="W18" s="132"/>
      <c r="X18" s="132"/>
      <c r="Y18" s="132"/>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s="129"/>
      <c r="BQ18" s="129"/>
      <c r="BR18" s="129"/>
      <c r="BS18" s="129"/>
      <c r="BT18" s="129"/>
      <c r="BU18" s="129"/>
      <c r="BV18" s="129"/>
      <c r="BW18" s="129"/>
      <c r="BX18" s="129"/>
      <c r="BY18" s="129"/>
      <c r="BZ18" s="129"/>
      <c r="CA18" s="129"/>
      <c r="CB18" s="129"/>
      <c r="CC18" s="129"/>
      <c r="CD18" s="129"/>
    </row>
    <row r="19" spans="1:82" s="130" customFormat="1" x14ac:dyDescent="0.25">
      <c r="A19" s="134" t="s">
        <v>45</v>
      </c>
      <c r="B19" s="176" t="s">
        <v>46</v>
      </c>
      <c r="C19" s="176"/>
      <c r="D19" s="176"/>
      <c r="E19" s="176"/>
      <c r="F19" s="176"/>
      <c r="G19" s="176"/>
      <c r="H19" s="176"/>
      <c r="I19" s="176"/>
      <c r="J19" s="176"/>
      <c r="K19" s="132"/>
      <c r="L19" s="132"/>
      <c r="M19" s="132"/>
      <c r="N19" s="132"/>
      <c r="O19" s="132"/>
      <c r="P19" s="132"/>
      <c r="Q19" s="132"/>
      <c r="R19" s="132"/>
      <c r="S19" s="132"/>
      <c r="T19" s="132"/>
      <c r="U19" s="132"/>
      <c r="V19" s="132"/>
      <c r="W19" s="132"/>
      <c r="X19" s="132"/>
      <c r="Y19" s="132"/>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29"/>
    </row>
    <row r="20" spans="1:82" s="130" customFormat="1" x14ac:dyDescent="0.25">
      <c r="A20" s="135" t="s">
        <v>171</v>
      </c>
      <c r="B20" s="177" t="s">
        <v>437</v>
      </c>
      <c r="C20" s="177"/>
      <c r="D20" s="177"/>
      <c r="E20" s="177"/>
      <c r="F20" s="177"/>
      <c r="G20" s="177"/>
      <c r="H20" s="177"/>
      <c r="I20" s="177"/>
      <c r="J20" s="177"/>
      <c r="K20" s="132"/>
      <c r="L20" s="132"/>
      <c r="M20" s="132"/>
      <c r="N20" s="132"/>
      <c r="O20" s="132"/>
      <c r="P20" s="132"/>
      <c r="Q20" s="132"/>
      <c r="R20" s="132"/>
      <c r="S20" s="132"/>
      <c r="T20" s="132"/>
      <c r="U20" s="132"/>
      <c r="V20" s="132"/>
      <c r="W20" s="132"/>
      <c r="X20" s="132"/>
      <c r="Y20" s="132"/>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c r="BY20" s="129"/>
      <c r="BZ20" s="129"/>
      <c r="CA20" s="129"/>
      <c r="CB20" s="129"/>
      <c r="CC20" s="129"/>
      <c r="CD20" s="129"/>
    </row>
    <row r="21" spans="1:82" s="130" customFormat="1" x14ac:dyDescent="0.25">
      <c r="A21" s="134" t="s">
        <v>172</v>
      </c>
      <c r="B21" s="171" t="s">
        <v>52</v>
      </c>
      <c r="C21" s="171"/>
      <c r="D21" s="171"/>
      <c r="E21" s="171"/>
      <c r="F21" s="171"/>
      <c r="G21" s="171"/>
      <c r="H21" s="171"/>
      <c r="I21" s="171"/>
      <c r="J21" s="171"/>
      <c r="K21" s="132"/>
      <c r="L21" s="132"/>
      <c r="M21" s="132"/>
      <c r="N21" s="132"/>
      <c r="O21" s="132"/>
      <c r="P21" s="132"/>
      <c r="Q21" s="132"/>
      <c r="R21" s="132"/>
      <c r="S21" s="132"/>
      <c r="T21" s="132"/>
      <c r="U21" s="132"/>
      <c r="V21" s="132"/>
      <c r="W21" s="132"/>
      <c r="X21" s="132"/>
      <c r="Y21" s="132"/>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c r="BY21" s="129"/>
      <c r="BZ21" s="129"/>
      <c r="CA21" s="129"/>
      <c r="CB21" s="129"/>
      <c r="CC21" s="129"/>
      <c r="CD21" s="129"/>
    </row>
    <row r="22" spans="1:82" s="130" customFormat="1" x14ac:dyDescent="0.25">
      <c r="K22" s="132"/>
      <c r="L22" s="132"/>
      <c r="M22" s="132"/>
      <c r="N22" s="132"/>
      <c r="O22" s="132"/>
      <c r="P22" s="132"/>
      <c r="Q22" s="132"/>
      <c r="R22" s="132"/>
      <c r="S22" s="132"/>
      <c r="T22" s="132"/>
      <c r="U22" s="132"/>
      <c r="V22" s="132"/>
      <c r="W22" s="132"/>
      <c r="X22" s="132"/>
      <c r="Y22" s="132"/>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c r="BO22" s="129"/>
      <c r="BP22" s="129"/>
      <c r="BQ22" s="129"/>
      <c r="BR22" s="129"/>
      <c r="BS22" s="129"/>
      <c r="BT22" s="129"/>
      <c r="BU22" s="129"/>
      <c r="BV22" s="129"/>
      <c r="BW22" s="129"/>
      <c r="BX22" s="129"/>
      <c r="BY22" s="129"/>
      <c r="BZ22" s="129"/>
      <c r="CA22" s="129"/>
      <c r="CB22" s="129"/>
      <c r="CC22" s="129"/>
      <c r="CD22" s="129"/>
    </row>
  </sheetData>
  <sheetProtection password="BD42" sheet="1" objects="1" scenarios="1" insertHyperlinks="0"/>
  <mergeCells count="9">
    <mergeCell ref="B21:J21"/>
    <mergeCell ref="A16:J16"/>
    <mergeCell ref="K16:W16"/>
    <mergeCell ref="X16:Y16"/>
    <mergeCell ref="A1:B2"/>
    <mergeCell ref="B17:J17"/>
    <mergeCell ref="B18:J18"/>
    <mergeCell ref="B19:J19"/>
    <mergeCell ref="B20:J20"/>
  </mergeCells>
  <dataValidations count="1">
    <dataValidation type="list" allowBlank="1" showInputMessage="1" showErrorMessage="1" sqref="B10">
      <formula1>nivel</formula1>
    </dataValidation>
  </dataValidations>
  <hyperlinks>
    <hyperlink ref="B19" r:id="rId1"/>
    <hyperlink ref="B18" r:id="rId2"/>
    <hyperlink ref="C12" r:id="rId3" location="compatible_accesibilidad" display="Tecnologías compatibles con la accesibilidad de las que se depende. Por ejemplo HTML5, CSS, DOM. Más información: http://www.usableyaccesible.com/recurso_glosario.php#compatible_accesibilidad"/>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8"/>
  <sheetViews>
    <sheetView topLeftCell="A4" workbookViewId="0">
      <selection activeCell="L18" sqref="L18"/>
    </sheetView>
  </sheetViews>
  <sheetFormatPr baseColWidth="10" defaultRowHeight="15" x14ac:dyDescent="0.25"/>
  <cols>
    <col min="1" max="1" width="66.625" customWidth="1"/>
  </cols>
  <sheetData>
    <row r="4" spans="1:13" x14ac:dyDescent="0.25">
      <c r="A4" s="7"/>
      <c r="B4" s="7"/>
      <c r="C4" s="7"/>
      <c r="D4" s="7"/>
    </row>
    <row r="5" spans="1:13" ht="18.75" x14ac:dyDescent="0.3">
      <c r="A5" s="35" t="s">
        <v>8</v>
      </c>
      <c r="B5" s="7"/>
      <c r="C5" s="7"/>
      <c r="D5" s="7"/>
    </row>
    <row r="6" spans="1:13" ht="18.75" x14ac:dyDescent="0.3">
      <c r="A6" s="35" t="s">
        <v>9</v>
      </c>
      <c r="B6" s="7"/>
      <c r="C6" s="7"/>
      <c r="D6" s="7"/>
    </row>
    <row r="7" spans="1:13" ht="18.75" x14ac:dyDescent="0.3">
      <c r="A7" s="35" t="s">
        <v>10</v>
      </c>
      <c r="B7" s="7"/>
      <c r="C7" s="7"/>
      <c r="D7" s="7"/>
    </row>
    <row r="8" spans="1:13" x14ac:dyDescent="0.25">
      <c r="A8" s="7"/>
      <c r="B8" s="7"/>
      <c r="C8" s="7"/>
      <c r="D8" s="7"/>
    </row>
    <row r="9" spans="1:13" x14ac:dyDescent="0.25">
      <c r="A9" s="7"/>
      <c r="B9" s="7"/>
      <c r="C9" s="7"/>
      <c r="D9" s="7"/>
    </row>
    <row r="10" spans="1:13" x14ac:dyDescent="0.25">
      <c r="A10" s="7"/>
      <c r="B10" s="7"/>
      <c r="C10" s="7"/>
      <c r="D10" s="7"/>
    </row>
    <row r="11" spans="1:13" x14ac:dyDescent="0.25">
      <c r="A11" s="7"/>
      <c r="B11" s="7"/>
      <c r="C11" s="7"/>
      <c r="D11" s="7"/>
      <c r="K11" t="s">
        <v>439</v>
      </c>
    </row>
    <row r="12" spans="1:13" x14ac:dyDescent="0.25">
      <c r="A12" s="7"/>
      <c r="B12" s="7"/>
      <c r="C12" s="7"/>
      <c r="D12" s="7"/>
      <c r="L12" t="s">
        <v>6</v>
      </c>
      <c r="M12" t="s">
        <v>22</v>
      </c>
    </row>
    <row r="13" spans="1:13" ht="15.75" x14ac:dyDescent="0.25">
      <c r="A13" s="106" t="s">
        <v>394</v>
      </c>
      <c r="B13" s="7"/>
      <c r="C13" s="115" t="s">
        <v>419</v>
      </c>
      <c r="D13" s="7"/>
      <c r="E13" t="s">
        <v>6</v>
      </c>
      <c r="H13">
        <v>1</v>
      </c>
      <c r="K13" t="s">
        <v>126</v>
      </c>
      <c r="L13">
        <v>9</v>
      </c>
      <c r="M13">
        <v>14</v>
      </c>
    </row>
    <row r="14" spans="1:13" ht="15.75" x14ac:dyDescent="0.25">
      <c r="A14" s="108" t="s">
        <v>396</v>
      </c>
      <c r="B14" s="7"/>
      <c r="C14" s="108" t="s">
        <v>420</v>
      </c>
      <c r="D14" s="7"/>
      <c r="E14" t="s">
        <v>22</v>
      </c>
      <c r="H14">
        <v>2</v>
      </c>
      <c r="K14" t="s">
        <v>132</v>
      </c>
      <c r="L14">
        <v>9</v>
      </c>
      <c r="M14">
        <v>12</v>
      </c>
    </row>
    <row r="15" spans="1:13" ht="15.75" x14ac:dyDescent="0.25">
      <c r="A15" s="110" t="s">
        <v>395</v>
      </c>
      <c r="B15" s="7"/>
      <c r="C15" s="115" t="s">
        <v>421</v>
      </c>
      <c r="D15" s="7"/>
      <c r="H15" s="8">
        <v>3</v>
      </c>
      <c r="K15" t="s">
        <v>134</v>
      </c>
      <c r="L15">
        <v>5</v>
      </c>
      <c r="M15">
        <v>10</v>
      </c>
    </row>
    <row r="16" spans="1:13" ht="15.75" x14ac:dyDescent="0.25">
      <c r="A16" s="112" t="s">
        <v>397</v>
      </c>
      <c r="B16" s="7"/>
      <c r="C16" s="108" t="s">
        <v>422</v>
      </c>
      <c r="D16" s="7"/>
      <c r="H16" s="8">
        <v>4</v>
      </c>
      <c r="K16" t="s">
        <v>136</v>
      </c>
      <c r="L16">
        <v>2</v>
      </c>
      <c r="M16">
        <v>2</v>
      </c>
    </row>
    <row r="17" spans="1:13" ht="15.75" x14ac:dyDescent="0.25">
      <c r="A17" s="113" t="s">
        <v>398</v>
      </c>
      <c r="B17" s="7"/>
      <c r="C17" s="115" t="s">
        <v>423</v>
      </c>
      <c r="D17" s="7"/>
      <c r="H17" s="8">
        <v>5</v>
      </c>
      <c r="L17">
        <f>SUM(L13:L16)</f>
        <v>25</v>
      </c>
      <c r="M17">
        <f>SUM(M13:M16)</f>
        <v>38</v>
      </c>
    </row>
    <row r="18" spans="1:13" ht="15.75" x14ac:dyDescent="0.25">
      <c r="A18" s="112" t="s">
        <v>399</v>
      </c>
      <c r="B18" s="7"/>
      <c r="C18" s="108" t="s">
        <v>424</v>
      </c>
      <c r="D18" s="7"/>
      <c r="H18" s="8">
        <v>6</v>
      </c>
    </row>
    <row r="19" spans="1:13" ht="15.75" x14ac:dyDescent="0.25">
      <c r="A19" s="113" t="s">
        <v>400</v>
      </c>
      <c r="B19" s="7"/>
      <c r="C19" s="115" t="s">
        <v>425</v>
      </c>
      <c r="D19" s="7"/>
      <c r="H19" s="8">
        <v>7</v>
      </c>
    </row>
    <row r="20" spans="1:13" ht="15.75" x14ac:dyDescent="0.25">
      <c r="A20" s="112" t="s">
        <v>401</v>
      </c>
      <c r="B20" s="7"/>
      <c r="C20" s="108" t="s">
        <v>426</v>
      </c>
      <c r="D20" s="7"/>
      <c r="H20" s="8">
        <v>8</v>
      </c>
    </row>
    <row r="21" spans="1:13" ht="15.75" x14ac:dyDescent="0.25">
      <c r="A21" s="113" t="s">
        <v>402</v>
      </c>
      <c r="B21" s="7"/>
      <c r="C21" s="115" t="s">
        <v>427</v>
      </c>
      <c r="D21" s="7"/>
      <c r="H21" s="8">
        <v>9</v>
      </c>
    </row>
    <row r="22" spans="1:13" ht="15.75" x14ac:dyDescent="0.25">
      <c r="A22" s="112" t="s">
        <v>403</v>
      </c>
      <c r="B22" s="7"/>
      <c r="C22" s="108" t="s">
        <v>428</v>
      </c>
      <c r="D22" s="7"/>
      <c r="H22" s="8">
        <v>10</v>
      </c>
    </row>
    <row r="23" spans="1:13" ht="15.75" x14ac:dyDescent="0.25">
      <c r="A23" s="113" t="s">
        <v>404</v>
      </c>
      <c r="B23" s="7"/>
      <c r="C23" s="115" t="s">
        <v>429</v>
      </c>
      <c r="D23" s="7"/>
      <c r="H23" s="8">
        <v>11</v>
      </c>
    </row>
    <row r="24" spans="1:13" ht="15.75" x14ac:dyDescent="0.25">
      <c r="A24" s="112" t="s">
        <v>405</v>
      </c>
      <c r="B24" s="7"/>
      <c r="C24" s="108" t="s">
        <v>430</v>
      </c>
      <c r="D24" s="7"/>
      <c r="H24" s="8">
        <v>12</v>
      </c>
    </row>
    <row r="25" spans="1:13" ht="15.75" x14ac:dyDescent="0.25">
      <c r="A25" s="113" t="s">
        <v>406</v>
      </c>
      <c r="B25" s="7"/>
      <c r="C25" s="118" t="s">
        <v>431</v>
      </c>
      <c r="D25" s="7"/>
      <c r="H25" s="8">
        <v>13</v>
      </c>
    </row>
    <row r="26" spans="1:13" ht="15.75" x14ac:dyDescent="0.25">
      <c r="A26" s="112" t="s">
        <v>407</v>
      </c>
      <c r="B26" s="7"/>
      <c r="C26" s="7"/>
      <c r="D26" s="7"/>
      <c r="H26" s="8">
        <v>14</v>
      </c>
    </row>
    <row r="27" spans="1:13" ht="15.75" x14ac:dyDescent="0.25">
      <c r="A27" s="113" t="s">
        <v>408</v>
      </c>
      <c r="B27" s="7"/>
      <c r="C27" s="7"/>
      <c r="D27" s="7"/>
      <c r="H27" s="8">
        <v>15</v>
      </c>
    </row>
    <row r="28" spans="1:13" ht="15.75" x14ac:dyDescent="0.25">
      <c r="A28" s="112" t="s">
        <v>409</v>
      </c>
      <c r="B28" s="7"/>
      <c r="C28" s="7"/>
      <c r="D28" s="7"/>
    </row>
    <row r="29" spans="1:13" ht="15.75" x14ac:dyDescent="0.25">
      <c r="A29" s="113" t="s">
        <v>410</v>
      </c>
      <c r="B29" s="7"/>
      <c r="C29" s="7"/>
      <c r="D29" s="7"/>
    </row>
    <row r="30" spans="1:13" ht="15.75" x14ac:dyDescent="0.25">
      <c r="A30" s="112" t="s">
        <v>411</v>
      </c>
      <c r="B30" s="7"/>
      <c r="C30" s="7"/>
      <c r="D30" s="7"/>
    </row>
    <row r="31" spans="1:13" ht="15.75" x14ac:dyDescent="0.25">
      <c r="A31" s="113" t="s">
        <v>412</v>
      </c>
      <c r="B31" s="7"/>
      <c r="D31" s="7"/>
    </row>
    <row r="32" spans="1:13" ht="15.75" x14ac:dyDescent="0.25">
      <c r="A32" s="112" t="s">
        <v>413</v>
      </c>
      <c r="B32" s="7"/>
      <c r="D32" s="7"/>
    </row>
    <row r="33" spans="1:4" ht="15.75" x14ac:dyDescent="0.25">
      <c r="A33" s="113" t="s">
        <v>414</v>
      </c>
      <c r="B33" s="7"/>
      <c r="D33" s="7"/>
    </row>
    <row r="34" spans="1:4" ht="15.75" x14ac:dyDescent="0.25">
      <c r="A34" s="112" t="s">
        <v>415</v>
      </c>
      <c r="B34" s="7"/>
      <c r="D34" s="7"/>
    </row>
    <row r="35" spans="1:4" ht="15.75" x14ac:dyDescent="0.25">
      <c r="A35" s="113" t="s">
        <v>416</v>
      </c>
      <c r="B35" s="7"/>
      <c r="D35" s="7"/>
    </row>
    <row r="36" spans="1:4" ht="15.75" x14ac:dyDescent="0.25">
      <c r="A36" s="112" t="s">
        <v>417</v>
      </c>
      <c r="B36" s="7"/>
      <c r="D36" s="7"/>
    </row>
    <row r="37" spans="1:4" ht="15.75" x14ac:dyDescent="0.25">
      <c r="A37" s="113" t="s">
        <v>418</v>
      </c>
      <c r="B37" s="7"/>
      <c r="D37" s="7"/>
    </row>
    <row r="38" spans="1:4" x14ac:dyDescent="0.25">
      <c r="A38" s="7"/>
      <c r="B38" s="7"/>
      <c r="D38" s="7"/>
    </row>
    <row r="39" spans="1:4" x14ac:dyDescent="0.25">
      <c r="A39" s="7"/>
      <c r="B39" s="7"/>
      <c r="D39" s="7"/>
    </row>
    <row r="40" spans="1:4" x14ac:dyDescent="0.25">
      <c r="A40" s="7"/>
      <c r="B40" s="7"/>
      <c r="D40" s="7"/>
    </row>
    <row r="41" spans="1:4" x14ac:dyDescent="0.25">
      <c r="A41" s="7"/>
      <c r="B41" s="7"/>
      <c r="D41" s="7"/>
    </row>
    <row r="42" spans="1:4" x14ac:dyDescent="0.25">
      <c r="A42" s="7"/>
      <c r="B42" s="7"/>
      <c r="D42" s="7"/>
    </row>
    <row r="43" spans="1:4" x14ac:dyDescent="0.25">
      <c r="A43" s="7"/>
      <c r="B43" s="7"/>
      <c r="D43" s="7"/>
    </row>
    <row r="44" spans="1:4" x14ac:dyDescent="0.25">
      <c r="A44" s="7"/>
      <c r="B44" s="7"/>
      <c r="D44" s="7"/>
    </row>
    <row r="45" spans="1:4" x14ac:dyDescent="0.25">
      <c r="A45" s="7"/>
      <c r="B45" s="7"/>
      <c r="D45" s="7"/>
    </row>
    <row r="46" spans="1:4" x14ac:dyDescent="0.25">
      <c r="A46" s="7"/>
      <c r="B46" s="7"/>
      <c r="D46" s="7"/>
    </row>
    <row r="47" spans="1:4" x14ac:dyDescent="0.25">
      <c r="A47" s="7"/>
      <c r="B47" s="7"/>
      <c r="D47" s="7"/>
    </row>
    <row r="48" spans="1:4" x14ac:dyDescent="0.25">
      <c r="A48" s="7"/>
      <c r="B48" s="7"/>
      <c r="D48" s="7"/>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D9" sqref="D9"/>
    </sheetView>
  </sheetViews>
  <sheetFormatPr baseColWidth="10" defaultColWidth="11.375" defaultRowHeight="15" x14ac:dyDescent="0.25"/>
  <cols>
    <col min="1" max="1" width="30" style="124" customWidth="1"/>
    <col min="2" max="2" width="11.375" style="124" customWidth="1"/>
    <col min="3" max="3" width="46.125" style="124" customWidth="1"/>
    <col min="4" max="4" width="138.875" style="124" customWidth="1"/>
    <col min="5" max="5" width="22.75" style="124" customWidth="1"/>
    <col min="6" max="6" width="185.875" style="124" customWidth="1"/>
    <col min="7" max="16384" width="11.375" style="124"/>
  </cols>
  <sheetData>
    <row r="1" spans="1:8" ht="28.5" customHeight="1" x14ac:dyDescent="0.25">
      <c r="A1" s="173" t="s">
        <v>170</v>
      </c>
      <c r="B1" s="173"/>
      <c r="C1" s="173"/>
      <c r="D1" s="173"/>
      <c r="E1" s="173"/>
      <c r="F1" s="173"/>
      <c r="G1" s="173"/>
      <c r="H1" s="136"/>
    </row>
    <row r="2" spans="1:8" ht="15" customHeight="1" x14ac:dyDescent="0.25">
      <c r="A2" s="173"/>
      <c r="B2" s="173"/>
      <c r="C2" s="173"/>
      <c r="D2" s="173"/>
      <c r="E2" s="173"/>
      <c r="F2" s="173"/>
      <c r="G2" s="173"/>
      <c r="H2" s="136"/>
    </row>
    <row r="3" spans="1:8" ht="28.5" x14ac:dyDescent="0.25">
      <c r="A3" s="125" t="s">
        <v>185</v>
      </c>
      <c r="B3" s="126"/>
    </row>
    <row r="5" spans="1:8" ht="18.75" x14ac:dyDescent="0.3">
      <c r="A5" s="127" t="s">
        <v>31</v>
      </c>
      <c r="B5" s="165">
        <v>1</v>
      </c>
      <c r="C5" s="124" t="s">
        <v>438</v>
      </c>
    </row>
    <row r="7" spans="1:8" ht="18.75" x14ac:dyDescent="0.3">
      <c r="B7" s="137" t="s">
        <v>3</v>
      </c>
      <c r="C7" s="138" t="s">
        <v>4</v>
      </c>
      <c r="D7" s="127" t="s">
        <v>5</v>
      </c>
      <c r="E7" s="127" t="s">
        <v>186</v>
      </c>
    </row>
    <row r="8" spans="1:8" ht="18.75" x14ac:dyDescent="0.3">
      <c r="B8" s="139">
        <v>1</v>
      </c>
      <c r="C8" s="36" t="s">
        <v>451</v>
      </c>
      <c r="D8" s="34" t="s">
        <v>450</v>
      </c>
      <c r="E8" s="33" t="s">
        <v>8</v>
      </c>
    </row>
    <row r="9" spans="1:8" ht="18.75" x14ac:dyDescent="0.3">
      <c r="B9" s="139">
        <v>2</v>
      </c>
      <c r="C9" s="36" t="s">
        <v>452</v>
      </c>
      <c r="D9" s="223" t="s">
        <v>458</v>
      </c>
      <c r="E9" s="33" t="s">
        <v>8</v>
      </c>
    </row>
    <row r="10" spans="1:8" ht="18.75" x14ac:dyDescent="0.3">
      <c r="B10" s="139">
        <v>3</v>
      </c>
      <c r="C10" s="36" t="s">
        <v>453</v>
      </c>
      <c r="D10" s="223" t="s">
        <v>459</v>
      </c>
      <c r="E10" s="33" t="s">
        <v>9</v>
      </c>
    </row>
    <row r="11" spans="1:8" ht="18.75" x14ac:dyDescent="0.3">
      <c r="B11" s="139">
        <v>4</v>
      </c>
      <c r="C11" s="36" t="s">
        <v>454</v>
      </c>
      <c r="D11" s="223" t="s">
        <v>460</v>
      </c>
      <c r="E11" s="33" t="s">
        <v>9</v>
      </c>
    </row>
    <row r="12" spans="1:8" ht="18.75" x14ac:dyDescent="0.3">
      <c r="B12" s="139">
        <v>5</v>
      </c>
      <c r="C12" s="36" t="s">
        <v>455</v>
      </c>
      <c r="D12" s="223" t="s">
        <v>461</v>
      </c>
      <c r="E12" s="33" t="s">
        <v>9</v>
      </c>
    </row>
    <row r="13" spans="1:8" ht="18.75" x14ac:dyDescent="0.3">
      <c r="B13" s="139">
        <v>6</v>
      </c>
      <c r="C13" s="36" t="s">
        <v>456</v>
      </c>
      <c r="D13" s="223" t="s">
        <v>462</v>
      </c>
      <c r="E13" s="33" t="s">
        <v>9</v>
      </c>
    </row>
    <row r="14" spans="1:8" ht="18.75" x14ac:dyDescent="0.3">
      <c r="B14" s="139">
        <v>7</v>
      </c>
      <c r="C14" s="36" t="s">
        <v>457</v>
      </c>
      <c r="D14" s="223" t="s">
        <v>463</v>
      </c>
      <c r="E14" s="33" t="s">
        <v>9</v>
      </c>
    </row>
    <row r="15" spans="1:8" ht="18.75" x14ac:dyDescent="0.3">
      <c r="B15" s="139">
        <v>8</v>
      </c>
      <c r="C15" s="36" t="s">
        <v>12</v>
      </c>
      <c r="D15" s="33"/>
      <c r="E15" s="33" t="s">
        <v>9</v>
      </c>
    </row>
    <row r="16" spans="1:8" ht="18.75" x14ac:dyDescent="0.3">
      <c r="B16" s="139">
        <v>9</v>
      </c>
      <c r="C16" s="36" t="s">
        <v>13</v>
      </c>
      <c r="D16" s="33"/>
      <c r="E16" s="33" t="s">
        <v>9</v>
      </c>
    </row>
    <row r="17" spans="1:10" ht="18.75" x14ac:dyDescent="0.3">
      <c r="B17" s="139">
        <v>10</v>
      </c>
      <c r="C17" s="36" t="s">
        <v>14</v>
      </c>
      <c r="D17" s="33"/>
      <c r="E17" s="33" t="s">
        <v>9</v>
      </c>
    </row>
    <row r="18" spans="1:10" ht="18.75" x14ac:dyDescent="0.3">
      <c r="B18" s="139">
        <v>11</v>
      </c>
      <c r="C18" s="36" t="s">
        <v>15</v>
      </c>
      <c r="D18" s="33"/>
      <c r="E18" s="33" t="s">
        <v>9</v>
      </c>
    </row>
    <row r="19" spans="1:10" ht="18.75" x14ac:dyDescent="0.3">
      <c r="B19" s="139">
        <v>12</v>
      </c>
      <c r="C19" s="36" t="s">
        <v>16</v>
      </c>
      <c r="D19" s="33"/>
      <c r="E19" s="33" t="s">
        <v>9</v>
      </c>
    </row>
    <row r="20" spans="1:10" ht="18.75" x14ac:dyDescent="0.3">
      <c r="B20" s="139">
        <v>13</v>
      </c>
      <c r="C20" s="36" t="s">
        <v>17</v>
      </c>
      <c r="D20" s="33"/>
      <c r="E20" s="33" t="s">
        <v>9</v>
      </c>
    </row>
    <row r="21" spans="1:10" ht="18.75" x14ac:dyDescent="0.3">
      <c r="B21" s="139">
        <v>14</v>
      </c>
      <c r="C21" s="36" t="s">
        <v>18</v>
      </c>
      <c r="D21" s="33"/>
      <c r="E21" s="33" t="s">
        <v>9</v>
      </c>
      <c r="F21" s="128" t="s">
        <v>187</v>
      </c>
    </row>
    <row r="22" spans="1:10" ht="18.75" x14ac:dyDescent="0.3">
      <c r="B22" s="139">
        <v>15</v>
      </c>
      <c r="C22" s="36" t="s">
        <v>19</v>
      </c>
      <c r="D22" s="33"/>
      <c r="E22" s="33" t="s">
        <v>9</v>
      </c>
    </row>
    <row r="25" spans="1:10" ht="15.75" thickBot="1" x14ac:dyDescent="0.3"/>
    <row r="26" spans="1:10" ht="15.75" thickTop="1" x14ac:dyDescent="0.25">
      <c r="A26" s="172"/>
      <c r="B26" s="172"/>
      <c r="C26" s="172"/>
      <c r="D26" s="172"/>
      <c r="E26" s="172"/>
      <c r="F26" s="172"/>
      <c r="G26" s="172"/>
      <c r="H26" s="172"/>
      <c r="I26" s="172"/>
      <c r="J26" s="172"/>
    </row>
    <row r="27" spans="1:10" x14ac:dyDescent="0.25">
      <c r="A27" s="131" t="s">
        <v>44</v>
      </c>
      <c r="B27" s="174" t="s">
        <v>2</v>
      </c>
      <c r="C27" s="174"/>
      <c r="D27" s="174"/>
      <c r="E27" s="174"/>
      <c r="F27" s="174"/>
      <c r="G27" s="174"/>
      <c r="H27" s="174"/>
      <c r="I27" s="174"/>
      <c r="J27" s="174"/>
    </row>
    <row r="28" spans="1:10" x14ac:dyDescent="0.25">
      <c r="A28" s="134" t="s">
        <v>173</v>
      </c>
      <c r="B28" s="175" t="s">
        <v>47</v>
      </c>
      <c r="C28" s="176"/>
      <c r="D28" s="176"/>
      <c r="E28" s="176"/>
      <c r="F28" s="176"/>
      <c r="G28" s="176"/>
      <c r="H28" s="176"/>
      <c r="I28" s="176"/>
      <c r="J28" s="176"/>
    </row>
    <row r="29" spans="1:10" x14ac:dyDescent="0.25">
      <c r="A29" s="134" t="s">
        <v>45</v>
      </c>
      <c r="B29" s="176" t="s">
        <v>46</v>
      </c>
      <c r="C29" s="176"/>
      <c r="D29" s="176"/>
      <c r="E29" s="176"/>
      <c r="F29" s="176"/>
      <c r="G29" s="176"/>
      <c r="H29" s="176"/>
      <c r="I29" s="176"/>
      <c r="J29" s="176"/>
    </row>
    <row r="30" spans="1:10" x14ac:dyDescent="0.25">
      <c r="A30" s="135" t="s">
        <v>171</v>
      </c>
      <c r="B30" s="177" t="s">
        <v>437</v>
      </c>
      <c r="C30" s="177"/>
      <c r="D30" s="177"/>
      <c r="E30" s="177"/>
      <c r="F30" s="177"/>
      <c r="G30" s="177"/>
      <c r="H30" s="177"/>
      <c r="I30" s="177"/>
      <c r="J30" s="177"/>
    </row>
    <row r="31" spans="1:10" x14ac:dyDescent="0.25">
      <c r="A31" s="134" t="s">
        <v>172</v>
      </c>
      <c r="B31" s="171" t="s">
        <v>52</v>
      </c>
      <c r="C31" s="171"/>
      <c r="D31" s="171"/>
      <c r="E31" s="171"/>
      <c r="F31" s="171"/>
      <c r="G31" s="171"/>
      <c r="H31" s="171"/>
      <c r="I31" s="171"/>
      <c r="J31" s="171"/>
    </row>
    <row r="32" spans="1:10" x14ac:dyDescent="0.25">
      <c r="A32" s="130"/>
      <c r="B32" s="130"/>
      <c r="C32" s="130"/>
      <c r="D32" s="130"/>
      <c r="E32" s="130"/>
      <c r="F32" s="130"/>
      <c r="G32" s="130"/>
      <c r="H32" s="130"/>
      <c r="I32" s="130"/>
      <c r="J32" s="130"/>
    </row>
  </sheetData>
  <sheetProtection password="BD42" sheet="1" objects="1" scenarios="1" insertHyperlinks="0"/>
  <mergeCells count="7">
    <mergeCell ref="B30:J30"/>
    <mergeCell ref="B31:J31"/>
    <mergeCell ref="A1:G2"/>
    <mergeCell ref="A26:J26"/>
    <mergeCell ref="B27:J27"/>
    <mergeCell ref="B28:J28"/>
    <mergeCell ref="B29:J29"/>
  </mergeCells>
  <dataValidations count="1">
    <dataValidation type="list" allowBlank="1" showInputMessage="1" showErrorMessage="1" sqref="B5">
      <formula1>muestra</formula1>
    </dataValidation>
  </dataValidations>
  <hyperlinks>
    <hyperlink ref="B29" r:id="rId1"/>
    <hyperlink ref="B28" r:id="rId2"/>
    <hyperlink ref="F21" r:id="rId3"/>
    <hyperlink ref="D14" r:id="rId4"/>
    <hyperlink ref="D13" r:id="rId5"/>
    <hyperlink ref="D12" r:id="rId6"/>
    <hyperlink ref="D11" r:id="rId7"/>
    <hyperlink ref="D10" r:id="rId8"/>
    <hyperlink ref="D9" r:id="rId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Hoja4!$A$5:$A$6</xm:f>
          </x14:formula1>
          <xm:sqref>E8:E22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3"/>
  <sheetViews>
    <sheetView showGridLines="0" topLeftCell="A34" workbookViewId="0">
      <selection activeCell="E167" sqref="E167"/>
    </sheetView>
  </sheetViews>
  <sheetFormatPr baseColWidth="10" defaultColWidth="9.125" defaultRowHeight="15" x14ac:dyDescent="0.25"/>
  <cols>
    <col min="1" max="1" width="89.875" style="124" customWidth="1"/>
    <col min="2" max="2" width="35.25" style="124" customWidth="1"/>
    <col min="3" max="3" width="22.125" style="124" customWidth="1"/>
    <col min="4" max="4" width="15.25" style="124" customWidth="1"/>
    <col min="5" max="5" width="255.625" style="124" customWidth="1"/>
    <col min="6" max="6" width="19.125" style="124" customWidth="1"/>
    <col min="7" max="7" width="20.25" style="124" customWidth="1"/>
    <col min="8" max="16384" width="9.125" style="124"/>
  </cols>
  <sheetData>
    <row r="1" spans="1:5" ht="28.5" customHeight="1" x14ac:dyDescent="0.25">
      <c r="A1" s="173" t="s">
        <v>170</v>
      </c>
      <c r="B1" s="173"/>
      <c r="C1" s="173"/>
      <c r="D1" s="173"/>
      <c r="E1" s="124" t="s">
        <v>358</v>
      </c>
    </row>
    <row r="2" spans="1:5" ht="15" customHeight="1" x14ac:dyDescent="0.25">
      <c r="A2" s="173"/>
      <c r="B2" s="173"/>
      <c r="C2" s="173"/>
      <c r="D2" s="173"/>
    </row>
    <row r="3" spans="1:5" ht="23.25" x14ac:dyDescent="0.25">
      <c r="A3" s="125" t="s">
        <v>190</v>
      </c>
    </row>
    <row r="4" spans="1:5" ht="18.75" x14ac:dyDescent="0.3">
      <c r="E4" s="140" t="s">
        <v>369</v>
      </c>
    </row>
    <row r="5" spans="1:5" ht="18.75" x14ac:dyDescent="0.3">
      <c r="A5" s="141"/>
      <c r="B5" s="141"/>
      <c r="D5" s="141"/>
      <c r="E5" s="128" t="s">
        <v>370</v>
      </c>
    </row>
    <row r="6" spans="1:5" ht="18.75" x14ac:dyDescent="0.3">
      <c r="A6" s="185" t="s">
        <v>188</v>
      </c>
      <c r="B6" s="186"/>
      <c r="C6" s="139" t="s">
        <v>191</v>
      </c>
      <c r="D6" s="142"/>
      <c r="E6" s="140" t="s">
        <v>189</v>
      </c>
    </row>
    <row r="7" spans="1:5" ht="18.75" x14ac:dyDescent="0.3">
      <c r="A7" s="183" t="s">
        <v>192</v>
      </c>
      <c r="B7" s="143" t="str">
        <f>'2.Páginas de la muestra'!C8</f>
        <v>Inicio</v>
      </c>
      <c r="C7" s="38" t="s">
        <v>9</v>
      </c>
      <c r="E7" s="124" t="s">
        <v>196</v>
      </c>
    </row>
    <row r="8" spans="1:5" ht="18.75" x14ac:dyDescent="0.3">
      <c r="A8" s="183"/>
      <c r="B8" s="143" t="str">
        <f>'2.Páginas de la muestra'!C9</f>
        <v>login</v>
      </c>
      <c r="C8" s="38" t="s">
        <v>9</v>
      </c>
      <c r="E8" s="124" t="s">
        <v>197</v>
      </c>
    </row>
    <row r="9" spans="1:5" ht="18.75" x14ac:dyDescent="0.3">
      <c r="A9" s="183"/>
      <c r="B9" s="143" t="str">
        <f>'2.Páginas de la muestra'!C10</f>
        <v>Inicio-Dashboard</v>
      </c>
      <c r="C9" s="38" t="s">
        <v>9</v>
      </c>
      <c r="E9" s="124" t="s">
        <v>198</v>
      </c>
    </row>
    <row r="10" spans="1:5" ht="18.75" x14ac:dyDescent="0.3">
      <c r="A10" s="183"/>
      <c r="B10" s="143" t="str">
        <f>'2.Páginas de la muestra'!C11</f>
        <v>Dashboard-Usuarios</v>
      </c>
      <c r="C10" s="38" t="s">
        <v>10</v>
      </c>
      <c r="D10" s="144"/>
      <c r="E10" s="124" t="s">
        <v>199</v>
      </c>
    </row>
    <row r="11" spans="1:5" ht="18.75" x14ac:dyDescent="0.3">
      <c r="A11" s="183"/>
      <c r="B11" s="143" t="str">
        <f>'2.Páginas de la muestra'!C12</f>
        <v>Dashboard-Servicios</v>
      </c>
      <c r="C11" s="38" t="s">
        <v>10</v>
      </c>
      <c r="D11" s="144"/>
      <c r="E11" s="124" t="s">
        <v>200</v>
      </c>
    </row>
    <row r="12" spans="1:5" ht="18.75" x14ac:dyDescent="0.3">
      <c r="A12" s="183"/>
      <c r="B12" s="143" t="str">
        <f>'2.Páginas de la muestra'!C13</f>
        <v>Dashboard-Reservas</v>
      </c>
      <c r="C12" s="38" t="s">
        <v>10</v>
      </c>
      <c r="D12" s="144"/>
      <c r="E12" s="124" t="s">
        <v>201</v>
      </c>
    </row>
    <row r="13" spans="1:5" ht="18.75" x14ac:dyDescent="0.3">
      <c r="A13" s="183"/>
      <c r="B13" s="143" t="str">
        <f>'2.Páginas de la muestra'!C14</f>
        <v>Dashboard-Reservas-clientes</v>
      </c>
      <c r="C13" s="38" t="s">
        <v>10</v>
      </c>
      <c r="D13" s="144"/>
      <c r="E13" s="124" t="s">
        <v>202</v>
      </c>
    </row>
    <row r="14" spans="1:5" ht="18.75" x14ac:dyDescent="0.3">
      <c r="A14" s="183"/>
      <c r="B14" s="143" t="str">
        <f>'2.Páginas de la muestra'!C15</f>
        <v>ALIAS 8</v>
      </c>
      <c r="C14" s="38"/>
      <c r="D14" s="144"/>
      <c r="E14" s="124" t="s">
        <v>203</v>
      </c>
    </row>
    <row r="15" spans="1:5" ht="18.75" x14ac:dyDescent="0.3">
      <c r="A15" s="183"/>
      <c r="B15" s="143" t="str">
        <f>'2.Páginas de la muestra'!C16</f>
        <v>ALIAS 9</v>
      </c>
      <c r="C15" s="38"/>
      <c r="D15" s="144"/>
    </row>
    <row r="16" spans="1:5" ht="18.75" x14ac:dyDescent="0.3">
      <c r="A16" s="183"/>
      <c r="B16" s="143" t="str">
        <f>'2.Páginas de la muestra'!C17</f>
        <v>ALIAS 10</v>
      </c>
      <c r="C16" s="38"/>
      <c r="D16" s="144"/>
      <c r="E16" s="124" t="s">
        <v>371</v>
      </c>
    </row>
    <row r="17" spans="1:5" ht="18.75" x14ac:dyDescent="0.3">
      <c r="A17" s="183"/>
      <c r="B17" s="143" t="str">
        <f>'2.Páginas de la muestra'!C18</f>
        <v>ALIAS 11</v>
      </c>
      <c r="C17" s="38"/>
      <c r="D17" s="144"/>
      <c r="E17" s="128" t="s">
        <v>372</v>
      </c>
    </row>
    <row r="18" spans="1:5" ht="18.75" x14ac:dyDescent="0.3">
      <c r="A18" s="183"/>
      <c r="B18" s="143" t="str">
        <f>'2.Páginas de la muestra'!C19</f>
        <v>ALIAS 12</v>
      </c>
      <c r="C18" s="38"/>
      <c r="D18" s="144"/>
    </row>
    <row r="19" spans="1:5" ht="18.75" x14ac:dyDescent="0.3">
      <c r="A19" s="183"/>
      <c r="B19" s="143" t="str">
        <f>'2.Páginas de la muestra'!C20</f>
        <v>ALIAS 13</v>
      </c>
      <c r="C19" s="38"/>
      <c r="D19" s="144"/>
    </row>
    <row r="20" spans="1:5" ht="18.75" x14ac:dyDescent="0.3">
      <c r="A20" s="183"/>
      <c r="B20" s="143" t="str">
        <f>'2.Páginas de la muestra'!C21</f>
        <v>ALIAS 14</v>
      </c>
      <c r="C20" s="38"/>
      <c r="D20" s="144"/>
    </row>
    <row r="21" spans="1:5" ht="18.75" x14ac:dyDescent="0.3">
      <c r="A21" s="184"/>
      <c r="B21" s="143" t="str">
        <f>'2.Páginas de la muestra'!C22</f>
        <v>ALIAS 15</v>
      </c>
      <c r="C21" s="38"/>
      <c r="D21" s="144"/>
    </row>
    <row r="22" spans="1:5" ht="18.75" x14ac:dyDescent="0.3">
      <c r="A22" s="145"/>
      <c r="C22" s="146" t="s">
        <v>11</v>
      </c>
      <c r="D22" s="39"/>
    </row>
    <row r="23" spans="1:5" ht="18.75" x14ac:dyDescent="0.3">
      <c r="A23" s="147"/>
      <c r="B23" s="148"/>
      <c r="C23" s="148"/>
    </row>
    <row r="24" spans="1:5" ht="18.75" x14ac:dyDescent="0.3">
      <c r="A24" s="149" t="s">
        <v>204</v>
      </c>
      <c r="B24" s="150" t="s">
        <v>193</v>
      </c>
      <c r="C24" s="151">
        <f>COUNTIF(C7:C21,Hoja4!A5)</f>
        <v>0</v>
      </c>
    </row>
    <row r="25" spans="1:5" ht="18.75" x14ac:dyDescent="0.3">
      <c r="A25" s="147"/>
      <c r="B25" s="150" t="s">
        <v>194</v>
      </c>
      <c r="C25" s="151">
        <f>COUNTIF(C7:C21,Hoja4!A6)</f>
        <v>3</v>
      </c>
    </row>
    <row r="26" spans="1:5" ht="18.75" x14ac:dyDescent="0.3">
      <c r="A26" s="147"/>
      <c r="B26" s="150" t="s">
        <v>195</v>
      </c>
      <c r="C26" s="151">
        <f>COUNTIF(C7:C21,Hoja4!A7)</f>
        <v>4</v>
      </c>
    </row>
    <row r="27" spans="1:5" ht="18.75" customHeight="1" x14ac:dyDescent="0.25">
      <c r="A27" s="187"/>
      <c r="B27" s="187"/>
      <c r="C27" s="187"/>
    </row>
    <row r="28" spans="1:5" ht="18.75" x14ac:dyDescent="0.3">
      <c r="A28" s="179" t="s">
        <v>206</v>
      </c>
      <c r="B28" s="179"/>
      <c r="C28" s="139" t="s">
        <v>191</v>
      </c>
      <c r="D28" s="141"/>
      <c r="E28" s="140" t="s">
        <v>205</v>
      </c>
    </row>
    <row r="29" spans="1:5" ht="18.75" customHeight="1" x14ac:dyDescent="0.3">
      <c r="A29" s="180" t="s">
        <v>207</v>
      </c>
      <c r="B29" s="143" t="str">
        <f>'2.Páginas de la muestra'!C8</f>
        <v>Inicio</v>
      </c>
      <c r="C29" s="38" t="s">
        <v>10</v>
      </c>
      <c r="D29" s="141"/>
      <c r="E29" s="124" t="s">
        <v>53</v>
      </c>
    </row>
    <row r="30" spans="1:5" ht="18.75" x14ac:dyDescent="0.3">
      <c r="A30" s="180"/>
      <c r="B30" s="143" t="str">
        <f>'2.Páginas de la muestra'!C9</f>
        <v>login</v>
      </c>
      <c r="C30" s="38" t="s">
        <v>10</v>
      </c>
      <c r="D30" s="141"/>
      <c r="E30" s="124" t="s">
        <v>54</v>
      </c>
    </row>
    <row r="31" spans="1:5" ht="18.75" x14ac:dyDescent="0.3">
      <c r="A31" s="180"/>
      <c r="B31" s="143" t="str">
        <f>'2.Páginas de la muestra'!C10</f>
        <v>Inicio-Dashboard</v>
      </c>
      <c r="C31" s="38" t="s">
        <v>10</v>
      </c>
      <c r="D31" s="141"/>
    </row>
    <row r="32" spans="1:5" ht="18.75" x14ac:dyDescent="0.3">
      <c r="A32" s="180"/>
      <c r="B32" s="143" t="str">
        <f>'2.Páginas de la muestra'!C11</f>
        <v>Dashboard-Usuarios</v>
      </c>
      <c r="C32" s="38" t="s">
        <v>10</v>
      </c>
      <c r="D32" s="141"/>
    </row>
    <row r="33" spans="1:4" ht="18.75" x14ac:dyDescent="0.3">
      <c r="A33" s="180"/>
      <c r="B33" s="143" t="str">
        <f>'2.Páginas de la muestra'!C12</f>
        <v>Dashboard-Servicios</v>
      </c>
      <c r="C33" s="38" t="s">
        <v>10</v>
      </c>
      <c r="D33" s="141"/>
    </row>
    <row r="34" spans="1:4" ht="18.75" x14ac:dyDescent="0.3">
      <c r="A34" s="180"/>
      <c r="B34" s="143" t="str">
        <f>'2.Páginas de la muestra'!C13</f>
        <v>Dashboard-Reservas</v>
      </c>
      <c r="C34" s="38" t="s">
        <v>10</v>
      </c>
      <c r="D34" s="141"/>
    </row>
    <row r="35" spans="1:4" ht="18.75" x14ac:dyDescent="0.3">
      <c r="A35" s="180"/>
      <c r="B35" s="143" t="str">
        <f>'2.Páginas de la muestra'!C14</f>
        <v>Dashboard-Reservas-clientes</v>
      </c>
      <c r="C35" s="38" t="s">
        <v>10</v>
      </c>
      <c r="D35" s="141"/>
    </row>
    <row r="36" spans="1:4" ht="18.75" x14ac:dyDescent="0.3">
      <c r="A36" s="180"/>
      <c r="B36" s="143" t="str">
        <f>'2.Páginas de la muestra'!C15</f>
        <v>ALIAS 8</v>
      </c>
      <c r="C36" s="38"/>
      <c r="D36" s="141"/>
    </row>
    <row r="37" spans="1:4" ht="18.75" x14ac:dyDescent="0.3">
      <c r="A37" s="180"/>
      <c r="B37" s="143" t="str">
        <f>'2.Páginas de la muestra'!C16</f>
        <v>ALIAS 9</v>
      </c>
      <c r="C37" s="38"/>
      <c r="D37" s="141"/>
    </row>
    <row r="38" spans="1:4" ht="18.75" x14ac:dyDescent="0.3">
      <c r="A38" s="180"/>
      <c r="B38" s="143" t="str">
        <f>'2.Páginas de la muestra'!C17</f>
        <v>ALIAS 10</v>
      </c>
      <c r="C38" s="38"/>
      <c r="D38" s="141"/>
    </row>
    <row r="39" spans="1:4" ht="18.75" x14ac:dyDescent="0.3">
      <c r="A39" s="180"/>
      <c r="B39" s="143" t="str">
        <f>'2.Páginas de la muestra'!C18</f>
        <v>ALIAS 11</v>
      </c>
      <c r="C39" s="38"/>
      <c r="D39" s="141"/>
    </row>
    <row r="40" spans="1:4" ht="18.75" x14ac:dyDescent="0.3">
      <c r="A40" s="180"/>
      <c r="B40" s="143" t="str">
        <f>'2.Páginas de la muestra'!C19</f>
        <v>ALIAS 12</v>
      </c>
      <c r="C40" s="38"/>
      <c r="D40" s="141"/>
    </row>
    <row r="41" spans="1:4" ht="18.75" x14ac:dyDescent="0.3">
      <c r="A41" s="180"/>
      <c r="B41" s="143" t="str">
        <f>'2.Páginas de la muestra'!C20</f>
        <v>ALIAS 13</v>
      </c>
      <c r="C41" s="38"/>
      <c r="D41" s="141"/>
    </row>
    <row r="42" spans="1:4" ht="18.75" x14ac:dyDescent="0.3">
      <c r="A42" s="180"/>
      <c r="B42" s="143" t="str">
        <f>'2.Páginas de la muestra'!C21</f>
        <v>ALIAS 14</v>
      </c>
      <c r="C42" s="38"/>
      <c r="D42" s="141"/>
    </row>
    <row r="43" spans="1:4" ht="18.75" x14ac:dyDescent="0.3">
      <c r="A43" s="181"/>
      <c r="B43" s="143" t="str">
        <f>'2.Páginas de la muestra'!C22</f>
        <v>ALIAS 15</v>
      </c>
      <c r="C43" s="38"/>
      <c r="D43" s="141"/>
    </row>
    <row r="44" spans="1:4" ht="18.75" x14ac:dyDescent="0.3">
      <c r="A44" s="152"/>
      <c r="C44" s="146" t="s">
        <v>11</v>
      </c>
      <c r="D44" s="39"/>
    </row>
    <row r="45" spans="1:4" ht="18.75" x14ac:dyDescent="0.3">
      <c r="A45" s="152"/>
      <c r="B45" s="153"/>
      <c r="C45" s="141"/>
      <c r="D45" s="141"/>
    </row>
    <row r="46" spans="1:4" ht="18.75" x14ac:dyDescent="0.3">
      <c r="A46" s="149" t="s">
        <v>208</v>
      </c>
      <c r="B46" s="150" t="s">
        <v>193</v>
      </c>
      <c r="C46" s="154">
        <f>COUNTIF(C29:C43,Hoja4!A5)</f>
        <v>0</v>
      </c>
    </row>
    <row r="47" spans="1:4" ht="18.75" x14ac:dyDescent="0.3">
      <c r="A47" s="152"/>
      <c r="B47" s="150" t="s">
        <v>194</v>
      </c>
      <c r="C47" s="154">
        <f>COUNTIF(C29:C43,Hoja4!A6)</f>
        <v>0</v>
      </c>
    </row>
    <row r="48" spans="1:4" ht="18.75" x14ac:dyDescent="0.3">
      <c r="A48" s="152"/>
      <c r="B48" s="150" t="s">
        <v>214</v>
      </c>
      <c r="C48" s="154">
        <f>COUNTIF(C29:C43,Hoja4!A7)</f>
        <v>7</v>
      </c>
    </row>
    <row r="49" spans="1:5" ht="18.75" x14ac:dyDescent="0.3">
      <c r="A49" s="152"/>
      <c r="B49" s="153"/>
      <c r="C49" s="141"/>
      <c r="D49" s="141"/>
    </row>
    <row r="50" spans="1:5" ht="18.75" x14ac:dyDescent="0.3">
      <c r="A50" s="178" t="s">
        <v>210</v>
      </c>
      <c r="B50" s="179"/>
      <c r="C50" s="139" t="s">
        <v>191</v>
      </c>
      <c r="D50" s="141"/>
      <c r="E50" s="140" t="s">
        <v>211</v>
      </c>
    </row>
    <row r="51" spans="1:5" ht="18.75" x14ac:dyDescent="0.3">
      <c r="A51" s="180" t="s">
        <v>212</v>
      </c>
      <c r="B51" s="143" t="str">
        <f>'2.Páginas de la muestra'!C8</f>
        <v>Inicio</v>
      </c>
      <c r="C51" s="38" t="s">
        <v>10</v>
      </c>
      <c r="D51" s="141"/>
      <c r="E51" s="124" t="s">
        <v>55</v>
      </c>
    </row>
    <row r="52" spans="1:5" ht="18.75" x14ac:dyDescent="0.3">
      <c r="A52" s="180"/>
      <c r="B52" s="143" t="str">
        <f>'2.Páginas de la muestra'!C9</f>
        <v>login</v>
      </c>
      <c r="C52" s="38" t="s">
        <v>10</v>
      </c>
      <c r="D52" s="141"/>
    </row>
    <row r="53" spans="1:5" ht="18.75" x14ac:dyDescent="0.3">
      <c r="A53" s="180"/>
      <c r="B53" s="143" t="str">
        <f>'2.Páginas de la muestra'!C10</f>
        <v>Inicio-Dashboard</v>
      </c>
      <c r="C53" s="38" t="s">
        <v>10</v>
      </c>
      <c r="D53" s="141"/>
    </row>
    <row r="54" spans="1:5" ht="18.75" x14ac:dyDescent="0.3">
      <c r="A54" s="180"/>
      <c r="B54" s="143" t="str">
        <f>'2.Páginas de la muestra'!C11</f>
        <v>Dashboard-Usuarios</v>
      </c>
      <c r="C54" s="38" t="s">
        <v>10</v>
      </c>
      <c r="D54" s="141"/>
    </row>
    <row r="55" spans="1:5" ht="18.75" x14ac:dyDescent="0.3">
      <c r="A55" s="180"/>
      <c r="B55" s="143" t="str">
        <f>'2.Páginas de la muestra'!C12</f>
        <v>Dashboard-Servicios</v>
      </c>
      <c r="C55" s="38" t="s">
        <v>10</v>
      </c>
      <c r="D55" s="141"/>
    </row>
    <row r="56" spans="1:5" ht="18.75" x14ac:dyDescent="0.3">
      <c r="A56" s="180"/>
      <c r="B56" s="143" t="str">
        <f>'2.Páginas de la muestra'!C13</f>
        <v>Dashboard-Reservas</v>
      </c>
      <c r="C56" s="38" t="s">
        <v>10</v>
      </c>
      <c r="D56" s="141"/>
    </row>
    <row r="57" spans="1:5" ht="18.75" x14ac:dyDescent="0.3">
      <c r="A57" s="180"/>
      <c r="B57" s="143" t="str">
        <f>'2.Páginas de la muestra'!C14</f>
        <v>Dashboard-Reservas-clientes</v>
      </c>
      <c r="C57" s="38" t="s">
        <v>10</v>
      </c>
      <c r="D57" s="141"/>
    </row>
    <row r="58" spans="1:5" ht="18.75" x14ac:dyDescent="0.3">
      <c r="A58" s="180"/>
      <c r="B58" s="143" t="str">
        <f>'2.Páginas de la muestra'!C15</f>
        <v>ALIAS 8</v>
      </c>
      <c r="C58" s="38"/>
      <c r="D58" s="141"/>
    </row>
    <row r="59" spans="1:5" ht="18.75" x14ac:dyDescent="0.3">
      <c r="A59" s="180"/>
      <c r="B59" s="143" t="str">
        <f>'2.Páginas de la muestra'!C16</f>
        <v>ALIAS 9</v>
      </c>
      <c r="C59" s="38"/>
      <c r="D59" s="141"/>
    </row>
    <row r="60" spans="1:5" ht="18.75" x14ac:dyDescent="0.3">
      <c r="A60" s="180"/>
      <c r="B60" s="143" t="str">
        <f>'2.Páginas de la muestra'!C17</f>
        <v>ALIAS 10</v>
      </c>
      <c r="C60" s="38"/>
      <c r="D60" s="141"/>
    </row>
    <row r="61" spans="1:5" ht="18.75" x14ac:dyDescent="0.3">
      <c r="A61" s="180"/>
      <c r="B61" s="143" t="str">
        <f>'2.Páginas de la muestra'!C18</f>
        <v>ALIAS 11</v>
      </c>
      <c r="C61" s="38"/>
      <c r="D61" s="141"/>
    </row>
    <row r="62" spans="1:5" ht="18.75" x14ac:dyDescent="0.3">
      <c r="A62" s="180"/>
      <c r="B62" s="143" t="str">
        <f>'2.Páginas de la muestra'!C19</f>
        <v>ALIAS 12</v>
      </c>
      <c r="C62" s="38"/>
      <c r="D62" s="141"/>
    </row>
    <row r="63" spans="1:5" ht="18.75" x14ac:dyDescent="0.3">
      <c r="A63" s="180"/>
      <c r="B63" s="143" t="str">
        <f>'2.Páginas de la muestra'!C20</f>
        <v>ALIAS 13</v>
      </c>
      <c r="C63" s="38"/>
      <c r="D63" s="141"/>
    </row>
    <row r="64" spans="1:5" ht="18.75" x14ac:dyDescent="0.3">
      <c r="A64" s="180"/>
      <c r="B64" s="143" t="str">
        <f>'2.Páginas de la muestra'!C21</f>
        <v>ALIAS 14</v>
      </c>
      <c r="C64" s="38"/>
      <c r="D64" s="141"/>
    </row>
    <row r="65" spans="1:5" ht="18.75" x14ac:dyDescent="0.3">
      <c r="A65" s="181"/>
      <c r="B65" s="143" t="str">
        <f>'2.Páginas de la muestra'!C22</f>
        <v>ALIAS 15</v>
      </c>
      <c r="C65" s="38"/>
      <c r="D65" s="141"/>
    </row>
    <row r="66" spans="1:5" ht="18.75" x14ac:dyDescent="0.3">
      <c r="A66" s="152"/>
      <c r="C66" s="146" t="s">
        <v>11</v>
      </c>
      <c r="D66" s="39"/>
    </row>
    <row r="67" spans="1:5" ht="18.75" x14ac:dyDescent="0.3">
      <c r="A67" s="152"/>
      <c r="B67" s="153"/>
      <c r="C67" s="141"/>
    </row>
    <row r="68" spans="1:5" ht="18.75" x14ac:dyDescent="0.3">
      <c r="A68" s="149" t="s">
        <v>213</v>
      </c>
      <c r="B68" s="150" t="s">
        <v>193</v>
      </c>
      <c r="C68" s="154">
        <f>COUNTIF(C51:C65,Hoja4!A5)</f>
        <v>0</v>
      </c>
    </row>
    <row r="69" spans="1:5" ht="18.75" x14ac:dyDescent="0.3">
      <c r="A69" s="152"/>
      <c r="B69" s="150" t="s">
        <v>194</v>
      </c>
      <c r="C69" s="154">
        <f>COUNTIF(C51:C65,Hoja4!A6)</f>
        <v>0</v>
      </c>
    </row>
    <row r="70" spans="1:5" ht="18.75" x14ac:dyDescent="0.3">
      <c r="A70" s="152"/>
      <c r="B70" s="150" t="s">
        <v>209</v>
      </c>
      <c r="C70" s="154">
        <f>COUNTIF(C51:C65,Hoja4!A7)</f>
        <v>7</v>
      </c>
      <c r="D70" s="141"/>
    </row>
    <row r="71" spans="1:5" ht="18.75" x14ac:dyDescent="0.3">
      <c r="A71" s="152"/>
      <c r="B71" s="153"/>
      <c r="C71" s="141"/>
      <c r="D71" s="141"/>
    </row>
    <row r="72" spans="1:5" ht="18.75" x14ac:dyDescent="0.3">
      <c r="A72" s="179" t="s">
        <v>247</v>
      </c>
      <c r="B72" s="182"/>
      <c r="C72" s="139" t="s">
        <v>191</v>
      </c>
      <c r="D72" s="141"/>
      <c r="E72" s="140" t="s">
        <v>215</v>
      </c>
    </row>
    <row r="73" spans="1:5" ht="18.75" customHeight="1" x14ac:dyDescent="0.3">
      <c r="A73" s="180" t="s">
        <v>361</v>
      </c>
      <c r="B73" s="143" t="str">
        <f>'2.Páginas de la muestra'!C8</f>
        <v>Inicio</v>
      </c>
      <c r="C73" s="38" t="s">
        <v>10</v>
      </c>
      <c r="D73" s="141"/>
      <c r="E73" s="124" t="s">
        <v>91</v>
      </c>
    </row>
    <row r="74" spans="1:5" ht="18.75" x14ac:dyDescent="0.3">
      <c r="A74" s="180"/>
      <c r="B74" s="143" t="str">
        <f>'2.Páginas de la muestra'!C9</f>
        <v>login</v>
      </c>
      <c r="C74" s="38" t="s">
        <v>10</v>
      </c>
      <c r="D74" s="141"/>
    </row>
    <row r="75" spans="1:5" ht="18.75" x14ac:dyDescent="0.3">
      <c r="A75" s="180"/>
      <c r="B75" s="143" t="str">
        <f>'2.Páginas de la muestra'!C10</f>
        <v>Inicio-Dashboard</v>
      </c>
      <c r="C75" s="38" t="s">
        <v>10</v>
      </c>
      <c r="D75" s="141"/>
    </row>
    <row r="76" spans="1:5" ht="18.75" x14ac:dyDescent="0.3">
      <c r="A76" s="180"/>
      <c r="B76" s="143" t="str">
        <f>'2.Páginas de la muestra'!C11</f>
        <v>Dashboard-Usuarios</v>
      </c>
      <c r="C76" s="38" t="s">
        <v>10</v>
      </c>
      <c r="D76" s="141"/>
    </row>
    <row r="77" spans="1:5" ht="18.75" x14ac:dyDescent="0.3">
      <c r="A77" s="180"/>
      <c r="B77" s="143" t="str">
        <f>'2.Páginas de la muestra'!C12</f>
        <v>Dashboard-Servicios</v>
      </c>
      <c r="C77" s="38" t="s">
        <v>10</v>
      </c>
      <c r="D77" s="141"/>
    </row>
    <row r="78" spans="1:5" ht="18.75" x14ac:dyDescent="0.3">
      <c r="A78" s="180"/>
      <c r="B78" s="143" t="str">
        <f>'2.Páginas de la muestra'!C13</f>
        <v>Dashboard-Reservas</v>
      </c>
      <c r="C78" s="38" t="s">
        <v>10</v>
      </c>
      <c r="D78" s="141"/>
    </row>
    <row r="79" spans="1:5" ht="18.75" x14ac:dyDescent="0.3">
      <c r="A79" s="180"/>
      <c r="B79" s="143" t="str">
        <f>'2.Páginas de la muestra'!C14</f>
        <v>Dashboard-Reservas-clientes</v>
      </c>
      <c r="C79" s="38" t="s">
        <v>10</v>
      </c>
      <c r="D79" s="141"/>
    </row>
    <row r="80" spans="1:5" ht="18.75" x14ac:dyDescent="0.3">
      <c r="A80" s="180"/>
      <c r="B80" s="143" t="str">
        <f>'2.Páginas de la muestra'!C15</f>
        <v>ALIAS 8</v>
      </c>
      <c r="C80" s="38"/>
      <c r="D80" s="141"/>
    </row>
    <row r="81" spans="1:5" ht="18.75" x14ac:dyDescent="0.3">
      <c r="A81" s="180"/>
      <c r="B81" s="143" t="str">
        <f>'2.Páginas de la muestra'!C16</f>
        <v>ALIAS 9</v>
      </c>
      <c r="C81" s="38"/>
      <c r="D81" s="141"/>
    </row>
    <row r="82" spans="1:5" ht="18.75" x14ac:dyDescent="0.3">
      <c r="A82" s="180"/>
      <c r="B82" s="143" t="str">
        <f>'2.Páginas de la muestra'!C17</f>
        <v>ALIAS 10</v>
      </c>
      <c r="C82" s="38"/>
      <c r="D82" s="141"/>
    </row>
    <row r="83" spans="1:5" ht="18.75" x14ac:dyDescent="0.3">
      <c r="A83" s="180"/>
      <c r="B83" s="143" t="str">
        <f>'2.Páginas de la muestra'!C18</f>
        <v>ALIAS 11</v>
      </c>
      <c r="C83" s="38"/>
      <c r="D83" s="141"/>
    </row>
    <row r="84" spans="1:5" ht="18.75" x14ac:dyDescent="0.3">
      <c r="A84" s="180"/>
      <c r="B84" s="143" t="str">
        <f>'2.Páginas de la muestra'!C19</f>
        <v>ALIAS 12</v>
      </c>
      <c r="C84" s="38"/>
      <c r="D84" s="141"/>
    </row>
    <row r="85" spans="1:5" ht="18.75" x14ac:dyDescent="0.3">
      <c r="A85" s="180"/>
      <c r="B85" s="143" t="str">
        <f>'2.Páginas de la muestra'!C20</f>
        <v>ALIAS 13</v>
      </c>
      <c r="C85" s="38"/>
      <c r="D85" s="141"/>
    </row>
    <row r="86" spans="1:5" ht="18.75" x14ac:dyDescent="0.3">
      <c r="A86" s="180"/>
      <c r="B86" s="143" t="str">
        <f>'2.Páginas de la muestra'!C21</f>
        <v>ALIAS 14</v>
      </c>
      <c r="C86" s="38"/>
      <c r="D86" s="141"/>
    </row>
    <row r="87" spans="1:5" ht="18.75" x14ac:dyDescent="0.3">
      <c r="A87" s="181"/>
      <c r="B87" s="143" t="str">
        <f>'2.Páginas de la muestra'!C22</f>
        <v>ALIAS 15</v>
      </c>
      <c r="C87" s="38"/>
      <c r="D87" s="141"/>
    </row>
    <row r="88" spans="1:5" ht="18.75" x14ac:dyDescent="0.3">
      <c r="A88" s="152"/>
      <c r="C88" s="146" t="s">
        <v>11</v>
      </c>
      <c r="D88" s="39"/>
    </row>
    <row r="89" spans="1:5" ht="18.75" x14ac:dyDescent="0.3">
      <c r="A89" s="152"/>
      <c r="B89" s="153"/>
      <c r="C89" s="141"/>
      <c r="D89" s="141"/>
    </row>
    <row r="90" spans="1:5" ht="18.75" x14ac:dyDescent="0.3">
      <c r="A90" s="149" t="s">
        <v>251</v>
      </c>
      <c r="B90" s="150" t="s">
        <v>252</v>
      </c>
      <c r="C90" s="154">
        <f>COUNTIF(C73:C87,Hoja4!A5)</f>
        <v>0</v>
      </c>
    </row>
    <row r="91" spans="1:5" ht="18.75" x14ac:dyDescent="0.3">
      <c r="A91" s="152"/>
      <c r="B91" s="150" t="s">
        <v>253</v>
      </c>
      <c r="C91" s="154">
        <f>COUNTIF(C73:C87,Hoja4!A6)</f>
        <v>0</v>
      </c>
    </row>
    <row r="92" spans="1:5" ht="18.75" x14ac:dyDescent="0.3">
      <c r="A92" s="152"/>
      <c r="B92" s="150" t="s">
        <v>209</v>
      </c>
      <c r="C92" s="154">
        <f>COUNTIF(C73:C87,Hoja4!A7)</f>
        <v>7</v>
      </c>
    </row>
    <row r="93" spans="1:5" ht="18.75" x14ac:dyDescent="0.3">
      <c r="A93" s="152"/>
      <c r="B93" s="153"/>
      <c r="C93" s="141"/>
      <c r="D93" s="141"/>
    </row>
    <row r="94" spans="1:5" ht="18.75" x14ac:dyDescent="0.3">
      <c r="A94" s="178" t="s">
        <v>254</v>
      </c>
      <c r="B94" s="182"/>
      <c r="C94" s="139" t="s">
        <v>191</v>
      </c>
      <c r="D94" s="141"/>
      <c r="E94" s="140" t="s">
        <v>216</v>
      </c>
    </row>
    <row r="95" spans="1:5" ht="18.75" x14ac:dyDescent="0.3">
      <c r="A95" s="180" t="s">
        <v>255</v>
      </c>
      <c r="B95" s="143" t="str">
        <f>'2.Páginas de la muestra'!C8</f>
        <v>Inicio</v>
      </c>
      <c r="C95" s="38" t="s">
        <v>8</v>
      </c>
      <c r="D95" s="141"/>
      <c r="E95" s="124" t="s">
        <v>217</v>
      </c>
    </row>
    <row r="96" spans="1:5" ht="18.75" x14ac:dyDescent="0.3">
      <c r="A96" s="180"/>
      <c r="B96" s="143" t="str">
        <f>'2.Páginas de la muestra'!C9</f>
        <v>login</v>
      </c>
      <c r="C96" s="38" t="s">
        <v>9</v>
      </c>
      <c r="D96" s="141"/>
      <c r="E96" s="124" t="s">
        <v>218</v>
      </c>
    </row>
    <row r="97" spans="1:5" ht="18.75" x14ac:dyDescent="0.3">
      <c r="A97" s="180"/>
      <c r="B97" s="143" t="str">
        <f>'2.Páginas de la muestra'!C10</f>
        <v>Inicio-Dashboard</v>
      </c>
      <c r="C97" s="38" t="s">
        <v>10</v>
      </c>
      <c r="D97" s="141"/>
      <c r="E97" s="124" t="s">
        <v>219</v>
      </c>
    </row>
    <row r="98" spans="1:5" ht="18.75" x14ac:dyDescent="0.3">
      <c r="A98" s="180"/>
      <c r="B98" s="143" t="str">
        <f>'2.Páginas de la muestra'!C11</f>
        <v>Dashboard-Usuarios</v>
      </c>
      <c r="C98" s="38" t="s">
        <v>8</v>
      </c>
      <c r="D98" s="141"/>
    </row>
    <row r="99" spans="1:5" ht="18.75" x14ac:dyDescent="0.3">
      <c r="A99" s="180"/>
      <c r="B99" s="143" t="str">
        <f>'2.Páginas de la muestra'!C12</f>
        <v>Dashboard-Servicios</v>
      </c>
      <c r="C99" s="38" t="s">
        <v>8</v>
      </c>
      <c r="D99" s="141"/>
    </row>
    <row r="100" spans="1:5" ht="18.75" x14ac:dyDescent="0.3">
      <c r="A100" s="180"/>
      <c r="B100" s="143" t="str">
        <f>'2.Páginas de la muestra'!C13</f>
        <v>Dashboard-Reservas</v>
      </c>
      <c r="C100" s="38" t="s">
        <v>8</v>
      </c>
      <c r="D100" s="141"/>
    </row>
    <row r="101" spans="1:5" ht="18.75" x14ac:dyDescent="0.3">
      <c r="A101" s="180"/>
      <c r="B101" s="143" t="str">
        <f>'2.Páginas de la muestra'!C14</f>
        <v>Dashboard-Reservas-clientes</v>
      </c>
      <c r="C101" s="38" t="s">
        <v>8</v>
      </c>
      <c r="D101" s="141"/>
    </row>
    <row r="102" spans="1:5" ht="18.75" x14ac:dyDescent="0.3">
      <c r="A102" s="180"/>
      <c r="B102" s="143" t="str">
        <f>'2.Páginas de la muestra'!C15</f>
        <v>ALIAS 8</v>
      </c>
      <c r="C102" s="38"/>
      <c r="D102" s="141"/>
    </row>
    <row r="103" spans="1:5" ht="18.75" x14ac:dyDescent="0.3">
      <c r="A103" s="180"/>
      <c r="B103" s="143" t="str">
        <f>'2.Páginas de la muestra'!C16</f>
        <v>ALIAS 9</v>
      </c>
      <c r="C103" s="38"/>
      <c r="D103" s="141"/>
    </row>
    <row r="104" spans="1:5" ht="18.75" x14ac:dyDescent="0.3">
      <c r="A104" s="180"/>
      <c r="B104" s="143" t="str">
        <f>'2.Páginas de la muestra'!C17</f>
        <v>ALIAS 10</v>
      </c>
      <c r="C104" s="38"/>
      <c r="D104" s="141"/>
    </row>
    <row r="105" spans="1:5" ht="18.75" x14ac:dyDescent="0.3">
      <c r="A105" s="180"/>
      <c r="B105" s="143" t="str">
        <f>'2.Páginas de la muestra'!C18</f>
        <v>ALIAS 11</v>
      </c>
      <c r="C105" s="38"/>
      <c r="D105" s="141"/>
    </row>
    <row r="106" spans="1:5" ht="18.75" x14ac:dyDescent="0.3">
      <c r="A106" s="180"/>
      <c r="B106" s="143" t="str">
        <f>'2.Páginas de la muestra'!C19</f>
        <v>ALIAS 12</v>
      </c>
      <c r="C106" s="38"/>
      <c r="D106" s="141"/>
    </row>
    <row r="107" spans="1:5" ht="18.75" x14ac:dyDescent="0.3">
      <c r="A107" s="180"/>
      <c r="B107" s="143" t="str">
        <f>'2.Páginas de la muestra'!C20</f>
        <v>ALIAS 13</v>
      </c>
      <c r="C107" s="38"/>
      <c r="D107" s="141"/>
    </row>
    <row r="108" spans="1:5" ht="18.75" x14ac:dyDescent="0.3">
      <c r="A108" s="180"/>
      <c r="B108" s="143" t="str">
        <f>'2.Páginas de la muestra'!C21</f>
        <v>ALIAS 14</v>
      </c>
      <c r="C108" s="38"/>
      <c r="D108" s="141"/>
    </row>
    <row r="109" spans="1:5" ht="18.75" x14ac:dyDescent="0.3">
      <c r="A109" s="181"/>
      <c r="B109" s="143" t="str">
        <f>'2.Páginas de la muestra'!C22</f>
        <v>ALIAS 15</v>
      </c>
      <c r="C109" s="38"/>
      <c r="D109" s="141"/>
    </row>
    <row r="110" spans="1:5" ht="18.75" x14ac:dyDescent="0.3">
      <c r="A110" s="152"/>
      <c r="C110" s="146" t="s">
        <v>11</v>
      </c>
      <c r="D110" s="39"/>
    </row>
    <row r="111" spans="1:5" ht="18.75" x14ac:dyDescent="0.3">
      <c r="A111" s="152"/>
      <c r="B111" s="153"/>
      <c r="C111" s="141"/>
      <c r="D111" s="141"/>
    </row>
    <row r="112" spans="1:5" ht="18.75" x14ac:dyDescent="0.3">
      <c r="A112" s="149" t="s">
        <v>256</v>
      </c>
      <c r="B112" s="150" t="s">
        <v>252</v>
      </c>
      <c r="C112" s="154">
        <f>COUNTIF(C95:C109,Hoja4!A5)</f>
        <v>5</v>
      </c>
    </row>
    <row r="113" spans="1:5" ht="18.75" x14ac:dyDescent="0.3">
      <c r="A113" s="152"/>
      <c r="B113" s="150" t="s">
        <v>253</v>
      </c>
      <c r="C113" s="154">
        <f>COUNTIF(C95:C109,Hoja4!A6)</f>
        <v>1</v>
      </c>
    </row>
    <row r="114" spans="1:5" ht="18.75" x14ac:dyDescent="0.3">
      <c r="A114" s="152"/>
      <c r="B114" s="150" t="s">
        <v>209</v>
      </c>
      <c r="C114" s="154">
        <f>COUNTIF(C95:C109,Hoja4!A7)</f>
        <v>1</v>
      </c>
    </row>
    <row r="115" spans="1:5" ht="18.75" x14ac:dyDescent="0.3">
      <c r="A115" s="152"/>
      <c r="B115" s="153"/>
      <c r="C115" s="153"/>
      <c r="D115" s="141"/>
    </row>
    <row r="116" spans="1:5" ht="18.75" x14ac:dyDescent="0.3">
      <c r="A116" s="178" t="s">
        <v>248</v>
      </c>
      <c r="B116" s="182"/>
      <c r="C116" s="139" t="s">
        <v>191</v>
      </c>
      <c r="D116" s="141"/>
      <c r="E116" s="140" t="s">
        <v>220</v>
      </c>
    </row>
    <row r="117" spans="1:5" ht="18.75" x14ac:dyDescent="0.3">
      <c r="A117" s="180" t="s">
        <v>258</v>
      </c>
      <c r="B117" s="143" t="str">
        <f>'2.Páginas de la muestra'!C8</f>
        <v>Inicio</v>
      </c>
      <c r="C117" s="38" t="s">
        <v>8</v>
      </c>
      <c r="D117" s="141"/>
      <c r="E117" s="124" t="s">
        <v>56</v>
      </c>
    </row>
    <row r="118" spans="1:5" ht="18.75" x14ac:dyDescent="0.3">
      <c r="A118" s="180"/>
      <c r="B118" s="143" t="str">
        <f>'2.Páginas de la muestra'!C9</f>
        <v>login</v>
      </c>
      <c r="C118" s="38" t="s">
        <v>10</v>
      </c>
      <c r="D118" s="141"/>
    </row>
    <row r="119" spans="1:5" ht="18.75" x14ac:dyDescent="0.3">
      <c r="A119" s="180"/>
      <c r="B119" s="143" t="str">
        <f>'2.Páginas de la muestra'!C10</f>
        <v>Inicio-Dashboard</v>
      </c>
      <c r="C119" s="38" t="s">
        <v>8</v>
      </c>
      <c r="D119" s="141"/>
    </row>
    <row r="120" spans="1:5" ht="18.75" x14ac:dyDescent="0.3">
      <c r="A120" s="180"/>
      <c r="B120" s="143" t="str">
        <f>'2.Páginas de la muestra'!C11</f>
        <v>Dashboard-Usuarios</v>
      </c>
      <c r="C120" s="38" t="s">
        <v>8</v>
      </c>
      <c r="D120" s="141"/>
    </row>
    <row r="121" spans="1:5" ht="18.75" x14ac:dyDescent="0.3">
      <c r="A121" s="180"/>
      <c r="B121" s="143" t="str">
        <f>'2.Páginas de la muestra'!C12</f>
        <v>Dashboard-Servicios</v>
      </c>
      <c r="C121" s="38" t="s">
        <v>8</v>
      </c>
      <c r="D121" s="141"/>
    </row>
    <row r="122" spans="1:5" ht="18.75" x14ac:dyDescent="0.3">
      <c r="A122" s="180"/>
      <c r="B122" s="143" t="str">
        <f>'2.Páginas de la muestra'!C13</f>
        <v>Dashboard-Reservas</v>
      </c>
      <c r="C122" s="38" t="s">
        <v>8</v>
      </c>
      <c r="D122" s="141"/>
    </row>
    <row r="123" spans="1:5" ht="18.75" x14ac:dyDescent="0.3">
      <c r="A123" s="180"/>
      <c r="B123" s="143" t="str">
        <f>'2.Páginas de la muestra'!C14</f>
        <v>Dashboard-Reservas-clientes</v>
      </c>
      <c r="C123" s="38" t="s">
        <v>8</v>
      </c>
      <c r="D123" s="141"/>
    </row>
    <row r="124" spans="1:5" ht="18.75" x14ac:dyDescent="0.3">
      <c r="A124" s="180"/>
      <c r="B124" s="143" t="str">
        <f>'2.Páginas de la muestra'!C15</f>
        <v>ALIAS 8</v>
      </c>
      <c r="C124" s="38"/>
      <c r="D124" s="141"/>
    </row>
    <row r="125" spans="1:5" ht="18.75" x14ac:dyDescent="0.3">
      <c r="A125" s="180"/>
      <c r="B125" s="143" t="str">
        <f>'2.Páginas de la muestra'!C16</f>
        <v>ALIAS 9</v>
      </c>
      <c r="C125" s="38"/>
      <c r="D125" s="141"/>
    </row>
    <row r="126" spans="1:5" ht="18.75" x14ac:dyDescent="0.3">
      <c r="A126" s="180"/>
      <c r="B126" s="143" t="str">
        <f>'2.Páginas de la muestra'!C17</f>
        <v>ALIAS 10</v>
      </c>
      <c r="C126" s="38"/>
      <c r="D126" s="141"/>
    </row>
    <row r="127" spans="1:5" ht="18.75" x14ac:dyDescent="0.3">
      <c r="A127" s="180"/>
      <c r="B127" s="143" t="str">
        <f>'2.Páginas de la muestra'!C18</f>
        <v>ALIAS 11</v>
      </c>
      <c r="C127" s="38"/>
      <c r="D127" s="141"/>
    </row>
    <row r="128" spans="1:5" ht="18.75" x14ac:dyDescent="0.3">
      <c r="A128" s="180"/>
      <c r="B128" s="143" t="str">
        <f>'2.Páginas de la muestra'!C19</f>
        <v>ALIAS 12</v>
      </c>
      <c r="C128" s="38"/>
      <c r="D128" s="141"/>
    </row>
    <row r="129" spans="1:5" ht="18.75" x14ac:dyDescent="0.3">
      <c r="A129" s="180"/>
      <c r="B129" s="143" t="str">
        <f>'2.Páginas de la muestra'!C20</f>
        <v>ALIAS 13</v>
      </c>
      <c r="C129" s="38"/>
      <c r="D129" s="141"/>
    </row>
    <row r="130" spans="1:5" ht="18.75" x14ac:dyDescent="0.3">
      <c r="A130" s="180"/>
      <c r="B130" s="143" t="str">
        <f>'2.Páginas de la muestra'!C21</f>
        <v>ALIAS 14</v>
      </c>
      <c r="C130" s="38"/>
      <c r="D130" s="141"/>
    </row>
    <row r="131" spans="1:5" ht="18.75" x14ac:dyDescent="0.3">
      <c r="A131" s="181"/>
      <c r="B131" s="143" t="str">
        <f>'2.Páginas de la muestra'!C22</f>
        <v>ALIAS 15</v>
      </c>
      <c r="C131" s="38"/>
      <c r="D131" s="141"/>
    </row>
    <row r="132" spans="1:5" ht="18.75" x14ac:dyDescent="0.3">
      <c r="A132" s="152"/>
      <c r="C132" s="146" t="s">
        <v>11</v>
      </c>
      <c r="D132" s="39"/>
    </row>
    <row r="133" spans="1:5" ht="18.75" x14ac:dyDescent="0.3">
      <c r="A133" s="149"/>
      <c r="B133" s="153"/>
      <c r="C133" s="141"/>
      <c r="D133" s="141"/>
    </row>
    <row r="134" spans="1:5" ht="18.75" x14ac:dyDescent="0.3">
      <c r="A134" s="149" t="s">
        <v>257</v>
      </c>
      <c r="B134" s="150" t="s">
        <v>252</v>
      </c>
      <c r="C134" s="154">
        <f>COUNTIF(C117:C131,Hoja4!A5)</f>
        <v>6</v>
      </c>
    </row>
    <row r="135" spans="1:5" ht="18.75" x14ac:dyDescent="0.3">
      <c r="A135" s="152"/>
      <c r="B135" s="150" t="s">
        <v>253</v>
      </c>
      <c r="C135" s="154">
        <f>COUNTIF(C117:C131,Hoja4!A6)</f>
        <v>0</v>
      </c>
    </row>
    <row r="136" spans="1:5" ht="18.75" x14ac:dyDescent="0.3">
      <c r="A136" s="152"/>
      <c r="B136" s="150" t="s">
        <v>209</v>
      </c>
      <c r="C136" s="154">
        <f>COUNTIF(C117:C131,Hoja4!A7)</f>
        <v>1</v>
      </c>
    </row>
    <row r="137" spans="1:5" ht="18.75" x14ac:dyDescent="0.3">
      <c r="A137" s="152"/>
      <c r="B137" s="153"/>
      <c r="C137" s="141"/>
      <c r="D137" s="141"/>
    </row>
    <row r="138" spans="1:5" ht="18.75" x14ac:dyDescent="0.3">
      <c r="A138" s="178" t="s">
        <v>249</v>
      </c>
      <c r="B138" s="182"/>
      <c r="C138" s="139" t="s">
        <v>191</v>
      </c>
      <c r="D138" s="141"/>
      <c r="E138" s="140" t="s">
        <v>221</v>
      </c>
    </row>
    <row r="139" spans="1:5" ht="18.75" x14ac:dyDescent="0.3">
      <c r="A139" s="180" t="s">
        <v>259</v>
      </c>
      <c r="B139" s="143" t="str">
        <f>'2.Páginas de la muestra'!C8</f>
        <v>Inicio</v>
      </c>
      <c r="C139" s="38" t="s">
        <v>8</v>
      </c>
      <c r="D139" s="141"/>
      <c r="E139" s="124" t="s">
        <v>57</v>
      </c>
    </row>
    <row r="140" spans="1:5" ht="18.75" x14ac:dyDescent="0.3">
      <c r="A140" s="180"/>
      <c r="B140" s="143" t="str">
        <f>'2.Páginas de la muestra'!C9</f>
        <v>login</v>
      </c>
      <c r="C140" s="38" t="s">
        <v>8</v>
      </c>
      <c r="E140" s="124" t="s">
        <v>222</v>
      </c>
    </row>
    <row r="141" spans="1:5" ht="18.75" x14ac:dyDescent="0.3">
      <c r="A141" s="180"/>
      <c r="B141" s="143" t="str">
        <f>'2.Páginas de la muestra'!C10</f>
        <v>Inicio-Dashboard</v>
      </c>
      <c r="C141" s="38" t="s">
        <v>8</v>
      </c>
    </row>
    <row r="142" spans="1:5" ht="18.75" x14ac:dyDescent="0.3">
      <c r="A142" s="180"/>
      <c r="B142" s="143" t="str">
        <f>'2.Páginas de la muestra'!C11</f>
        <v>Dashboard-Usuarios</v>
      </c>
      <c r="C142" s="38" t="s">
        <v>8</v>
      </c>
    </row>
    <row r="143" spans="1:5" ht="18.75" x14ac:dyDescent="0.3">
      <c r="A143" s="180"/>
      <c r="B143" s="143" t="str">
        <f>'2.Páginas de la muestra'!C12</f>
        <v>Dashboard-Servicios</v>
      </c>
      <c r="C143" s="38" t="s">
        <v>8</v>
      </c>
      <c r="D143" s="141"/>
    </row>
    <row r="144" spans="1:5" ht="18.75" x14ac:dyDescent="0.3">
      <c r="A144" s="180"/>
      <c r="B144" s="143" t="str">
        <f>'2.Páginas de la muestra'!C13</f>
        <v>Dashboard-Reservas</v>
      </c>
      <c r="C144" s="38" t="s">
        <v>8</v>
      </c>
      <c r="D144" s="141"/>
    </row>
    <row r="145" spans="1:5" ht="18.75" x14ac:dyDescent="0.3">
      <c r="A145" s="180"/>
      <c r="B145" s="143" t="str">
        <f>'2.Páginas de la muestra'!C14</f>
        <v>Dashboard-Reservas-clientes</v>
      </c>
      <c r="C145" s="38" t="s">
        <v>8</v>
      </c>
      <c r="D145" s="141"/>
    </row>
    <row r="146" spans="1:5" ht="18.75" x14ac:dyDescent="0.3">
      <c r="A146" s="180"/>
      <c r="B146" s="143" t="str">
        <f>'2.Páginas de la muestra'!C15</f>
        <v>ALIAS 8</v>
      </c>
      <c r="C146" s="38"/>
      <c r="D146" s="141"/>
    </row>
    <row r="147" spans="1:5" ht="18.75" x14ac:dyDescent="0.3">
      <c r="A147" s="180"/>
      <c r="B147" s="143" t="str">
        <f>'2.Páginas de la muestra'!C16</f>
        <v>ALIAS 9</v>
      </c>
      <c r="C147" s="38"/>
      <c r="D147" s="141"/>
    </row>
    <row r="148" spans="1:5" ht="18.75" x14ac:dyDescent="0.3">
      <c r="A148" s="180"/>
      <c r="B148" s="143" t="str">
        <f>'2.Páginas de la muestra'!C17</f>
        <v>ALIAS 10</v>
      </c>
      <c r="C148" s="38"/>
      <c r="D148" s="141"/>
    </row>
    <row r="149" spans="1:5" ht="18.75" x14ac:dyDescent="0.3">
      <c r="A149" s="180"/>
      <c r="B149" s="143" t="str">
        <f>'2.Páginas de la muestra'!C18</f>
        <v>ALIAS 11</v>
      </c>
      <c r="C149" s="38"/>
      <c r="D149" s="141"/>
    </row>
    <row r="150" spans="1:5" ht="18.75" x14ac:dyDescent="0.3">
      <c r="A150" s="180"/>
      <c r="B150" s="143" t="str">
        <f>'2.Páginas de la muestra'!C19</f>
        <v>ALIAS 12</v>
      </c>
      <c r="C150" s="38"/>
      <c r="D150" s="141"/>
    </row>
    <row r="151" spans="1:5" ht="18.75" x14ac:dyDescent="0.3">
      <c r="A151" s="180"/>
      <c r="B151" s="143" t="str">
        <f>'2.Páginas de la muestra'!C20</f>
        <v>ALIAS 13</v>
      </c>
      <c r="C151" s="38"/>
      <c r="D151" s="141"/>
    </row>
    <row r="152" spans="1:5" ht="18.75" x14ac:dyDescent="0.3">
      <c r="A152" s="180"/>
      <c r="B152" s="143" t="str">
        <f>'2.Páginas de la muestra'!C21</f>
        <v>ALIAS 14</v>
      </c>
      <c r="C152" s="38"/>
      <c r="D152" s="141"/>
    </row>
    <row r="153" spans="1:5" ht="18.75" x14ac:dyDescent="0.3">
      <c r="A153" s="181"/>
      <c r="B153" s="143" t="str">
        <f>'2.Páginas de la muestra'!C22</f>
        <v>ALIAS 15</v>
      </c>
      <c r="C153" s="38"/>
      <c r="D153" s="141"/>
    </row>
    <row r="154" spans="1:5" ht="18.75" x14ac:dyDescent="0.3">
      <c r="A154" s="155"/>
      <c r="C154" s="146" t="s">
        <v>11</v>
      </c>
      <c r="D154" s="39"/>
    </row>
    <row r="155" spans="1:5" ht="18.75" x14ac:dyDescent="0.3">
      <c r="A155" s="156"/>
      <c r="B155" s="157"/>
      <c r="C155" s="141"/>
      <c r="D155" s="141"/>
    </row>
    <row r="156" spans="1:5" ht="18.75" x14ac:dyDescent="0.3">
      <c r="A156" s="149" t="s">
        <v>260</v>
      </c>
      <c r="B156" s="150" t="s">
        <v>252</v>
      </c>
      <c r="C156" s="154">
        <f>COUNTIF(C139:C153,Hoja4!A5)</f>
        <v>7</v>
      </c>
      <c r="D156" s="141"/>
    </row>
    <row r="157" spans="1:5" ht="18.75" x14ac:dyDescent="0.3">
      <c r="A157" s="155"/>
      <c r="B157" s="150" t="s">
        <v>253</v>
      </c>
      <c r="C157" s="154">
        <f>COUNTIF(C139:C153,Hoja4!A6)</f>
        <v>0</v>
      </c>
      <c r="D157" s="141"/>
    </row>
    <row r="158" spans="1:5" ht="18.75" x14ac:dyDescent="0.3">
      <c r="A158" s="155"/>
      <c r="B158" s="150" t="s">
        <v>209</v>
      </c>
      <c r="C158" s="154">
        <f>COUNTIF(C139:C153,Hoja4!A7)</f>
        <v>0</v>
      </c>
      <c r="D158" s="141"/>
    </row>
    <row r="159" spans="1:5" ht="18.75" x14ac:dyDescent="0.3">
      <c r="A159" s="156"/>
      <c r="B159" s="157"/>
      <c r="C159" s="141"/>
      <c r="D159" s="141"/>
    </row>
    <row r="160" spans="1:5" ht="18.75" x14ac:dyDescent="0.3">
      <c r="A160" s="178" t="s">
        <v>250</v>
      </c>
      <c r="B160" s="179"/>
      <c r="C160" s="139" t="s">
        <v>191</v>
      </c>
      <c r="D160" s="141"/>
      <c r="E160" s="140" t="s">
        <v>223</v>
      </c>
    </row>
    <row r="161" spans="1:5" ht="18.75" x14ac:dyDescent="0.3">
      <c r="A161" s="180" t="s">
        <v>304</v>
      </c>
      <c r="B161" s="143" t="str">
        <f>'2.Páginas de la muestra'!C8</f>
        <v>Inicio</v>
      </c>
      <c r="C161" s="38" t="s">
        <v>8</v>
      </c>
      <c r="D161" s="141"/>
      <c r="E161" s="124" t="s">
        <v>58</v>
      </c>
    </row>
    <row r="162" spans="1:5" ht="18.75" x14ac:dyDescent="0.3">
      <c r="A162" s="180"/>
      <c r="B162" s="143" t="str">
        <f>'2.Páginas de la muestra'!C9</f>
        <v>login</v>
      </c>
      <c r="C162" s="38" t="s">
        <v>8</v>
      </c>
      <c r="E162" s="124" t="s">
        <v>59</v>
      </c>
    </row>
    <row r="163" spans="1:5" ht="18.75" x14ac:dyDescent="0.3">
      <c r="A163" s="180"/>
      <c r="B163" s="143" t="str">
        <f>'2.Páginas de la muestra'!C10</f>
        <v>Inicio-Dashboard</v>
      </c>
      <c r="C163" s="38" t="s">
        <v>8</v>
      </c>
    </row>
    <row r="164" spans="1:5" ht="18.75" x14ac:dyDescent="0.3">
      <c r="A164" s="180"/>
      <c r="B164" s="143" t="str">
        <f>'2.Páginas de la muestra'!C11</f>
        <v>Dashboard-Usuarios</v>
      </c>
      <c r="C164" s="38" t="s">
        <v>9</v>
      </c>
    </row>
    <row r="165" spans="1:5" ht="18.75" x14ac:dyDescent="0.3">
      <c r="A165" s="180"/>
      <c r="B165" s="143" t="str">
        <f>'2.Páginas de la muestra'!C12</f>
        <v>Dashboard-Servicios</v>
      </c>
      <c r="C165" s="38" t="s">
        <v>8</v>
      </c>
      <c r="D165" s="141"/>
    </row>
    <row r="166" spans="1:5" ht="18.75" x14ac:dyDescent="0.3">
      <c r="A166" s="180"/>
      <c r="B166" s="143" t="str">
        <f>'2.Páginas de la muestra'!C13</f>
        <v>Dashboard-Reservas</v>
      </c>
      <c r="C166" s="38" t="s">
        <v>9</v>
      </c>
      <c r="D166" s="141"/>
    </row>
    <row r="167" spans="1:5" ht="18.75" x14ac:dyDescent="0.3">
      <c r="A167" s="180"/>
      <c r="B167" s="143" t="str">
        <f>'2.Páginas de la muestra'!C14</f>
        <v>Dashboard-Reservas-clientes</v>
      </c>
      <c r="C167" s="38" t="s">
        <v>8</v>
      </c>
      <c r="D167" s="141"/>
    </row>
    <row r="168" spans="1:5" ht="18.75" x14ac:dyDescent="0.3">
      <c r="A168" s="180"/>
      <c r="B168" s="143" t="str">
        <f>'2.Páginas de la muestra'!C15</f>
        <v>ALIAS 8</v>
      </c>
      <c r="C168" s="38"/>
      <c r="D168" s="141"/>
    </row>
    <row r="169" spans="1:5" ht="18.75" x14ac:dyDescent="0.3">
      <c r="A169" s="180"/>
      <c r="B169" s="143" t="str">
        <f>'2.Páginas de la muestra'!C16</f>
        <v>ALIAS 9</v>
      </c>
      <c r="C169" s="38"/>
      <c r="D169" s="141"/>
    </row>
    <row r="170" spans="1:5" ht="18.75" x14ac:dyDescent="0.3">
      <c r="A170" s="180"/>
      <c r="B170" s="143" t="str">
        <f>'2.Páginas de la muestra'!C17</f>
        <v>ALIAS 10</v>
      </c>
      <c r="C170" s="38"/>
      <c r="D170" s="141"/>
    </row>
    <row r="171" spans="1:5" ht="18.75" x14ac:dyDescent="0.3">
      <c r="A171" s="180"/>
      <c r="B171" s="143" t="str">
        <f>'2.Páginas de la muestra'!C18</f>
        <v>ALIAS 11</v>
      </c>
      <c r="C171" s="38"/>
      <c r="D171" s="141"/>
    </row>
    <row r="172" spans="1:5" ht="18.75" x14ac:dyDescent="0.3">
      <c r="A172" s="180"/>
      <c r="B172" s="143" t="str">
        <f>'2.Páginas de la muestra'!C19</f>
        <v>ALIAS 12</v>
      </c>
      <c r="C172" s="38"/>
      <c r="D172" s="141"/>
    </row>
    <row r="173" spans="1:5" ht="18.75" x14ac:dyDescent="0.3">
      <c r="A173" s="180"/>
      <c r="B173" s="143" t="str">
        <f>'2.Páginas de la muestra'!C20</f>
        <v>ALIAS 13</v>
      </c>
      <c r="C173" s="38"/>
      <c r="D173" s="141"/>
    </row>
    <row r="174" spans="1:5" ht="18.75" x14ac:dyDescent="0.3">
      <c r="A174" s="180"/>
      <c r="B174" s="143" t="str">
        <f>'2.Páginas de la muestra'!C21</f>
        <v>ALIAS 14</v>
      </c>
      <c r="C174" s="38"/>
      <c r="D174" s="141"/>
    </row>
    <row r="175" spans="1:5" ht="18.75" x14ac:dyDescent="0.3">
      <c r="A175" s="181"/>
      <c r="B175" s="143" t="str">
        <f>'2.Páginas de la muestra'!C22</f>
        <v>ALIAS 15</v>
      </c>
      <c r="C175" s="38"/>
      <c r="D175" s="141"/>
    </row>
    <row r="176" spans="1:5" ht="18.75" x14ac:dyDescent="0.3">
      <c r="A176" s="155"/>
      <c r="C176" s="146" t="s">
        <v>11</v>
      </c>
      <c r="D176" s="39"/>
    </row>
    <row r="177" spans="1:5" ht="18.75" x14ac:dyDescent="0.3">
      <c r="A177" s="156"/>
      <c r="B177" s="157"/>
      <c r="C177" s="141"/>
      <c r="D177" s="141"/>
    </row>
    <row r="178" spans="1:5" ht="18.75" x14ac:dyDescent="0.3">
      <c r="A178" s="149" t="s">
        <v>271</v>
      </c>
      <c r="B178" s="150" t="s">
        <v>252</v>
      </c>
      <c r="C178" s="154">
        <f>COUNTIF(C161:C175,Hoja4!A5)</f>
        <v>5</v>
      </c>
      <c r="D178" s="141"/>
    </row>
    <row r="179" spans="1:5" ht="18.75" x14ac:dyDescent="0.3">
      <c r="A179" s="156"/>
      <c r="B179" s="150" t="s">
        <v>253</v>
      </c>
      <c r="C179" s="154">
        <f>COUNTIF(C161:C175,Hoja4!A6)</f>
        <v>2</v>
      </c>
      <c r="D179" s="141"/>
    </row>
    <row r="180" spans="1:5" ht="18.75" x14ac:dyDescent="0.3">
      <c r="A180" s="156"/>
      <c r="B180" s="150" t="s">
        <v>209</v>
      </c>
      <c r="C180" s="154">
        <f>COUNTIF(C161:C175,Hoja4!A7)</f>
        <v>0</v>
      </c>
      <c r="D180" s="141"/>
    </row>
    <row r="181" spans="1:5" ht="18.75" x14ac:dyDescent="0.3">
      <c r="A181" s="156"/>
      <c r="B181" s="157"/>
      <c r="C181" s="141"/>
      <c r="D181" s="141"/>
    </row>
    <row r="182" spans="1:5" ht="18.75" x14ac:dyDescent="0.3">
      <c r="A182" s="179" t="s">
        <v>261</v>
      </c>
      <c r="B182" s="179"/>
      <c r="C182" s="139" t="s">
        <v>191</v>
      </c>
      <c r="D182" s="141"/>
      <c r="E182" s="140" t="s">
        <v>224</v>
      </c>
    </row>
    <row r="183" spans="1:5" ht="18.75" x14ac:dyDescent="0.3">
      <c r="A183" s="180" t="s">
        <v>303</v>
      </c>
      <c r="B183" s="143" t="str">
        <f>'2.Páginas de la muestra'!C8</f>
        <v>Inicio</v>
      </c>
      <c r="C183" s="38" t="s">
        <v>10</v>
      </c>
      <c r="D183" s="141"/>
      <c r="E183" s="124" t="s">
        <v>60</v>
      </c>
    </row>
    <row r="184" spans="1:5" ht="18.75" x14ac:dyDescent="0.3">
      <c r="A184" s="180"/>
      <c r="B184" s="143" t="str">
        <f>'2.Páginas de la muestra'!C9</f>
        <v>login</v>
      </c>
      <c r="C184" s="38" t="s">
        <v>10</v>
      </c>
    </row>
    <row r="185" spans="1:5" ht="18.75" x14ac:dyDescent="0.3">
      <c r="A185" s="180"/>
      <c r="B185" s="143" t="str">
        <f>'2.Páginas de la muestra'!C10</f>
        <v>Inicio-Dashboard</v>
      </c>
      <c r="C185" s="38" t="s">
        <v>10</v>
      </c>
    </row>
    <row r="186" spans="1:5" ht="18.75" x14ac:dyDescent="0.3">
      <c r="A186" s="180"/>
      <c r="B186" s="143" t="str">
        <f>'2.Páginas de la muestra'!C11</f>
        <v>Dashboard-Usuarios</v>
      </c>
      <c r="C186" s="38" t="s">
        <v>10</v>
      </c>
    </row>
    <row r="187" spans="1:5" ht="18.75" x14ac:dyDescent="0.3">
      <c r="A187" s="180"/>
      <c r="B187" s="143" t="str">
        <f>'2.Páginas de la muestra'!C12</f>
        <v>Dashboard-Servicios</v>
      </c>
      <c r="C187" s="38" t="s">
        <v>10</v>
      </c>
      <c r="D187" s="141"/>
    </row>
    <row r="188" spans="1:5" ht="18.75" x14ac:dyDescent="0.3">
      <c r="A188" s="180"/>
      <c r="B188" s="143" t="str">
        <f>'2.Páginas de la muestra'!C13</f>
        <v>Dashboard-Reservas</v>
      </c>
      <c r="C188" s="38" t="s">
        <v>10</v>
      </c>
      <c r="D188" s="141"/>
    </row>
    <row r="189" spans="1:5" ht="18.75" x14ac:dyDescent="0.3">
      <c r="A189" s="180"/>
      <c r="B189" s="143" t="str">
        <f>'2.Páginas de la muestra'!C14</f>
        <v>Dashboard-Reservas-clientes</v>
      </c>
      <c r="C189" s="38" t="s">
        <v>10</v>
      </c>
      <c r="D189" s="141"/>
    </row>
    <row r="190" spans="1:5" ht="18.75" x14ac:dyDescent="0.3">
      <c r="A190" s="180"/>
      <c r="B190" s="143" t="str">
        <f>'2.Páginas de la muestra'!C15</f>
        <v>ALIAS 8</v>
      </c>
      <c r="C190" s="38"/>
      <c r="D190" s="141"/>
    </row>
    <row r="191" spans="1:5" ht="18.75" x14ac:dyDescent="0.3">
      <c r="A191" s="180"/>
      <c r="B191" s="143" t="str">
        <f>'2.Páginas de la muestra'!C16</f>
        <v>ALIAS 9</v>
      </c>
      <c r="C191" s="38"/>
      <c r="D191" s="141"/>
    </row>
    <row r="192" spans="1:5" ht="18.75" x14ac:dyDescent="0.3">
      <c r="A192" s="180"/>
      <c r="B192" s="143" t="str">
        <f>'2.Páginas de la muestra'!C17</f>
        <v>ALIAS 10</v>
      </c>
      <c r="C192" s="38"/>
      <c r="D192" s="141"/>
    </row>
    <row r="193" spans="1:5" ht="18.75" x14ac:dyDescent="0.3">
      <c r="A193" s="180"/>
      <c r="B193" s="143" t="str">
        <f>'2.Páginas de la muestra'!C18</f>
        <v>ALIAS 11</v>
      </c>
      <c r="C193" s="38"/>
      <c r="D193" s="141"/>
    </row>
    <row r="194" spans="1:5" ht="18.75" x14ac:dyDescent="0.3">
      <c r="A194" s="180"/>
      <c r="B194" s="143" t="str">
        <f>'2.Páginas de la muestra'!C19</f>
        <v>ALIAS 12</v>
      </c>
      <c r="C194" s="38"/>
      <c r="D194" s="141"/>
    </row>
    <row r="195" spans="1:5" ht="18.75" x14ac:dyDescent="0.3">
      <c r="A195" s="180"/>
      <c r="B195" s="143" t="str">
        <f>'2.Páginas de la muestra'!C20</f>
        <v>ALIAS 13</v>
      </c>
      <c r="C195" s="38"/>
      <c r="D195" s="141"/>
    </row>
    <row r="196" spans="1:5" ht="18.75" x14ac:dyDescent="0.3">
      <c r="A196" s="180"/>
      <c r="B196" s="143" t="str">
        <f>'2.Páginas de la muestra'!C21</f>
        <v>ALIAS 14</v>
      </c>
      <c r="C196" s="38"/>
      <c r="D196" s="141"/>
    </row>
    <row r="197" spans="1:5" ht="18.75" x14ac:dyDescent="0.3">
      <c r="A197" s="181"/>
      <c r="B197" s="143" t="str">
        <f>'2.Páginas de la muestra'!C22</f>
        <v>ALIAS 15</v>
      </c>
      <c r="C197" s="38"/>
      <c r="D197" s="141"/>
    </row>
    <row r="198" spans="1:5" ht="18.75" x14ac:dyDescent="0.3">
      <c r="A198" s="152"/>
      <c r="C198" s="146" t="s">
        <v>11</v>
      </c>
      <c r="D198" s="39"/>
    </row>
    <row r="199" spans="1:5" ht="18.75" x14ac:dyDescent="0.3">
      <c r="A199" s="152"/>
      <c r="B199" s="157"/>
      <c r="C199" s="141"/>
      <c r="D199" s="141"/>
    </row>
    <row r="200" spans="1:5" ht="18.75" x14ac:dyDescent="0.3">
      <c r="A200" s="149" t="s">
        <v>272</v>
      </c>
      <c r="B200" s="150" t="s">
        <v>252</v>
      </c>
      <c r="C200" s="154">
        <f>COUNTIF(C183:C197,Hoja4!A5)</f>
        <v>0</v>
      </c>
      <c r="D200" s="141"/>
    </row>
    <row r="201" spans="1:5" ht="18.75" x14ac:dyDescent="0.3">
      <c r="A201" s="152"/>
      <c r="B201" s="150" t="s">
        <v>253</v>
      </c>
      <c r="C201" s="154">
        <f>COUNTIF(C183:C197,Hoja4!A6)</f>
        <v>0</v>
      </c>
      <c r="D201" s="141"/>
    </row>
    <row r="202" spans="1:5" ht="18.75" x14ac:dyDescent="0.3">
      <c r="A202" s="152"/>
      <c r="B202" s="150" t="s">
        <v>209</v>
      </c>
      <c r="C202" s="154">
        <f>COUNTIF(C183:C197,Hoja4!A7)</f>
        <v>7</v>
      </c>
      <c r="D202" s="141"/>
    </row>
    <row r="203" spans="1:5" ht="18.75" x14ac:dyDescent="0.3">
      <c r="A203" s="152"/>
      <c r="B203" s="157"/>
      <c r="C203" s="141"/>
      <c r="D203" s="141"/>
    </row>
    <row r="204" spans="1:5" ht="18.75" x14ac:dyDescent="0.3">
      <c r="A204" s="179" t="s">
        <v>262</v>
      </c>
      <c r="B204" s="179"/>
      <c r="C204" s="139" t="s">
        <v>191</v>
      </c>
      <c r="D204" s="141"/>
      <c r="E204" s="140" t="s">
        <v>225</v>
      </c>
    </row>
    <row r="205" spans="1:5" ht="18.75" customHeight="1" x14ac:dyDescent="0.3">
      <c r="A205" s="180" t="s">
        <v>302</v>
      </c>
      <c r="B205" s="143" t="str">
        <f>'2.Páginas de la muestra'!C8</f>
        <v>Inicio</v>
      </c>
      <c r="C205" s="38" t="s">
        <v>9</v>
      </c>
      <c r="D205" s="141"/>
      <c r="E205" s="124" t="s">
        <v>61</v>
      </c>
    </row>
    <row r="206" spans="1:5" ht="18.75" x14ac:dyDescent="0.3">
      <c r="A206" s="180"/>
      <c r="B206" s="143" t="str">
        <f>'2.Páginas de la muestra'!C9</f>
        <v>login</v>
      </c>
      <c r="C206" s="38" t="s">
        <v>9</v>
      </c>
      <c r="E206" s="124" t="s">
        <v>226</v>
      </c>
    </row>
    <row r="207" spans="1:5" ht="18.75" x14ac:dyDescent="0.3">
      <c r="A207" s="180"/>
      <c r="B207" s="143" t="str">
        <f>'2.Páginas de la muestra'!C10</f>
        <v>Inicio-Dashboard</v>
      </c>
      <c r="C207" s="38" t="s">
        <v>9</v>
      </c>
    </row>
    <row r="208" spans="1:5" ht="18.75" x14ac:dyDescent="0.3">
      <c r="A208" s="180"/>
      <c r="B208" s="143" t="str">
        <f>'2.Páginas de la muestra'!C11</f>
        <v>Dashboard-Usuarios</v>
      </c>
      <c r="C208" s="38" t="s">
        <v>9</v>
      </c>
    </row>
    <row r="209" spans="1:4" ht="18.75" x14ac:dyDescent="0.3">
      <c r="A209" s="180"/>
      <c r="B209" s="143" t="str">
        <f>'2.Páginas de la muestra'!C12</f>
        <v>Dashboard-Servicios</v>
      </c>
      <c r="C209" s="38" t="s">
        <v>9</v>
      </c>
      <c r="D209" s="141"/>
    </row>
    <row r="210" spans="1:4" ht="18.75" x14ac:dyDescent="0.3">
      <c r="A210" s="180"/>
      <c r="B210" s="143" t="str">
        <f>'2.Páginas de la muestra'!C13</f>
        <v>Dashboard-Reservas</v>
      </c>
      <c r="C210" s="38" t="s">
        <v>9</v>
      </c>
      <c r="D210" s="141"/>
    </row>
    <row r="211" spans="1:4" ht="18.75" x14ac:dyDescent="0.3">
      <c r="A211" s="180"/>
      <c r="B211" s="143" t="str">
        <f>'2.Páginas de la muestra'!C14</f>
        <v>Dashboard-Reservas-clientes</v>
      </c>
      <c r="C211" s="38" t="s">
        <v>9</v>
      </c>
      <c r="D211" s="141"/>
    </row>
    <row r="212" spans="1:4" ht="18.75" x14ac:dyDescent="0.3">
      <c r="A212" s="180"/>
      <c r="B212" s="143" t="str">
        <f>'2.Páginas de la muestra'!C15</f>
        <v>ALIAS 8</v>
      </c>
      <c r="C212" s="38"/>
      <c r="D212" s="141"/>
    </row>
    <row r="213" spans="1:4" ht="18.75" x14ac:dyDescent="0.3">
      <c r="A213" s="180"/>
      <c r="B213" s="143" t="str">
        <f>'2.Páginas de la muestra'!C16</f>
        <v>ALIAS 9</v>
      </c>
      <c r="C213" s="38"/>
      <c r="D213" s="141"/>
    </row>
    <row r="214" spans="1:4" ht="18.75" x14ac:dyDescent="0.3">
      <c r="A214" s="180"/>
      <c r="B214" s="143" t="str">
        <f>'2.Páginas de la muestra'!C17</f>
        <v>ALIAS 10</v>
      </c>
      <c r="C214" s="38"/>
      <c r="D214" s="141"/>
    </row>
    <row r="215" spans="1:4" ht="18.75" x14ac:dyDescent="0.3">
      <c r="A215" s="180"/>
      <c r="B215" s="143" t="str">
        <f>'2.Páginas de la muestra'!C18</f>
        <v>ALIAS 11</v>
      </c>
      <c r="C215" s="38"/>
      <c r="D215" s="141"/>
    </row>
    <row r="216" spans="1:4" ht="18.75" x14ac:dyDescent="0.3">
      <c r="A216" s="180"/>
      <c r="B216" s="143" t="str">
        <f>'2.Páginas de la muestra'!C19</f>
        <v>ALIAS 12</v>
      </c>
      <c r="C216" s="38"/>
      <c r="D216" s="141"/>
    </row>
    <row r="217" spans="1:4" ht="18.75" x14ac:dyDescent="0.3">
      <c r="A217" s="180"/>
      <c r="B217" s="143" t="str">
        <f>'2.Páginas de la muestra'!C20</f>
        <v>ALIAS 13</v>
      </c>
      <c r="C217" s="38"/>
      <c r="D217" s="141"/>
    </row>
    <row r="218" spans="1:4" ht="18.75" x14ac:dyDescent="0.3">
      <c r="A218" s="180"/>
      <c r="B218" s="143" t="str">
        <f>'2.Páginas de la muestra'!C21</f>
        <v>ALIAS 14</v>
      </c>
      <c r="C218" s="38"/>
      <c r="D218" s="141"/>
    </row>
    <row r="219" spans="1:4" ht="18.75" x14ac:dyDescent="0.3">
      <c r="A219" s="181"/>
      <c r="B219" s="143" t="str">
        <f>'2.Páginas de la muestra'!C22</f>
        <v>ALIAS 15</v>
      </c>
      <c r="C219" s="38"/>
      <c r="D219" s="141"/>
    </row>
    <row r="220" spans="1:4" ht="18.75" x14ac:dyDescent="0.3">
      <c r="A220" s="152"/>
      <c r="C220" s="146" t="s">
        <v>11</v>
      </c>
      <c r="D220" s="39"/>
    </row>
    <row r="221" spans="1:4" ht="18.75" x14ac:dyDescent="0.3">
      <c r="A221" s="152"/>
      <c r="B221" s="157"/>
      <c r="C221" s="141"/>
      <c r="D221" s="141"/>
    </row>
    <row r="222" spans="1:4" ht="18.75" x14ac:dyDescent="0.3">
      <c r="A222" s="149" t="s">
        <v>273</v>
      </c>
      <c r="B222" s="150" t="s">
        <v>252</v>
      </c>
      <c r="C222" s="154">
        <f>COUNTIF(C205:C219,Hoja4!A5)</f>
        <v>0</v>
      </c>
      <c r="D222" s="141"/>
    </row>
    <row r="223" spans="1:4" ht="18.75" x14ac:dyDescent="0.3">
      <c r="A223" s="152"/>
      <c r="B223" s="150" t="s">
        <v>253</v>
      </c>
      <c r="C223" s="154">
        <f>COUNTIF(C205:C219,Hoja4!A6)</f>
        <v>7</v>
      </c>
      <c r="D223" s="141"/>
    </row>
    <row r="224" spans="1:4" ht="18.75" x14ac:dyDescent="0.3">
      <c r="A224" s="152"/>
      <c r="B224" s="150" t="s">
        <v>209</v>
      </c>
      <c r="C224" s="154">
        <f>COUNTIF(C205:C219,Hoja4!A7)</f>
        <v>0</v>
      </c>
      <c r="D224" s="141"/>
    </row>
    <row r="225" spans="1:5" ht="18.75" x14ac:dyDescent="0.3">
      <c r="A225" s="152"/>
      <c r="B225" s="157"/>
      <c r="C225" s="141"/>
      <c r="D225" s="141"/>
    </row>
    <row r="226" spans="1:5" ht="18.75" x14ac:dyDescent="0.3">
      <c r="A226" s="179" t="s">
        <v>362</v>
      </c>
      <c r="B226" s="179"/>
      <c r="C226" s="139" t="s">
        <v>191</v>
      </c>
      <c r="D226" s="141"/>
      <c r="E226" s="140" t="s">
        <v>227</v>
      </c>
    </row>
    <row r="227" spans="1:5" ht="18.75" x14ac:dyDescent="0.3">
      <c r="A227" s="180" t="s">
        <v>301</v>
      </c>
      <c r="B227" s="143" t="str">
        <f>'2.Páginas de la muestra'!C8</f>
        <v>Inicio</v>
      </c>
      <c r="C227" s="38" t="s">
        <v>9</v>
      </c>
      <c r="D227" s="141"/>
      <c r="E227" s="124" t="s">
        <v>62</v>
      </c>
    </row>
    <row r="228" spans="1:5" ht="18.75" x14ac:dyDescent="0.3">
      <c r="A228" s="180"/>
      <c r="B228" s="143" t="str">
        <f>'2.Páginas de la muestra'!C9</f>
        <v>login</v>
      </c>
      <c r="C228" s="38" t="s">
        <v>9</v>
      </c>
    </row>
    <row r="229" spans="1:5" ht="18.75" x14ac:dyDescent="0.3">
      <c r="A229" s="180"/>
      <c r="B229" s="143" t="str">
        <f>'2.Páginas de la muestra'!C10</f>
        <v>Inicio-Dashboard</v>
      </c>
      <c r="C229" s="38" t="s">
        <v>9</v>
      </c>
    </row>
    <row r="230" spans="1:5" ht="18.75" x14ac:dyDescent="0.3">
      <c r="A230" s="180"/>
      <c r="B230" s="143" t="str">
        <f>'2.Páginas de la muestra'!C11</f>
        <v>Dashboard-Usuarios</v>
      </c>
      <c r="C230" s="38" t="s">
        <v>9</v>
      </c>
    </row>
    <row r="231" spans="1:5" ht="18.75" x14ac:dyDescent="0.3">
      <c r="A231" s="180"/>
      <c r="B231" s="143" t="str">
        <f>'2.Páginas de la muestra'!C12</f>
        <v>Dashboard-Servicios</v>
      </c>
      <c r="C231" s="38" t="s">
        <v>9</v>
      </c>
      <c r="D231" s="141"/>
    </row>
    <row r="232" spans="1:5" ht="18.75" x14ac:dyDescent="0.3">
      <c r="A232" s="180"/>
      <c r="B232" s="143" t="str">
        <f>'2.Páginas de la muestra'!C13</f>
        <v>Dashboard-Reservas</v>
      </c>
      <c r="C232" s="38" t="s">
        <v>9</v>
      </c>
      <c r="D232" s="141"/>
    </row>
    <row r="233" spans="1:5" ht="18.75" x14ac:dyDescent="0.3">
      <c r="A233" s="180"/>
      <c r="B233" s="143" t="str">
        <f>'2.Páginas de la muestra'!C14</f>
        <v>Dashboard-Reservas-clientes</v>
      </c>
      <c r="C233" s="38" t="s">
        <v>9</v>
      </c>
      <c r="D233" s="141"/>
    </row>
    <row r="234" spans="1:5" ht="18.75" x14ac:dyDescent="0.3">
      <c r="A234" s="180"/>
      <c r="B234" s="143" t="str">
        <f>'2.Páginas de la muestra'!C15</f>
        <v>ALIAS 8</v>
      </c>
      <c r="C234" s="38"/>
      <c r="D234" s="141"/>
    </row>
    <row r="235" spans="1:5" ht="18.75" x14ac:dyDescent="0.3">
      <c r="A235" s="180"/>
      <c r="B235" s="143" t="str">
        <f>'2.Páginas de la muestra'!C16</f>
        <v>ALIAS 9</v>
      </c>
      <c r="C235" s="38"/>
      <c r="D235" s="141"/>
    </row>
    <row r="236" spans="1:5" ht="18.75" x14ac:dyDescent="0.3">
      <c r="A236" s="180"/>
      <c r="B236" s="143" t="str">
        <f>'2.Páginas de la muestra'!C17</f>
        <v>ALIAS 10</v>
      </c>
      <c r="C236" s="38"/>
      <c r="D236" s="141"/>
    </row>
    <row r="237" spans="1:5" ht="18.75" x14ac:dyDescent="0.3">
      <c r="A237" s="180"/>
      <c r="B237" s="143" t="str">
        <f>'2.Páginas de la muestra'!C18</f>
        <v>ALIAS 11</v>
      </c>
      <c r="C237" s="38"/>
      <c r="D237" s="141"/>
    </row>
    <row r="238" spans="1:5" ht="18.75" x14ac:dyDescent="0.3">
      <c r="A238" s="180"/>
      <c r="B238" s="143" t="str">
        <f>'2.Páginas de la muestra'!C19</f>
        <v>ALIAS 12</v>
      </c>
      <c r="C238" s="38"/>
      <c r="D238" s="141"/>
    </row>
    <row r="239" spans="1:5" ht="18.75" x14ac:dyDescent="0.3">
      <c r="A239" s="180"/>
      <c r="B239" s="143" t="str">
        <f>'2.Páginas de la muestra'!C20</f>
        <v>ALIAS 13</v>
      </c>
      <c r="C239" s="38"/>
      <c r="D239" s="141"/>
    </row>
    <row r="240" spans="1:5" ht="18.75" x14ac:dyDescent="0.3">
      <c r="A240" s="180"/>
      <c r="B240" s="143" t="str">
        <f>'2.Páginas de la muestra'!C21</f>
        <v>ALIAS 14</v>
      </c>
      <c r="C240" s="38"/>
      <c r="D240" s="141"/>
    </row>
    <row r="241" spans="1:5" ht="18.75" x14ac:dyDescent="0.3">
      <c r="A241" s="181"/>
      <c r="B241" s="143" t="str">
        <f>'2.Páginas de la muestra'!C22</f>
        <v>ALIAS 15</v>
      </c>
      <c r="C241" s="38"/>
      <c r="D241" s="141"/>
    </row>
    <row r="242" spans="1:5" ht="18.75" x14ac:dyDescent="0.3">
      <c r="A242" s="152"/>
      <c r="C242" s="146" t="s">
        <v>11</v>
      </c>
      <c r="D242" s="39"/>
    </row>
    <row r="243" spans="1:5" ht="18.75" x14ac:dyDescent="0.3">
      <c r="A243" s="152"/>
      <c r="B243" s="157"/>
      <c r="C243" s="141"/>
      <c r="D243" s="141"/>
    </row>
    <row r="244" spans="1:5" ht="18.75" x14ac:dyDescent="0.3">
      <c r="A244" s="149" t="s">
        <v>274</v>
      </c>
      <c r="B244" s="150" t="s">
        <v>252</v>
      </c>
      <c r="C244" s="154">
        <f>COUNTIF(C227:C241,Hoja4!A5)</f>
        <v>0</v>
      </c>
      <c r="D244" s="141"/>
    </row>
    <row r="245" spans="1:5" ht="18.75" x14ac:dyDescent="0.3">
      <c r="A245" s="152"/>
      <c r="B245" s="150" t="s">
        <v>253</v>
      </c>
      <c r="C245" s="154">
        <f>COUNTIF(C227:C241,Hoja4!A6)</f>
        <v>7</v>
      </c>
      <c r="D245" s="141"/>
    </row>
    <row r="246" spans="1:5" ht="18.75" x14ac:dyDescent="0.3">
      <c r="A246" s="152"/>
      <c r="B246" s="150" t="s">
        <v>209</v>
      </c>
      <c r="C246" s="154">
        <f>COUNTIF(C227:C241,Hoja4!A7)</f>
        <v>0</v>
      </c>
      <c r="D246" s="141"/>
    </row>
    <row r="247" spans="1:5" ht="18.75" x14ac:dyDescent="0.3">
      <c r="A247" s="152"/>
      <c r="B247" s="157"/>
      <c r="C247" s="141"/>
      <c r="D247" s="141"/>
    </row>
    <row r="248" spans="1:5" ht="18.75" x14ac:dyDescent="0.3">
      <c r="A248" s="179" t="s">
        <v>63</v>
      </c>
      <c r="B248" s="179"/>
      <c r="C248" s="139" t="s">
        <v>191</v>
      </c>
      <c r="D248" s="141"/>
      <c r="E248" s="140" t="s">
        <v>228</v>
      </c>
    </row>
    <row r="249" spans="1:5" ht="18.75" x14ac:dyDescent="0.3">
      <c r="A249" s="180" t="s">
        <v>363</v>
      </c>
      <c r="B249" s="143" t="str">
        <f>'2.Páginas de la muestra'!C8</f>
        <v>Inicio</v>
      </c>
      <c r="C249" s="38" t="s">
        <v>10</v>
      </c>
      <c r="D249" s="141"/>
      <c r="E249" s="124" t="s">
        <v>64</v>
      </c>
    </row>
    <row r="250" spans="1:5" ht="18.75" x14ac:dyDescent="0.3">
      <c r="A250" s="180"/>
      <c r="B250" s="143" t="str">
        <f>'2.Páginas de la muestra'!C9</f>
        <v>login</v>
      </c>
      <c r="C250" s="38" t="s">
        <v>10</v>
      </c>
    </row>
    <row r="251" spans="1:5" ht="18.75" x14ac:dyDescent="0.3">
      <c r="A251" s="180"/>
      <c r="B251" s="143" t="str">
        <f>'2.Páginas de la muestra'!C10</f>
        <v>Inicio-Dashboard</v>
      </c>
      <c r="C251" s="38" t="s">
        <v>10</v>
      </c>
    </row>
    <row r="252" spans="1:5" ht="18.75" x14ac:dyDescent="0.3">
      <c r="A252" s="180"/>
      <c r="B252" s="143" t="str">
        <f>'2.Páginas de la muestra'!C11</f>
        <v>Dashboard-Usuarios</v>
      </c>
      <c r="C252" s="38" t="s">
        <v>10</v>
      </c>
    </row>
    <row r="253" spans="1:5" ht="18.75" x14ac:dyDescent="0.3">
      <c r="A253" s="180"/>
      <c r="B253" s="143" t="str">
        <f>'2.Páginas de la muestra'!C12</f>
        <v>Dashboard-Servicios</v>
      </c>
      <c r="C253" s="38" t="s">
        <v>10</v>
      </c>
      <c r="D253" s="141"/>
    </row>
    <row r="254" spans="1:5" ht="18.75" x14ac:dyDescent="0.3">
      <c r="A254" s="180"/>
      <c r="B254" s="143" t="str">
        <f>'2.Páginas de la muestra'!C13</f>
        <v>Dashboard-Reservas</v>
      </c>
      <c r="C254" s="38" t="s">
        <v>10</v>
      </c>
      <c r="D254" s="141"/>
    </row>
    <row r="255" spans="1:5" ht="18.75" x14ac:dyDescent="0.3">
      <c r="A255" s="180"/>
      <c r="B255" s="143" t="str">
        <f>'2.Páginas de la muestra'!C14</f>
        <v>Dashboard-Reservas-clientes</v>
      </c>
      <c r="C255" s="38" t="s">
        <v>10</v>
      </c>
      <c r="D255" s="141"/>
    </row>
    <row r="256" spans="1:5" ht="18.75" x14ac:dyDescent="0.3">
      <c r="A256" s="180"/>
      <c r="B256" s="143" t="str">
        <f>'2.Páginas de la muestra'!C15</f>
        <v>ALIAS 8</v>
      </c>
      <c r="C256" s="38"/>
      <c r="D256" s="141"/>
    </row>
    <row r="257" spans="1:5" ht="18.75" x14ac:dyDescent="0.3">
      <c r="A257" s="180"/>
      <c r="B257" s="143" t="str">
        <f>'2.Páginas de la muestra'!C16</f>
        <v>ALIAS 9</v>
      </c>
      <c r="C257" s="38"/>
      <c r="D257" s="141"/>
    </row>
    <row r="258" spans="1:5" ht="18.75" x14ac:dyDescent="0.3">
      <c r="A258" s="180"/>
      <c r="B258" s="143" t="str">
        <f>'2.Páginas de la muestra'!C17</f>
        <v>ALIAS 10</v>
      </c>
      <c r="C258" s="38"/>
      <c r="D258" s="141"/>
    </row>
    <row r="259" spans="1:5" ht="18.75" x14ac:dyDescent="0.3">
      <c r="A259" s="180"/>
      <c r="B259" s="143" t="str">
        <f>'2.Páginas de la muestra'!C18</f>
        <v>ALIAS 11</v>
      </c>
      <c r="C259" s="38"/>
      <c r="D259" s="141"/>
    </row>
    <row r="260" spans="1:5" ht="18.75" x14ac:dyDescent="0.3">
      <c r="A260" s="180"/>
      <c r="B260" s="143" t="str">
        <f>'2.Páginas de la muestra'!C19</f>
        <v>ALIAS 12</v>
      </c>
      <c r="C260" s="38"/>
      <c r="D260" s="141"/>
    </row>
    <row r="261" spans="1:5" ht="18.75" x14ac:dyDescent="0.3">
      <c r="A261" s="180"/>
      <c r="B261" s="143" t="str">
        <f>'2.Páginas de la muestra'!C20</f>
        <v>ALIAS 13</v>
      </c>
      <c r="C261" s="38"/>
      <c r="D261" s="141"/>
    </row>
    <row r="262" spans="1:5" ht="18.75" x14ac:dyDescent="0.3">
      <c r="A262" s="180"/>
      <c r="B262" s="143" t="str">
        <f>'2.Páginas de la muestra'!C21</f>
        <v>ALIAS 14</v>
      </c>
      <c r="C262" s="38"/>
      <c r="D262" s="141"/>
    </row>
    <row r="263" spans="1:5" ht="18.75" x14ac:dyDescent="0.3">
      <c r="A263" s="181"/>
      <c r="B263" s="143" t="str">
        <f>'2.Páginas de la muestra'!C22</f>
        <v>ALIAS 15</v>
      </c>
      <c r="C263" s="38"/>
      <c r="D263" s="141"/>
    </row>
    <row r="264" spans="1:5" ht="18.75" x14ac:dyDescent="0.3">
      <c r="A264" s="152"/>
      <c r="C264" s="146" t="s">
        <v>11</v>
      </c>
      <c r="D264" s="39"/>
    </row>
    <row r="265" spans="1:5" ht="18.75" x14ac:dyDescent="0.3">
      <c r="A265" s="152"/>
      <c r="B265" s="157"/>
      <c r="C265" s="141"/>
      <c r="D265" s="141"/>
    </row>
    <row r="266" spans="1:5" ht="18.75" x14ac:dyDescent="0.3">
      <c r="A266" s="149" t="s">
        <v>275</v>
      </c>
      <c r="B266" s="150" t="s">
        <v>252</v>
      </c>
      <c r="C266" s="154">
        <f>COUNTIF(C249:C263,Hoja4!A5)</f>
        <v>0</v>
      </c>
      <c r="D266" s="141"/>
    </row>
    <row r="267" spans="1:5" ht="18.75" x14ac:dyDescent="0.3">
      <c r="A267" s="152"/>
      <c r="B267" s="150" t="s">
        <v>253</v>
      </c>
      <c r="C267" s="154">
        <f>COUNTIF(C249:C263,Hoja4!A6)</f>
        <v>0</v>
      </c>
      <c r="D267" s="141"/>
    </row>
    <row r="268" spans="1:5" ht="18.75" x14ac:dyDescent="0.3">
      <c r="A268" s="152"/>
      <c r="B268" s="150" t="s">
        <v>209</v>
      </c>
      <c r="C268" s="154">
        <f>COUNTIF(C249:C263,Hoja4!A7)</f>
        <v>7</v>
      </c>
      <c r="D268" s="141"/>
    </row>
    <row r="269" spans="1:5" ht="18.75" x14ac:dyDescent="0.3">
      <c r="A269" s="152"/>
      <c r="B269" s="157"/>
      <c r="C269" s="141"/>
      <c r="D269" s="141"/>
    </row>
    <row r="270" spans="1:5" ht="18.75" x14ac:dyDescent="0.3">
      <c r="A270" s="179" t="s">
        <v>101</v>
      </c>
      <c r="B270" s="179"/>
      <c r="C270" s="139" t="s">
        <v>191</v>
      </c>
      <c r="D270" s="141"/>
      <c r="E270" s="140" t="s">
        <v>229</v>
      </c>
    </row>
    <row r="271" spans="1:5" ht="18.75" x14ac:dyDescent="0.3">
      <c r="A271" s="180" t="s">
        <v>364</v>
      </c>
      <c r="B271" s="143" t="str">
        <f>'2.Páginas de la muestra'!C8</f>
        <v>Inicio</v>
      </c>
      <c r="C271" s="38" t="s">
        <v>10</v>
      </c>
      <c r="D271" s="141"/>
      <c r="E271" s="124" t="s">
        <v>65</v>
      </c>
    </row>
    <row r="272" spans="1:5" ht="18.75" x14ac:dyDescent="0.3">
      <c r="A272" s="180"/>
      <c r="B272" s="143" t="str">
        <f>'2.Páginas de la muestra'!C9</f>
        <v>login</v>
      </c>
      <c r="C272" s="38" t="s">
        <v>10</v>
      </c>
      <c r="E272" s="124" t="s">
        <v>230</v>
      </c>
    </row>
    <row r="273" spans="1:4" ht="18.75" x14ac:dyDescent="0.3">
      <c r="A273" s="180"/>
      <c r="B273" s="143" t="str">
        <f>'2.Páginas de la muestra'!C10</f>
        <v>Inicio-Dashboard</v>
      </c>
      <c r="C273" s="38" t="s">
        <v>10</v>
      </c>
    </row>
    <row r="274" spans="1:4" ht="18.75" x14ac:dyDescent="0.3">
      <c r="A274" s="180"/>
      <c r="B274" s="143" t="str">
        <f>'2.Páginas de la muestra'!C11</f>
        <v>Dashboard-Usuarios</v>
      </c>
      <c r="C274" s="38" t="s">
        <v>10</v>
      </c>
    </row>
    <row r="275" spans="1:4" ht="18.75" x14ac:dyDescent="0.3">
      <c r="A275" s="180"/>
      <c r="B275" s="143" t="str">
        <f>'2.Páginas de la muestra'!C12</f>
        <v>Dashboard-Servicios</v>
      </c>
      <c r="C275" s="38" t="s">
        <v>10</v>
      </c>
      <c r="D275" s="141"/>
    </row>
    <row r="276" spans="1:4" ht="18.75" x14ac:dyDescent="0.3">
      <c r="A276" s="180"/>
      <c r="B276" s="143" t="str">
        <f>'2.Páginas de la muestra'!C13</f>
        <v>Dashboard-Reservas</v>
      </c>
      <c r="C276" s="38" t="s">
        <v>10</v>
      </c>
      <c r="D276" s="141"/>
    </row>
    <row r="277" spans="1:4" ht="18.75" x14ac:dyDescent="0.3">
      <c r="A277" s="180"/>
      <c r="B277" s="143" t="str">
        <f>'2.Páginas de la muestra'!C14</f>
        <v>Dashboard-Reservas-clientes</v>
      </c>
      <c r="C277" s="38" t="s">
        <v>10</v>
      </c>
      <c r="D277" s="141"/>
    </row>
    <row r="278" spans="1:4" ht="18.75" x14ac:dyDescent="0.3">
      <c r="A278" s="180"/>
      <c r="B278" s="143" t="str">
        <f>'2.Páginas de la muestra'!C15</f>
        <v>ALIAS 8</v>
      </c>
      <c r="C278" s="38"/>
      <c r="D278" s="141"/>
    </row>
    <row r="279" spans="1:4" ht="18.75" x14ac:dyDescent="0.3">
      <c r="A279" s="180"/>
      <c r="B279" s="143" t="str">
        <f>'2.Páginas de la muestra'!C16</f>
        <v>ALIAS 9</v>
      </c>
      <c r="C279" s="38"/>
      <c r="D279" s="141"/>
    </row>
    <row r="280" spans="1:4" ht="18.75" x14ac:dyDescent="0.3">
      <c r="A280" s="180"/>
      <c r="B280" s="143" t="str">
        <f>'2.Páginas de la muestra'!C17</f>
        <v>ALIAS 10</v>
      </c>
      <c r="C280" s="38"/>
      <c r="D280" s="141"/>
    </row>
    <row r="281" spans="1:4" ht="18.75" x14ac:dyDescent="0.3">
      <c r="A281" s="180"/>
      <c r="B281" s="143" t="str">
        <f>'2.Páginas de la muestra'!C18</f>
        <v>ALIAS 11</v>
      </c>
      <c r="C281" s="38"/>
      <c r="D281" s="141"/>
    </row>
    <row r="282" spans="1:4" ht="18.75" x14ac:dyDescent="0.3">
      <c r="A282" s="180"/>
      <c r="B282" s="143" t="str">
        <f>'2.Páginas de la muestra'!C19</f>
        <v>ALIAS 12</v>
      </c>
      <c r="C282" s="38"/>
      <c r="D282" s="141"/>
    </row>
    <row r="283" spans="1:4" ht="18.75" x14ac:dyDescent="0.3">
      <c r="A283" s="180"/>
      <c r="B283" s="143" t="str">
        <f>'2.Páginas de la muestra'!C20</f>
        <v>ALIAS 13</v>
      </c>
      <c r="C283" s="38"/>
      <c r="D283" s="141"/>
    </row>
    <row r="284" spans="1:4" ht="18.75" x14ac:dyDescent="0.3">
      <c r="A284" s="180"/>
      <c r="B284" s="143" t="str">
        <f>'2.Páginas de la muestra'!C21</f>
        <v>ALIAS 14</v>
      </c>
      <c r="C284" s="38"/>
      <c r="D284" s="141"/>
    </row>
    <row r="285" spans="1:4" ht="18.75" x14ac:dyDescent="0.3">
      <c r="A285" s="181"/>
      <c r="B285" s="143" t="str">
        <f>'2.Páginas de la muestra'!C22</f>
        <v>ALIAS 15</v>
      </c>
      <c r="C285" s="38"/>
      <c r="D285" s="141"/>
    </row>
    <row r="286" spans="1:4" ht="18.75" x14ac:dyDescent="0.3">
      <c r="A286" s="152"/>
      <c r="C286" s="146" t="s">
        <v>11</v>
      </c>
      <c r="D286" s="39"/>
    </row>
    <row r="287" spans="1:4" ht="18.75" x14ac:dyDescent="0.3">
      <c r="A287" s="152"/>
      <c r="B287" s="157"/>
      <c r="C287" s="141"/>
      <c r="D287" s="141"/>
    </row>
    <row r="288" spans="1:4" ht="18.75" x14ac:dyDescent="0.3">
      <c r="A288" s="149" t="s">
        <v>276</v>
      </c>
      <c r="B288" s="150" t="s">
        <v>252</v>
      </c>
      <c r="C288" s="154">
        <f>COUNTIF(C271:C285,Hoja4!A5)</f>
        <v>0</v>
      </c>
      <c r="D288" s="141"/>
    </row>
    <row r="289" spans="1:5" ht="18.75" x14ac:dyDescent="0.3">
      <c r="A289" s="152"/>
      <c r="B289" s="150" t="s">
        <v>253</v>
      </c>
      <c r="C289" s="154">
        <f>COUNTIF(C271:C285,Hoja4!A6)</f>
        <v>0</v>
      </c>
      <c r="D289" s="141"/>
    </row>
    <row r="290" spans="1:5" ht="18.75" x14ac:dyDescent="0.3">
      <c r="A290" s="152"/>
      <c r="B290" s="150" t="s">
        <v>209</v>
      </c>
      <c r="C290" s="154">
        <f>COUNTIF(C271:C285,Hoja4!A7)</f>
        <v>7</v>
      </c>
      <c r="D290" s="141"/>
    </row>
    <row r="291" spans="1:5" ht="18.75" x14ac:dyDescent="0.3">
      <c r="A291" s="152"/>
      <c r="B291" s="157"/>
      <c r="C291" s="141"/>
      <c r="D291" s="141"/>
    </row>
    <row r="292" spans="1:5" ht="18.75" x14ac:dyDescent="0.3">
      <c r="A292" s="179" t="s">
        <v>365</v>
      </c>
      <c r="B292" s="179"/>
      <c r="C292" s="139" t="s">
        <v>191</v>
      </c>
      <c r="D292" s="141"/>
      <c r="E292" s="140" t="s">
        <v>231</v>
      </c>
    </row>
    <row r="293" spans="1:5" ht="18.75" x14ac:dyDescent="0.3">
      <c r="A293" s="180" t="s">
        <v>300</v>
      </c>
      <c r="B293" s="143" t="str">
        <f>'2.Páginas de la muestra'!C8</f>
        <v>Inicio</v>
      </c>
      <c r="C293" s="38" t="s">
        <v>10</v>
      </c>
      <c r="D293" s="141"/>
      <c r="E293" s="124" t="s">
        <v>66</v>
      </c>
    </row>
    <row r="294" spans="1:5" ht="18.75" x14ac:dyDescent="0.3">
      <c r="A294" s="180"/>
      <c r="B294" s="143" t="str">
        <f>'2.Páginas de la muestra'!C9</f>
        <v>login</v>
      </c>
      <c r="C294" s="38" t="s">
        <v>10</v>
      </c>
    </row>
    <row r="295" spans="1:5" ht="18.75" x14ac:dyDescent="0.3">
      <c r="A295" s="180"/>
      <c r="B295" s="143" t="str">
        <f>'2.Páginas de la muestra'!C10</f>
        <v>Inicio-Dashboard</v>
      </c>
      <c r="C295" s="38" t="s">
        <v>10</v>
      </c>
    </row>
    <row r="296" spans="1:5" ht="18.75" x14ac:dyDescent="0.3">
      <c r="A296" s="180"/>
      <c r="B296" s="143" t="str">
        <f>'2.Páginas de la muestra'!C11</f>
        <v>Dashboard-Usuarios</v>
      </c>
      <c r="C296" s="38" t="s">
        <v>10</v>
      </c>
    </row>
    <row r="297" spans="1:5" ht="18.75" x14ac:dyDescent="0.3">
      <c r="A297" s="180"/>
      <c r="B297" s="143" t="str">
        <f>'2.Páginas de la muestra'!C12</f>
        <v>Dashboard-Servicios</v>
      </c>
      <c r="C297" s="38" t="s">
        <v>10</v>
      </c>
      <c r="D297" s="141"/>
    </row>
    <row r="298" spans="1:5" ht="18.75" x14ac:dyDescent="0.3">
      <c r="A298" s="180"/>
      <c r="B298" s="143" t="str">
        <f>'2.Páginas de la muestra'!C13</f>
        <v>Dashboard-Reservas</v>
      </c>
      <c r="C298" s="38" t="s">
        <v>10</v>
      </c>
      <c r="D298" s="141"/>
    </row>
    <row r="299" spans="1:5" ht="18.75" x14ac:dyDescent="0.3">
      <c r="A299" s="180"/>
      <c r="B299" s="143" t="str">
        <f>'2.Páginas de la muestra'!C14</f>
        <v>Dashboard-Reservas-clientes</v>
      </c>
      <c r="C299" s="38" t="s">
        <v>10</v>
      </c>
      <c r="D299" s="141"/>
    </row>
    <row r="300" spans="1:5" ht="18.75" x14ac:dyDescent="0.3">
      <c r="A300" s="180"/>
      <c r="B300" s="143" t="str">
        <f>'2.Páginas de la muestra'!C15</f>
        <v>ALIAS 8</v>
      </c>
      <c r="C300" s="38"/>
      <c r="D300" s="141"/>
    </row>
    <row r="301" spans="1:5" ht="18.75" x14ac:dyDescent="0.3">
      <c r="A301" s="180"/>
      <c r="B301" s="143" t="str">
        <f>'2.Páginas de la muestra'!C16</f>
        <v>ALIAS 9</v>
      </c>
      <c r="C301" s="38"/>
      <c r="D301" s="141"/>
    </row>
    <row r="302" spans="1:5" ht="18.75" x14ac:dyDescent="0.3">
      <c r="A302" s="180"/>
      <c r="B302" s="143" t="str">
        <f>'2.Páginas de la muestra'!C17</f>
        <v>ALIAS 10</v>
      </c>
      <c r="C302" s="38"/>
      <c r="D302" s="141"/>
    </row>
    <row r="303" spans="1:5" ht="18.75" x14ac:dyDescent="0.3">
      <c r="A303" s="180"/>
      <c r="B303" s="143" t="str">
        <f>'2.Páginas de la muestra'!C18</f>
        <v>ALIAS 11</v>
      </c>
      <c r="C303" s="38"/>
      <c r="D303" s="141"/>
    </row>
    <row r="304" spans="1:5" ht="18.75" x14ac:dyDescent="0.3">
      <c r="A304" s="180"/>
      <c r="B304" s="143" t="str">
        <f>'2.Páginas de la muestra'!C19</f>
        <v>ALIAS 12</v>
      </c>
      <c r="C304" s="38"/>
      <c r="D304" s="141"/>
    </row>
    <row r="305" spans="1:5" ht="18.75" x14ac:dyDescent="0.3">
      <c r="A305" s="180"/>
      <c r="B305" s="143" t="str">
        <f>'2.Páginas de la muestra'!C20</f>
        <v>ALIAS 13</v>
      </c>
      <c r="C305" s="38"/>
      <c r="D305" s="141"/>
    </row>
    <row r="306" spans="1:5" ht="18.75" x14ac:dyDescent="0.3">
      <c r="A306" s="180"/>
      <c r="B306" s="143" t="str">
        <f>'2.Páginas de la muestra'!C21</f>
        <v>ALIAS 14</v>
      </c>
      <c r="C306" s="38"/>
      <c r="D306" s="141"/>
    </row>
    <row r="307" spans="1:5" ht="18.75" x14ac:dyDescent="0.3">
      <c r="A307" s="181"/>
      <c r="B307" s="143" t="str">
        <f>'2.Páginas de la muestra'!C22</f>
        <v>ALIAS 15</v>
      </c>
      <c r="C307" s="38"/>
      <c r="D307" s="141"/>
    </row>
    <row r="308" spans="1:5" ht="18.75" x14ac:dyDescent="0.3">
      <c r="A308" s="152"/>
      <c r="C308" s="146" t="s">
        <v>11</v>
      </c>
      <c r="D308" s="39"/>
    </row>
    <row r="309" spans="1:5" ht="18.75" x14ac:dyDescent="0.3">
      <c r="A309" s="152"/>
      <c r="B309" s="157"/>
      <c r="C309" s="141"/>
      <c r="D309" s="141"/>
    </row>
    <row r="310" spans="1:5" ht="18.75" x14ac:dyDescent="0.3">
      <c r="A310" s="149" t="s">
        <v>277</v>
      </c>
      <c r="B310" s="150" t="s">
        <v>252</v>
      </c>
      <c r="C310" s="154">
        <f>COUNTIF(C293:C307,Hoja4!A5)</f>
        <v>0</v>
      </c>
      <c r="D310" s="141"/>
    </row>
    <row r="311" spans="1:5" ht="18.75" x14ac:dyDescent="0.3">
      <c r="A311" s="152"/>
      <c r="B311" s="150" t="s">
        <v>253</v>
      </c>
      <c r="C311" s="154">
        <f>COUNTIF(C293:C307,Hoja4!A6)</f>
        <v>0</v>
      </c>
      <c r="D311" s="141"/>
    </row>
    <row r="312" spans="1:5" ht="18.75" x14ac:dyDescent="0.3">
      <c r="A312" s="152"/>
      <c r="B312" s="150" t="s">
        <v>209</v>
      </c>
      <c r="C312" s="154">
        <f>COUNTIF(C293:C307,Hoja4!A7)</f>
        <v>7</v>
      </c>
      <c r="D312" s="141"/>
    </row>
    <row r="313" spans="1:5" ht="18.75" x14ac:dyDescent="0.3">
      <c r="A313" s="152"/>
      <c r="B313" s="157"/>
      <c r="C313" s="141"/>
      <c r="D313" s="141"/>
    </row>
    <row r="314" spans="1:5" ht="18.75" x14ac:dyDescent="0.3">
      <c r="A314" s="179" t="s">
        <v>270</v>
      </c>
      <c r="B314" s="179"/>
      <c r="C314" s="139" t="s">
        <v>191</v>
      </c>
      <c r="D314" s="141"/>
      <c r="E314" s="140" t="s">
        <v>232</v>
      </c>
    </row>
    <row r="315" spans="1:5" ht="18.75" x14ac:dyDescent="0.3">
      <c r="A315" s="180" t="s">
        <v>299</v>
      </c>
      <c r="B315" s="143" t="str">
        <f>'2.Páginas de la muestra'!C8</f>
        <v>Inicio</v>
      </c>
      <c r="C315" s="38" t="s">
        <v>10</v>
      </c>
      <c r="D315" s="141"/>
      <c r="E315" s="124" t="s">
        <v>67</v>
      </c>
    </row>
    <row r="316" spans="1:5" ht="18.75" x14ac:dyDescent="0.3">
      <c r="A316" s="180"/>
      <c r="B316" s="143" t="str">
        <f>'2.Páginas de la muestra'!C9</f>
        <v>login</v>
      </c>
      <c r="C316" s="38" t="s">
        <v>10</v>
      </c>
      <c r="E316" s="124" t="s">
        <v>68</v>
      </c>
    </row>
    <row r="317" spans="1:5" ht="18.75" x14ac:dyDescent="0.3">
      <c r="A317" s="180"/>
      <c r="B317" s="143" t="str">
        <f>'2.Páginas de la muestra'!C10</f>
        <v>Inicio-Dashboard</v>
      </c>
      <c r="C317" s="38" t="s">
        <v>10</v>
      </c>
      <c r="E317" s="124" t="s">
        <v>233</v>
      </c>
    </row>
    <row r="318" spans="1:5" ht="18.75" x14ac:dyDescent="0.3">
      <c r="A318" s="180"/>
      <c r="B318" s="143" t="str">
        <f>'2.Páginas de la muestra'!C11</f>
        <v>Dashboard-Usuarios</v>
      </c>
      <c r="C318" s="38" t="s">
        <v>10</v>
      </c>
    </row>
    <row r="319" spans="1:5" ht="18.75" x14ac:dyDescent="0.3">
      <c r="A319" s="180"/>
      <c r="B319" s="143" t="str">
        <f>'2.Páginas de la muestra'!C12</f>
        <v>Dashboard-Servicios</v>
      </c>
      <c r="C319" s="38" t="s">
        <v>10</v>
      </c>
      <c r="D319" s="141"/>
    </row>
    <row r="320" spans="1:5" ht="18.75" x14ac:dyDescent="0.3">
      <c r="A320" s="180"/>
      <c r="B320" s="143" t="str">
        <f>'2.Páginas de la muestra'!C13</f>
        <v>Dashboard-Reservas</v>
      </c>
      <c r="C320" s="38" t="s">
        <v>10</v>
      </c>
      <c r="D320" s="141"/>
    </row>
    <row r="321" spans="1:5" ht="18.75" x14ac:dyDescent="0.3">
      <c r="A321" s="180"/>
      <c r="B321" s="143" t="str">
        <f>'2.Páginas de la muestra'!C14</f>
        <v>Dashboard-Reservas-clientes</v>
      </c>
      <c r="C321" s="38" t="s">
        <v>10</v>
      </c>
      <c r="D321" s="141"/>
    </row>
    <row r="322" spans="1:5" ht="18.75" x14ac:dyDescent="0.3">
      <c r="A322" s="180"/>
      <c r="B322" s="143" t="str">
        <f>'2.Páginas de la muestra'!C15</f>
        <v>ALIAS 8</v>
      </c>
      <c r="C322" s="38"/>
      <c r="D322" s="141"/>
    </row>
    <row r="323" spans="1:5" ht="18.75" x14ac:dyDescent="0.3">
      <c r="A323" s="180"/>
      <c r="B323" s="143" t="str">
        <f>'2.Páginas de la muestra'!C16</f>
        <v>ALIAS 9</v>
      </c>
      <c r="C323" s="38"/>
      <c r="D323" s="141"/>
    </row>
    <row r="324" spans="1:5" ht="18.75" x14ac:dyDescent="0.3">
      <c r="A324" s="180"/>
      <c r="B324" s="143" t="str">
        <f>'2.Páginas de la muestra'!C17</f>
        <v>ALIAS 10</v>
      </c>
      <c r="C324" s="38"/>
      <c r="D324" s="141"/>
    </row>
    <row r="325" spans="1:5" ht="18.75" x14ac:dyDescent="0.3">
      <c r="A325" s="180"/>
      <c r="B325" s="143" t="str">
        <f>'2.Páginas de la muestra'!C18</f>
        <v>ALIAS 11</v>
      </c>
      <c r="C325" s="38"/>
      <c r="D325" s="141"/>
    </row>
    <row r="326" spans="1:5" ht="18.75" x14ac:dyDescent="0.3">
      <c r="A326" s="180"/>
      <c r="B326" s="143" t="str">
        <f>'2.Páginas de la muestra'!C19</f>
        <v>ALIAS 12</v>
      </c>
      <c r="C326" s="38"/>
      <c r="D326" s="141"/>
    </row>
    <row r="327" spans="1:5" ht="18.75" x14ac:dyDescent="0.3">
      <c r="A327" s="180"/>
      <c r="B327" s="143" t="str">
        <f>'2.Páginas de la muestra'!C20</f>
        <v>ALIAS 13</v>
      </c>
      <c r="C327" s="38"/>
      <c r="D327" s="141"/>
    </row>
    <row r="328" spans="1:5" ht="18.75" x14ac:dyDescent="0.3">
      <c r="A328" s="180"/>
      <c r="B328" s="143" t="str">
        <f>'2.Páginas de la muestra'!C21</f>
        <v>ALIAS 14</v>
      </c>
      <c r="C328" s="38"/>
      <c r="D328" s="141"/>
    </row>
    <row r="329" spans="1:5" ht="18.75" x14ac:dyDescent="0.3">
      <c r="A329" s="181"/>
      <c r="B329" s="143" t="str">
        <f>'2.Páginas de la muestra'!C22</f>
        <v>ALIAS 15</v>
      </c>
      <c r="C329" s="38"/>
      <c r="D329" s="141"/>
    </row>
    <row r="330" spans="1:5" ht="18.75" x14ac:dyDescent="0.3">
      <c r="A330" s="152"/>
      <c r="C330" s="146" t="s">
        <v>11</v>
      </c>
      <c r="D330" s="39"/>
    </row>
    <row r="331" spans="1:5" ht="18.75" x14ac:dyDescent="0.3">
      <c r="A331" s="152"/>
      <c r="B331" s="157"/>
      <c r="C331" s="141"/>
      <c r="D331" s="141"/>
    </row>
    <row r="332" spans="1:5" ht="18.75" x14ac:dyDescent="0.3">
      <c r="A332" s="149" t="s">
        <v>278</v>
      </c>
      <c r="B332" s="150" t="s">
        <v>252</v>
      </c>
      <c r="C332" s="154">
        <f>COUNTIF(C315:C329,Hoja4!A5)</f>
        <v>0</v>
      </c>
      <c r="D332" s="141"/>
    </row>
    <row r="333" spans="1:5" ht="18.75" x14ac:dyDescent="0.3">
      <c r="A333" s="152"/>
      <c r="B333" s="150" t="s">
        <v>253</v>
      </c>
      <c r="C333" s="154">
        <f>COUNTIF(C315:C329,Hoja4!A6)</f>
        <v>0</v>
      </c>
      <c r="D333" s="141"/>
    </row>
    <row r="334" spans="1:5" ht="18.75" x14ac:dyDescent="0.3">
      <c r="A334" s="152"/>
      <c r="B334" s="150" t="s">
        <v>209</v>
      </c>
      <c r="C334" s="154">
        <f>COUNTIF(C315:C329,Hoja4!A7)</f>
        <v>7</v>
      </c>
      <c r="D334" s="141"/>
    </row>
    <row r="335" spans="1:5" ht="18.75" x14ac:dyDescent="0.3">
      <c r="A335" s="152"/>
      <c r="B335" s="157"/>
      <c r="C335" s="141"/>
      <c r="D335" s="141"/>
    </row>
    <row r="336" spans="1:5" ht="18.75" customHeight="1" x14ac:dyDescent="0.3">
      <c r="A336" s="179" t="s">
        <v>269</v>
      </c>
      <c r="B336" s="179"/>
      <c r="C336" s="139" t="s">
        <v>191</v>
      </c>
      <c r="D336" s="141"/>
      <c r="E336" s="140" t="s">
        <v>234</v>
      </c>
    </row>
    <row r="337" spans="1:5" ht="18.75" x14ac:dyDescent="0.3">
      <c r="A337" s="180" t="s">
        <v>298</v>
      </c>
      <c r="B337" s="143" t="str">
        <f>'2.Páginas de la muestra'!C8</f>
        <v>Inicio</v>
      </c>
      <c r="C337" s="38" t="s">
        <v>8</v>
      </c>
      <c r="D337" s="141"/>
      <c r="E337" s="124" t="s">
        <v>69</v>
      </c>
    </row>
    <row r="338" spans="1:5" ht="18.75" x14ac:dyDescent="0.3">
      <c r="A338" s="180"/>
      <c r="B338" s="143" t="str">
        <f>'2.Páginas de la muestra'!C9</f>
        <v>login</v>
      </c>
      <c r="C338" s="38" t="s">
        <v>8</v>
      </c>
    </row>
    <row r="339" spans="1:5" ht="18.75" x14ac:dyDescent="0.3">
      <c r="A339" s="180"/>
      <c r="B339" s="143" t="str">
        <f>'2.Páginas de la muestra'!C10</f>
        <v>Inicio-Dashboard</v>
      </c>
      <c r="C339" s="38" t="s">
        <v>8</v>
      </c>
    </row>
    <row r="340" spans="1:5" ht="18.75" x14ac:dyDescent="0.3">
      <c r="A340" s="180"/>
      <c r="B340" s="143" t="str">
        <f>'2.Páginas de la muestra'!C11</f>
        <v>Dashboard-Usuarios</v>
      </c>
      <c r="C340" s="38" t="s">
        <v>8</v>
      </c>
    </row>
    <row r="341" spans="1:5" ht="18.75" x14ac:dyDescent="0.3">
      <c r="A341" s="180"/>
      <c r="B341" s="143" t="str">
        <f>'2.Páginas de la muestra'!C12</f>
        <v>Dashboard-Servicios</v>
      </c>
      <c r="C341" s="38" t="s">
        <v>8</v>
      </c>
      <c r="D341" s="141"/>
    </row>
    <row r="342" spans="1:5" ht="18.75" x14ac:dyDescent="0.3">
      <c r="A342" s="180"/>
      <c r="B342" s="143" t="str">
        <f>'2.Páginas de la muestra'!C13</f>
        <v>Dashboard-Reservas</v>
      </c>
      <c r="C342" s="38" t="s">
        <v>8</v>
      </c>
      <c r="D342" s="141"/>
    </row>
    <row r="343" spans="1:5" ht="18.75" x14ac:dyDescent="0.3">
      <c r="A343" s="180"/>
      <c r="B343" s="143" t="str">
        <f>'2.Páginas de la muestra'!C14</f>
        <v>Dashboard-Reservas-clientes</v>
      </c>
      <c r="C343" s="38" t="s">
        <v>8</v>
      </c>
      <c r="D343" s="141"/>
    </row>
    <row r="344" spans="1:5" ht="18.75" x14ac:dyDescent="0.3">
      <c r="A344" s="180"/>
      <c r="B344" s="143" t="str">
        <f>'2.Páginas de la muestra'!C15</f>
        <v>ALIAS 8</v>
      </c>
      <c r="C344" s="38"/>
      <c r="D344" s="141"/>
    </row>
    <row r="345" spans="1:5" ht="18.75" x14ac:dyDescent="0.3">
      <c r="A345" s="180"/>
      <c r="B345" s="143" t="str">
        <f>'2.Páginas de la muestra'!C16</f>
        <v>ALIAS 9</v>
      </c>
      <c r="C345" s="38"/>
      <c r="D345" s="141"/>
    </row>
    <row r="346" spans="1:5" ht="18.75" x14ac:dyDescent="0.3">
      <c r="A346" s="180"/>
      <c r="B346" s="143" t="str">
        <f>'2.Páginas de la muestra'!C17</f>
        <v>ALIAS 10</v>
      </c>
      <c r="C346" s="38"/>
      <c r="D346" s="141"/>
    </row>
    <row r="347" spans="1:5" ht="18.75" x14ac:dyDescent="0.3">
      <c r="A347" s="180"/>
      <c r="B347" s="143" t="str">
        <f>'2.Páginas de la muestra'!C18</f>
        <v>ALIAS 11</v>
      </c>
      <c r="C347" s="38"/>
      <c r="D347" s="141"/>
    </row>
    <row r="348" spans="1:5" ht="18.75" x14ac:dyDescent="0.3">
      <c r="A348" s="180"/>
      <c r="B348" s="143" t="str">
        <f>'2.Páginas de la muestra'!C19</f>
        <v>ALIAS 12</v>
      </c>
      <c r="C348" s="38"/>
      <c r="D348" s="141"/>
    </row>
    <row r="349" spans="1:5" ht="18.75" x14ac:dyDescent="0.3">
      <c r="A349" s="180"/>
      <c r="B349" s="143" t="str">
        <f>'2.Páginas de la muestra'!C20</f>
        <v>ALIAS 13</v>
      </c>
      <c r="C349" s="38"/>
      <c r="D349" s="141"/>
    </row>
    <row r="350" spans="1:5" ht="18.75" x14ac:dyDescent="0.3">
      <c r="A350" s="180"/>
      <c r="B350" s="143" t="str">
        <f>'2.Páginas de la muestra'!C21</f>
        <v>ALIAS 14</v>
      </c>
      <c r="C350" s="38"/>
      <c r="D350" s="141"/>
    </row>
    <row r="351" spans="1:5" ht="18.75" x14ac:dyDescent="0.3">
      <c r="A351" s="181"/>
      <c r="B351" s="143" t="str">
        <f>'2.Páginas de la muestra'!C22</f>
        <v>ALIAS 15</v>
      </c>
      <c r="C351" s="38"/>
      <c r="D351" s="141"/>
    </row>
    <row r="352" spans="1:5" ht="18.75" x14ac:dyDescent="0.3">
      <c r="A352" s="152"/>
      <c r="C352" s="146" t="s">
        <v>11</v>
      </c>
      <c r="D352" s="39"/>
    </row>
    <row r="353" spans="1:5" ht="18.75" x14ac:dyDescent="0.3">
      <c r="A353" s="152"/>
      <c r="B353" s="157"/>
      <c r="C353" s="141"/>
      <c r="D353" s="141"/>
    </row>
    <row r="354" spans="1:5" ht="18.75" x14ac:dyDescent="0.3">
      <c r="A354" s="149" t="s">
        <v>279</v>
      </c>
      <c r="B354" s="150" t="s">
        <v>252</v>
      </c>
      <c r="C354" s="154">
        <f>COUNTIF(C337:C351,Hoja4!A5)</f>
        <v>7</v>
      </c>
      <c r="D354" s="141"/>
    </row>
    <row r="355" spans="1:5" ht="18.75" x14ac:dyDescent="0.3">
      <c r="A355" s="152"/>
      <c r="B355" s="150" t="s">
        <v>253</v>
      </c>
      <c r="C355" s="154">
        <f>COUNTIF(C337:C351,Hoja4!A6)</f>
        <v>0</v>
      </c>
      <c r="D355" s="141"/>
    </row>
    <row r="356" spans="1:5" ht="18.75" x14ac:dyDescent="0.3">
      <c r="A356" s="152"/>
      <c r="B356" s="150" t="s">
        <v>209</v>
      </c>
      <c r="C356" s="154">
        <f>COUNTIF(C337:C351,Hoja4!A7)</f>
        <v>0</v>
      </c>
      <c r="D356" s="141"/>
    </row>
    <row r="357" spans="1:5" ht="18.75" x14ac:dyDescent="0.3">
      <c r="A357" s="152"/>
      <c r="B357" s="157"/>
      <c r="C357" s="141"/>
      <c r="D357" s="141"/>
    </row>
    <row r="358" spans="1:5" ht="18.75" x14ac:dyDescent="0.3">
      <c r="A358" s="179" t="s">
        <v>268</v>
      </c>
      <c r="B358" s="179"/>
      <c r="C358" s="139" t="s">
        <v>191</v>
      </c>
      <c r="D358" s="141"/>
      <c r="E358" s="140" t="s">
        <v>235</v>
      </c>
    </row>
    <row r="359" spans="1:5" ht="18.75" x14ac:dyDescent="0.3">
      <c r="A359" s="180" t="s">
        <v>297</v>
      </c>
      <c r="B359" s="143" t="str">
        <f>'2.Páginas de la muestra'!C8</f>
        <v>Inicio</v>
      </c>
      <c r="C359" s="38" t="s">
        <v>8</v>
      </c>
      <c r="D359" s="141"/>
      <c r="E359" s="124" t="s">
        <v>70</v>
      </c>
    </row>
    <row r="360" spans="1:5" ht="18.75" x14ac:dyDescent="0.3">
      <c r="A360" s="180"/>
      <c r="B360" s="143" t="str">
        <f>'2.Páginas de la muestra'!C9</f>
        <v>login</v>
      </c>
      <c r="C360" s="38" t="s">
        <v>8</v>
      </c>
    </row>
    <row r="361" spans="1:5" ht="18.75" x14ac:dyDescent="0.3">
      <c r="A361" s="180"/>
      <c r="B361" s="143" t="str">
        <f>'2.Páginas de la muestra'!C10</f>
        <v>Inicio-Dashboard</v>
      </c>
      <c r="C361" s="38" t="s">
        <v>8</v>
      </c>
    </row>
    <row r="362" spans="1:5" ht="18.75" x14ac:dyDescent="0.3">
      <c r="A362" s="180"/>
      <c r="B362" s="143" t="str">
        <f>'2.Páginas de la muestra'!C11</f>
        <v>Dashboard-Usuarios</v>
      </c>
      <c r="C362" s="38" t="s">
        <v>8</v>
      </c>
    </row>
    <row r="363" spans="1:5" ht="18.75" x14ac:dyDescent="0.3">
      <c r="A363" s="180"/>
      <c r="B363" s="143" t="str">
        <f>'2.Páginas de la muestra'!C12</f>
        <v>Dashboard-Servicios</v>
      </c>
      <c r="C363" s="38" t="s">
        <v>8</v>
      </c>
      <c r="D363" s="141"/>
    </row>
    <row r="364" spans="1:5" ht="18.75" x14ac:dyDescent="0.3">
      <c r="A364" s="180"/>
      <c r="B364" s="143" t="str">
        <f>'2.Páginas de la muestra'!C13</f>
        <v>Dashboard-Reservas</v>
      </c>
      <c r="C364" s="38" t="s">
        <v>8</v>
      </c>
      <c r="D364" s="141"/>
    </row>
    <row r="365" spans="1:5" ht="18.75" x14ac:dyDescent="0.3">
      <c r="A365" s="180"/>
      <c r="B365" s="143" t="str">
        <f>'2.Páginas de la muestra'!C14</f>
        <v>Dashboard-Reservas-clientes</v>
      </c>
      <c r="C365" s="38" t="s">
        <v>8</v>
      </c>
      <c r="D365" s="141"/>
    </row>
    <row r="366" spans="1:5" ht="18.75" x14ac:dyDescent="0.3">
      <c r="A366" s="180"/>
      <c r="B366" s="143" t="str">
        <f>'2.Páginas de la muestra'!C15</f>
        <v>ALIAS 8</v>
      </c>
      <c r="C366" s="38"/>
      <c r="D366" s="141"/>
    </row>
    <row r="367" spans="1:5" ht="18.75" x14ac:dyDescent="0.3">
      <c r="A367" s="180"/>
      <c r="B367" s="143" t="str">
        <f>'2.Páginas de la muestra'!C16</f>
        <v>ALIAS 9</v>
      </c>
      <c r="C367" s="38"/>
      <c r="D367" s="141"/>
    </row>
    <row r="368" spans="1:5" ht="18.75" x14ac:dyDescent="0.3">
      <c r="A368" s="180"/>
      <c r="B368" s="143" t="str">
        <f>'2.Páginas de la muestra'!C17</f>
        <v>ALIAS 10</v>
      </c>
      <c r="C368" s="38"/>
      <c r="D368" s="141"/>
    </row>
    <row r="369" spans="1:5" ht="18.75" x14ac:dyDescent="0.3">
      <c r="A369" s="180"/>
      <c r="B369" s="143" t="str">
        <f>'2.Páginas de la muestra'!C18</f>
        <v>ALIAS 11</v>
      </c>
      <c r="C369" s="38"/>
      <c r="D369" s="141"/>
    </row>
    <row r="370" spans="1:5" ht="18.75" x14ac:dyDescent="0.3">
      <c r="A370" s="180"/>
      <c r="B370" s="143" t="str">
        <f>'2.Páginas de la muestra'!C19</f>
        <v>ALIAS 12</v>
      </c>
      <c r="C370" s="38"/>
      <c r="D370" s="141"/>
    </row>
    <row r="371" spans="1:5" ht="18.75" x14ac:dyDescent="0.3">
      <c r="A371" s="180"/>
      <c r="B371" s="143" t="str">
        <f>'2.Páginas de la muestra'!C20</f>
        <v>ALIAS 13</v>
      </c>
      <c r="C371" s="38"/>
      <c r="D371" s="141"/>
    </row>
    <row r="372" spans="1:5" ht="18.75" x14ac:dyDescent="0.3">
      <c r="A372" s="180"/>
      <c r="B372" s="143" t="str">
        <f>'2.Páginas de la muestra'!C21</f>
        <v>ALIAS 14</v>
      </c>
      <c r="C372" s="38"/>
      <c r="D372" s="141"/>
    </row>
    <row r="373" spans="1:5" ht="18.75" x14ac:dyDescent="0.3">
      <c r="A373" s="181"/>
      <c r="B373" s="143" t="str">
        <f>'2.Páginas de la muestra'!C22</f>
        <v>ALIAS 15</v>
      </c>
      <c r="C373" s="38"/>
      <c r="D373" s="141"/>
    </row>
    <row r="374" spans="1:5" ht="18.75" x14ac:dyDescent="0.3">
      <c r="A374" s="152"/>
      <c r="C374" s="146" t="s">
        <v>11</v>
      </c>
      <c r="D374" s="39"/>
    </row>
    <row r="375" spans="1:5" ht="18.75" x14ac:dyDescent="0.3">
      <c r="A375" s="152"/>
      <c r="B375" s="157"/>
      <c r="C375" s="141"/>
      <c r="D375" s="141"/>
    </row>
    <row r="376" spans="1:5" ht="18.75" x14ac:dyDescent="0.3">
      <c r="A376" s="149" t="s">
        <v>280</v>
      </c>
      <c r="B376" s="150" t="s">
        <v>252</v>
      </c>
      <c r="C376" s="154">
        <f>COUNTIF(C359:C373,Hoja4!A5)</f>
        <v>7</v>
      </c>
      <c r="D376" s="141"/>
    </row>
    <row r="377" spans="1:5" ht="18.75" x14ac:dyDescent="0.3">
      <c r="A377" s="152"/>
      <c r="B377" s="150" t="s">
        <v>253</v>
      </c>
      <c r="C377" s="154">
        <f>COUNTIF(C359:C373,Hoja4!A6)</f>
        <v>0</v>
      </c>
      <c r="D377" s="141"/>
    </row>
    <row r="378" spans="1:5" ht="18.75" x14ac:dyDescent="0.3">
      <c r="A378" s="152"/>
      <c r="B378" s="150" t="s">
        <v>209</v>
      </c>
      <c r="C378" s="154">
        <f>COUNTIF(C359:C373,Hoja4!A7)</f>
        <v>0</v>
      </c>
      <c r="D378" s="141"/>
    </row>
    <row r="379" spans="1:5" ht="18.75" x14ac:dyDescent="0.3">
      <c r="A379" s="152"/>
      <c r="B379" s="157"/>
      <c r="C379" s="141"/>
      <c r="D379" s="141"/>
    </row>
    <row r="380" spans="1:5" ht="18.75" x14ac:dyDescent="0.3">
      <c r="A380" s="179" t="s">
        <v>267</v>
      </c>
      <c r="B380" s="179"/>
      <c r="C380" s="139" t="s">
        <v>191</v>
      </c>
      <c r="D380" s="141"/>
      <c r="E380" s="140" t="s">
        <v>236</v>
      </c>
    </row>
    <row r="381" spans="1:5" ht="18.75" x14ac:dyDescent="0.3">
      <c r="A381" s="180" t="s">
        <v>296</v>
      </c>
      <c r="B381" s="143" t="str">
        <f>'2.Páginas de la muestra'!C8</f>
        <v>Inicio</v>
      </c>
      <c r="C381" s="38" t="s">
        <v>8</v>
      </c>
      <c r="D381" s="141"/>
      <c r="E381" s="124" t="s">
        <v>71</v>
      </c>
    </row>
    <row r="382" spans="1:5" ht="18.75" x14ac:dyDescent="0.3">
      <c r="A382" s="180"/>
      <c r="B382" s="143" t="str">
        <f>'2.Páginas de la muestra'!C9</f>
        <v>login</v>
      </c>
      <c r="C382" s="38" t="s">
        <v>8</v>
      </c>
      <c r="E382" s="124" t="s">
        <v>72</v>
      </c>
    </row>
    <row r="383" spans="1:5" ht="18.75" x14ac:dyDescent="0.3">
      <c r="A383" s="180"/>
      <c r="B383" s="143" t="str">
        <f>'2.Páginas de la muestra'!C10</f>
        <v>Inicio-Dashboard</v>
      </c>
      <c r="C383" s="38" t="s">
        <v>8</v>
      </c>
    </row>
    <row r="384" spans="1:5" ht="18.75" x14ac:dyDescent="0.3">
      <c r="A384" s="180"/>
      <c r="B384" s="143" t="str">
        <f>'2.Páginas de la muestra'!C11</f>
        <v>Dashboard-Usuarios</v>
      </c>
      <c r="C384" s="38" t="s">
        <v>8</v>
      </c>
    </row>
    <row r="385" spans="1:4" ht="18.75" x14ac:dyDescent="0.3">
      <c r="A385" s="180"/>
      <c r="B385" s="143" t="str">
        <f>'2.Páginas de la muestra'!C12</f>
        <v>Dashboard-Servicios</v>
      </c>
      <c r="C385" s="38" t="s">
        <v>8</v>
      </c>
      <c r="D385" s="141"/>
    </row>
    <row r="386" spans="1:4" ht="18.75" x14ac:dyDescent="0.3">
      <c r="A386" s="180"/>
      <c r="B386" s="143" t="str">
        <f>'2.Páginas de la muestra'!C13</f>
        <v>Dashboard-Reservas</v>
      </c>
      <c r="C386" s="38" t="s">
        <v>8</v>
      </c>
      <c r="D386" s="141"/>
    </row>
    <row r="387" spans="1:4" ht="18.75" x14ac:dyDescent="0.3">
      <c r="A387" s="180"/>
      <c r="B387" s="143" t="str">
        <f>'2.Páginas de la muestra'!C14</f>
        <v>Dashboard-Reservas-clientes</v>
      </c>
      <c r="C387" s="38" t="s">
        <v>8</v>
      </c>
      <c r="D387" s="141"/>
    </row>
    <row r="388" spans="1:4" ht="18.75" x14ac:dyDescent="0.3">
      <c r="A388" s="180"/>
      <c r="B388" s="143" t="str">
        <f>'2.Páginas de la muestra'!C15</f>
        <v>ALIAS 8</v>
      </c>
      <c r="C388" s="38"/>
      <c r="D388" s="141"/>
    </row>
    <row r="389" spans="1:4" ht="18.75" x14ac:dyDescent="0.3">
      <c r="A389" s="180"/>
      <c r="B389" s="143" t="str">
        <f>'2.Páginas de la muestra'!C16</f>
        <v>ALIAS 9</v>
      </c>
      <c r="C389" s="38"/>
      <c r="D389" s="141"/>
    </row>
    <row r="390" spans="1:4" ht="18.75" x14ac:dyDescent="0.3">
      <c r="A390" s="180"/>
      <c r="B390" s="143" t="str">
        <f>'2.Páginas de la muestra'!C17</f>
        <v>ALIAS 10</v>
      </c>
      <c r="C390" s="38"/>
      <c r="D390" s="141"/>
    </row>
    <row r="391" spans="1:4" ht="18.75" x14ac:dyDescent="0.3">
      <c r="A391" s="180"/>
      <c r="B391" s="143" t="str">
        <f>'2.Páginas de la muestra'!C18</f>
        <v>ALIAS 11</v>
      </c>
      <c r="C391" s="38"/>
      <c r="D391" s="141"/>
    </row>
    <row r="392" spans="1:4" ht="18.75" x14ac:dyDescent="0.3">
      <c r="A392" s="180"/>
      <c r="B392" s="143" t="str">
        <f>'2.Páginas de la muestra'!C19</f>
        <v>ALIAS 12</v>
      </c>
      <c r="C392" s="38"/>
      <c r="D392" s="141"/>
    </row>
    <row r="393" spans="1:4" ht="18.75" x14ac:dyDescent="0.3">
      <c r="A393" s="180"/>
      <c r="B393" s="143" t="str">
        <f>'2.Páginas de la muestra'!C20</f>
        <v>ALIAS 13</v>
      </c>
      <c r="C393" s="38"/>
      <c r="D393" s="141"/>
    </row>
    <row r="394" spans="1:4" ht="18.75" x14ac:dyDescent="0.3">
      <c r="A394" s="180"/>
      <c r="B394" s="143" t="str">
        <f>'2.Páginas de la muestra'!C21</f>
        <v>ALIAS 14</v>
      </c>
      <c r="C394" s="38"/>
      <c r="D394" s="141"/>
    </row>
    <row r="395" spans="1:4" ht="18.75" x14ac:dyDescent="0.3">
      <c r="A395" s="181"/>
      <c r="B395" s="143" t="str">
        <f>'2.Páginas de la muestra'!C22</f>
        <v>ALIAS 15</v>
      </c>
      <c r="C395" s="38"/>
      <c r="D395" s="141"/>
    </row>
    <row r="396" spans="1:4" ht="18.75" x14ac:dyDescent="0.3">
      <c r="A396" s="152"/>
      <c r="C396" s="146" t="s">
        <v>11</v>
      </c>
      <c r="D396" s="39"/>
    </row>
    <row r="397" spans="1:4" ht="18.75" x14ac:dyDescent="0.3">
      <c r="A397" s="152"/>
      <c r="B397" s="141"/>
      <c r="C397" s="141"/>
      <c r="D397" s="141"/>
    </row>
    <row r="398" spans="1:4" ht="18.75" x14ac:dyDescent="0.3">
      <c r="A398" s="149" t="s">
        <v>281</v>
      </c>
      <c r="B398" s="150" t="s">
        <v>252</v>
      </c>
      <c r="C398" s="154">
        <f>COUNTIF(C381:C395,Hoja4!A5)</f>
        <v>7</v>
      </c>
      <c r="D398" s="141"/>
    </row>
    <row r="399" spans="1:4" ht="18.75" x14ac:dyDescent="0.3">
      <c r="A399" s="152"/>
      <c r="B399" s="150" t="s">
        <v>253</v>
      </c>
      <c r="C399" s="154">
        <f>COUNTIF(C381:C395,Hoja4!A6)</f>
        <v>0</v>
      </c>
      <c r="D399" s="141"/>
    </row>
    <row r="400" spans="1:4" ht="18.75" x14ac:dyDescent="0.3">
      <c r="A400" s="152"/>
      <c r="B400" s="150" t="s">
        <v>209</v>
      </c>
      <c r="C400" s="154">
        <f>COUNTIF(C381:C395,Hoja4!A7)</f>
        <v>0</v>
      </c>
      <c r="D400" s="141"/>
    </row>
    <row r="401" spans="1:5" ht="18.75" x14ac:dyDescent="0.3">
      <c r="A401" s="152"/>
      <c r="B401" s="157"/>
      <c r="C401" s="141"/>
      <c r="D401" s="141"/>
    </row>
    <row r="402" spans="1:5" ht="18.75" x14ac:dyDescent="0.3">
      <c r="A402" s="179" t="s">
        <v>266</v>
      </c>
      <c r="B402" s="179"/>
      <c r="C402" s="139" t="s">
        <v>191</v>
      </c>
      <c r="D402" s="141"/>
      <c r="E402" s="140" t="s">
        <v>237</v>
      </c>
    </row>
    <row r="403" spans="1:5" ht="18.75" x14ac:dyDescent="0.3">
      <c r="A403" s="180" t="s">
        <v>295</v>
      </c>
      <c r="B403" s="143" t="str">
        <f>'2.Páginas de la muestra'!C8</f>
        <v>Inicio</v>
      </c>
      <c r="C403" s="123" t="s">
        <v>8</v>
      </c>
      <c r="D403" s="141"/>
      <c r="E403" s="124" t="s">
        <v>238</v>
      </c>
    </row>
    <row r="404" spans="1:5" ht="18.75" x14ac:dyDescent="0.3">
      <c r="A404" s="180"/>
      <c r="B404" s="143" t="str">
        <f>'2.Páginas de la muestra'!C9</f>
        <v>login</v>
      </c>
      <c r="C404" s="123" t="s">
        <v>8</v>
      </c>
    </row>
    <row r="405" spans="1:5" ht="18.75" x14ac:dyDescent="0.3">
      <c r="A405" s="180"/>
      <c r="B405" s="143" t="str">
        <f>'2.Páginas de la muestra'!C10</f>
        <v>Inicio-Dashboard</v>
      </c>
      <c r="C405" s="123" t="s">
        <v>8</v>
      </c>
    </row>
    <row r="406" spans="1:5" ht="18.75" x14ac:dyDescent="0.3">
      <c r="A406" s="180"/>
      <c r="B406" s="143" t="str">
        <f>'2.Páginas de la muestra'!C11</f>
        <v>Dashboard-Usuarios</v>
      </c>
      <c r="C406" s="123" t="s">
        <v>8</v>
      </c>
    </row>
    <row r="407" spans="1:5" ht="18.75" x14ac:dyDescent="0.3">
      <c r="A407" s="180"/>
      <c r="B407" s="143" t="str">
        <f>'2.Páginas de la muestra'!C12</f>
        <v>Dashboard-Servicios</v>
      </c>
      <c r="C407" s="123" t="s">
        <v>8</v>
      </c>
      <c r="D407" s="141"/>
    </row>
    <row r="408" spans="1:5" ht="18.75" x14ac:dyDescent="0.3">
      <c r="A408" s="180"/>
      <c r="B408" s="143" t="str">
        <f>'2.Páginas de la muestra'!C13</f>
        <v>Dashboard-Reservas</v>
      </c>
      <c r="C408" s="123" t="s">
        <v>8</v>
      </c>
      <c r="D408" s="141"/>
    </row>
    <row r="409" spans="1:5" ht="18.75" x14ac:dyDescent="0.3">
      <c r="A409" s="180"/>
      <c r="B409" s="143" t="str">
        <f>'2.Páginas de la muestra'!C14</f>
        <v>Dashboard-Reservas-clientes</v>
      </c>
      <c r="C409" s="123" t="s">
        <v>8</v>
      </c>
      <c r="D409" s="141"/>
    </row>
    <row r="410" spans="1:5" ht="18.75" x14ac:dyDescent="0.3">
      <c r="A410" s="180"/>
      <c r="B410" s="143" t="str">
        <f>'2.Páginas de la muestra'!C15</f>
        <v>ALIAS 8</v>
      </c>
      <c r="C410" s="123"/>
      <c r="D410" s="141"/>
    </row>
    <row r="411" spans="1:5" ht="18.75" x14ac:dyDescent="0.3">
      <c r="A411" s="180"/>
      <c r="B411" s="143" t="str">
        <f>'2.Páginas de la muestra'!C16</f>
        <v>ALIAS 9</v>
      </c>
      <c r="C411" s="123"/>
      <c r="D411" s="141"/>
    </row>
    <row r="412" spans="1:5" ht="18.75" x14ac:dyDescent="0.3">
      <c r="A412" s="180"/>
      <c r="B412" s="143" t="str">
        <f>'2.Páginas de la muestra'!C17</f>
        <v>ALIAS 10</v>
      </c>
      <c r="C412" s="123"/>
      <c r="D412" s="141"/>
    </row>
    <row r="413" spans="1:5" ht="18.75" x14ac:dyDescent="0.3">
      <c r="A413" s="180"/>
      <c r="B413" s="143" t="str">
        <f>'2.Páginas de la muestra'!C18</f>
        <v>ALIAS 11</v>
      </c>
      <c r="C413" s="123"/>
      <c r="D413" s="141"/>
    </row>
    <row r="414" spans="1:5" ht="18.75" x14ac:dyDescent="0.3">
      <c r="A414" s="180"/>
      <c r="B414" s="143" t="str">
        <f>'2.Páginas de la muestra'!C19</f>
        <v>ALIAS 12</v>
      </c>
      <c r="C414" s="123"/>
      <c r="D414" s="141"/>
    </row>
    <row r="415" spans="1:5" ht="18.75" x14ac:dyDescent="0.3">
      <c r="A415" s="180"/>
      <c r="B415" s="143" t="str">
        <f>'2.Páginas de la muestra'!C20</f>
        <v>ALIAS 13</v>
      </c>
      <c r="C415" s="123"/>
      <c r="D415" s="141"/>
    </row>
    <row r="416" spans="1:5" ht="18.75" x14ac:dyDescent="0.3">
      <c r="A416" s="180"/>
      <c r="B416" s="143" t="str">
        <f>'2.Páginas de la muestra'!C21</f>
        <v>ALIAS 14</v>
      </c>
      <c r="C416" s="123"/>
      <c r="D416" s="141"/>
    </row>
    <row r="417" spans="1:5" ht="18.75" x14ac:dyDescent="0.3">
      <c r="A417" s="181"/>
      <c r="B417" s="143" t="str">
        <f>'2.Páginas de la muestra'!C22</f>
        <v>ALIAS 15</v>
      </c>
      <c r="C417" s="123"/>
      <c r="D417" s="141"/>
    </row>
    <row r="418" spans="1:5" ht="18.75" x14ac:dyDescent="0.3">
      <c r="A418" s="152"/>
      <c r="C418" s="146" t="s">
        <v>11</v>
      </c>
      <c r="D418" s="39"/>
    </row>
    <row r="419" spans="1:5" ht="18.75" x14ac:dyDescent="0.3">
      <c r="A419" s="152"/>
      <c r="C419" s="141"/>
      <c r="D419" s="141"/>
    </row>
    <row r="420" spans="1:5" ht="18.75" x14ac:dyDescent="0.3">
      <c r="A420" s="149" t="s">
        <v>282</v>
      </c>
      <c r="B420" s="150" t="s">
        <v>252</v>
      </c>
      <c r="C420" s="154">
        <f>COUNTIF(C403:C417,Hoja4!A5)</f>
        <v>7</v>
      </c>
      <c r="D420" s="141"/>
    </row>
    <row r="421" spans="1:5" ht="18.75" x14ac:dyDescent="0.3">
      <c r="A421" s="152"/>
      <c r="B421" s="150" t="s">
        <v>253</v>
      </c>
      <c r="C421" s="154">
        <f>COUNTIF(C403:C417,Hoja4!A6)</f>
        <v>0</v>
      </c>
      <c r="D421" s="141"/>
    </row>
    <row r="422" spans="1:5" ht="18.75" x14ac:dyDescent="0.3">
      <c r="A422" s="152"/>
      <c r="B422" s="150" t="s">
        <v>209</v>
      </c>
      <c r="C422" s="154">
        <f>COUNTIF(C403:C417,Hoja4!A7)</f>
        <v>0</v>
      </c>
      <c r="D422" s="141"/>
    </row>
    <row r="423" spans="1:5" ht="18.75" x14ac:dyDescent="0.3">
      <c r="A423" s="152"/>
      <c r="C423" s="141"/>
      <c r="D423" s="141"/>
    </row>
    <row r="424" spans="1:5" ht="18.75" x14ac:dyDescent="0.3">
      <c r="A424" s="179" t="s">
        <v>366</v>
      </c>
      <c r="B424" s="179"/>
      <c r="C424" s="139" t="s">
        <v>191</v>
      </c>
      <c r="D424" s="141"/>
      <c r="E424" s="140" t="s">
        <v>239</v>
      </c>
    </row>
    <row r="425" spans="1:5" ht="18.75" x14ac:dyDescent="0.3">
      <c r="A425" s="180" t="s">
        <v>294</v>
      </c>
      <c r="B425" s="143" t="str">
        <f>'2.Páginas de la muestra'!C8</f>
        <v>Inicio</v>
      </c>
      <c r="C425" s="38" t="s">
        <v>8</v>
      </c>
      <c r="D425" s="141"/>
      <c r="E425" s="124" t="s">
        <v>74</v>
      </c>
    </row>
    <row r="426" spans="1:5" ht="18.75" x14ac:dyDescent="0.3">
      <c r="A426" s="180"/>
      <c r="B426" s="143" t="str">
        <f>'2.Páginas de la muestra'!C9</f>
        <v>login</v>
      </c>
      <c r="C426" s="38" t="s">
        <v>8</v>
      </c>
    </row>
    <row r="427" spans="1:5" ht="18.75" x14ac:dyDescent="0.3">
      <c r="A427" s="180"/>
      <c r="B427" s="143" t="str">
        <f>'2.Páginas de la muestra'!C10</f>
        <v>Inicio-Dashboard</v>
      </c>
      <c r="C427" s="38" t="s">
        <v>8</v>
      </c>
    </row>
    <row r="428" spans="1:5" ht="18.75" x14ac:dyDescent="0.3">
      <c r="A428" s="180"/>
      <c r="B428" s="143" t="str">
        <f>'2.Páginas de la muestra'!C11</f>
        <v>Dashboard-Usuarios</v>
      </c>
      <c r="C428" s="38" t="s">
        <v>8</v>
      </c>
    </row>
    <row r="429" spans="1:5" ht="18.75" x14ac:dyDescent="0.3">
      <c r="A429" s="180"/>
      <c r="B429" s="143" t="str">
        <f>'2.Páginas de la muestra'!C12</f>
        <v>Dashboard-Servicios</v>
      </c>
      <c r="C429" s="38" t="s">
        <v>8</v>
      </c>
      <c r="D429" s="141"/>
    </row>
    <row r="430" spans="1:5" ht="18.75" x14ac:dyDescent="0.3">
      <c r="A430" s="180"/>
      <c r="B430" s="143" t="str">
        <f>'2.Páginas de la muestra'!C13</f>
        <v>Dashboard-Reservas</v>
      </c>
      <c r="C430" s="38" t="s">
        <v>8</v>
      </c>
      <c r="D430" s="141"/>
    </row>
    <row r="431" spans="1:5" ht="18.75" x14ac:dyDescent="0.3">
      <c r="A431" s="180"/>
      <c r="B431" s="143" t="str">
        <f>'2.Páginas de la muestra'!C14</f>
        <v>Dashboard-Reservas-clientes</v>
      </c>
      <c r="C431" s="38" t="s">
        <v>8</v>
      </c>
      <c r="D431" s="141"/>
    </row>
    <row r="432" spans="1:5" ht="18.75" x14ac:dyDescent="0.3">
      <c r="A432" s="180"/>
      <c r="B432" s="143" t="str">
        <f>'2.Páginas de la muestra'!C15</f>
        <v>ALIAS 8</v>
      </c>
      <c r="C432" s="38"/>
      <c r="D432" s="141"/>
    </row>
    <row r="433" spans="1:5" ht="18.75" x14ac:dyDescent="0.3">
      <c r="A433" s="180"/>
      <c r="B433" s="143" t="str">
        <f>'2.Páginas de la muestra'!C16</f>
        <v>ALIAS 9</v>
      </c>
      <c r="C433" s="38"/>
      <c r="D433" s="141"/>
    </row>
    <row r="434" spans="1:5" ht="18.75" x14ac:dyDescent="0.3">
      <c r="A434" s="180"/>
      <c r="B434" s="143" t="str">
        <f>'2.Páginas de la muestra'!C17</f>
        <v>ALIAS 10</v>
      </c>
      <c r="C434" s="38"/>
      <c r="D434" s="141"/>
    </row>
    <row r="435" spans="1:5" ht="18.75" x14ac:dyDescent="0.3">
      <c r="A435" s="180"/>
      <c r="B435" s="143" t="str">
        <f>'2.Páginas de la muestra'!C18</f>
        <v>ALIAS 11</v>
      </c>
      <c r="C435" s="38"/>
      <c r="D435" s="141"/>
    </row>
    <row r="436" spans="1:5" ht="18.75" x14ac:dyDescent="0.3">
      <c r="A436" s="180"/>
      <c r="B436" s="143" t="str">
        <f>'2.Páginas de la muestra'!C19</f>
        <v>ALIAS 12</v>
      </c>
      <c r="C436" s="38"/>
      <c r="D436" s="141"/>
    </row>
    <row r="437" spans="1:5" ht="18.75" x14ac:dyDescent="0.3">
      <c r="A437" s="180"/>
      <c r="B437" s="143" t="str">
        <f>'2.Páginas de la muestra'!C20</f>
        <v>ALIAS 13</v>
      </c>
      <c r="C437" s="38"/>
      <c r="D437" s="141"/>
    </row>
    <row r="438" spans="1:5" ht="18.75" x14ac:dyDescent="0.3">
      <c r="A438" s="180"/>
      <c r="B438" s="143" t="str">
        <f>'2.Páginas de la muestra'!C21</f>
        <v>ALIAS 14</v>
      </c>
      <c r="C438" s="38"/>
      <c r="D438" s="141"/>
    </row>
    <row r="439" spans="1:5" ht="18.75" x14ac:dyDescent="0.3">
      <c r="A439" s="181"/>
      <c r="B439" s="143" t="str">
        <f>'2.Páginas de la muestra'!C22</f>
        <v>ALIAS 15</v>
      </c>
      <c r="C439" s="38"/>
      <c r="D439" s="141"/>
    </row>
    <row r="440" spans="1:5" ht="18.75" x14ac:dyDescent="0.3">
      <c r="A440" s="152"/>
      <c r="C440" s="146" t="s">
        <v>11</v>
      </c>
      <c r="D440" s="39"/>
    </row>
    <row r="441" spans="1:5" ht="18.75" x14ac:dyDescent="0.3">
      <c r="A441" s="152"/>
      <c r="C441" s="141"/>
      <c r="D441" s="141"/>
    </row>
    <row r="442" spans="1:5" ht="18.75" x14ac:dyDescent="0.3">
      <c r="A442" s="149" t="s">
        <v>283</v>
      </c>
      <c r="B442" s="150" t="s">
        <v>252</v>
      </c>
      <c r="C442" s="154">
        <f>COUNTIF(C425:C439,Hoja4!A5)</f>
        <v>7</v>
      </c>
      <c r="D442" s="141"/>
    </row>
    <row r="443" spans="1:5" ht="18.75" x14ac:dyDescent="0.3">
      <c r="A443" s="152"/>
      <c r="B443" s="150" t="s">
        <v>253</v>
      </c>
      <c r="C443" s="154">
        <f>COUNTIF(C425:C439,Hoja4!A6)</f>
        <v>0</v>
      </c>
      <c r="D443" s="141"/>
    </row>
    <row r="444" spans="1:5" ht="18.75" x14ac:dyDescent="0.3">
      <c r="A444" s="152"/>
      <c r="B444" s="150" t="s">
        <v>209</v>
      </c>
      <c r="C444" s="154">
        <f>COUNTIF(C425:C439,Hoja4!A7)</f>
        <v>0</v>
      </c>
      <c r="D444" s="141"/>
    </row>
    <row r="445" spans="1:5" ht="18.75" x14ac:dyDescent="0.3">
      <c r="A445" s="152"/>
      <c r="C445" s="141"/>
      <c r="D445" s="141"/>
    </row>
    <row r="446" spans="1:5" ht="18.75" x14ac:dyDescent="0.3">
      <c r="A446" s="179" t="s">
        <v>367</v>
      </c>
      <c r="B446" s="179"/>
      <c r="C446" s="139" t="s">
        <v>191</v>
      </c>
      <c r="D446" s="141"/>
      <c r="E446" s="140" t="s">
        <v>240</v>
      </c>
    </row>
    <row r="447" spans="1:5" ht="18.75" x14ac:dyDescent="0.3">
      <c r="A447" s="180" t="s">
        <v>293</v>
      </c>
      <c r="B447" s="143" t="str">
        <f>'2.Páginas de la muestra'!C8</f>
        <v>Inicio</v>
      </c>
      <c r="C447" s="38" t="s">
        <v>8</v>
      </c>
      <c r="D447" s="141"/>
      <c r="E447" s="124" t="s">
        <v>73</v>
      </c>
    </row>
    <row r="448" spans="1:5" ht="18.75" x14ac:dyDescent="0.3">
      <c r="A448" s="180"/>
      <c r="B448" s="143" t="str">
        <f>'2.Páginas de la muestra'!C9</f>
        <v>login</v>
      </c>
      <c r="C448" s="38" t="s">
        <v>8</v>
      </c>
    </row>
    <row r="449" spans="1:4" ht="18.75" x14ac:dyDescent="0.3">
      <c r="A449" s="180"/>
      <c r="B449" s="143" t="str">
        <f>'2.Páginas de la muestra'!C10</f>
        <v>Inicio-Dashboard</v>
      </c>
      <c r="C449" s="38" t="s">
        <v>8</v>
      </c>
    </row>
    <row r="450" spans="1:4" ht="18.75" x14ac:dyDescent="0.3">
      <c r="A450" s="180"/>
      <c r="B450" s="143" t="str">
        <f>'2.Páginas de la muestra'!C11</f>
        <v>Dashboard-Usuarios</v>
      </c>
      <c r="C450" s="38" t="s">
        <v>8</v>
      </c>
    </row>
    <row r="451" spans="1:4" ht="18.75" x14ac:dyDescent="0.3">
      <c r="A451" s="180"/>
      <c r="B451" s="143" t="str">
        <f>'2.Páginas de la muestra'!C12</f>
        <v>Dashboard-Servicios</v>
      </c>
      <c r="C451" s="38" t="s">
        <v>8</v>
      </c>
      <c r="D451" s="141"/>
    </row>
    <row r="452" spans="1:4" ht="18.75" x14ac:dyDescent="0.3">
      <c r="A452" s="180"/>
      <c r="B452" s="143" t="str">
        <f>'2.Páginas de la muestra'!C13</f>
        <v>Dashboard-Reservas</v>
      </c>
      <c r="C452" s="38" t="s">
        <v>8</v>
      </c>
      <c r="D452" s="141"/>
    </row>
    <row r="453" spans="1:4" ht="18.75" x14ac:dyDescent="0.3">
      <c r="A453" s="180"/>
      <c r="B453" s="143" t="str">
        <f>'2.Páginas de la muestra'!C14</f>
        <v>Dashboard-Reservas-clientes</v>
      </c>
      <c r="C453" s="38" t="s">
        <v>8</v>
      </c>
      <c r="D453" s="141"/>
    </row>
    <row r="454" spans="1:4" ht="18.75" x14ac:dyDescent="0.3">
      <c r="A454" s="180"/>
      <c r="B454" s="143" t="str">
        <f>'2.Páginas de la muestra'!C15</f>
        <v>ALIAS 8</v>
      </c>
      <c r="C454" s="38"/>
      <c r="D454" s="141"/>
    </row>
    <row r="455" spans="1:4" ht="18.75" x14ac:dyDescent="0.3">
      <c r="A455" s="180"/>
      <c r="B455" s="143" t="str">
        <f>'2.Páginas de la muestra'!C16</f>
        <v>ALIAS 9</v>
      </c>
      <c r="C455" s="38"/>
      <c r="D455" s="141"/>
    </row>
    <row r="456" spans="1:4" ht="18.75" x14ac:dyDescent="0.3">
      <c r="A456" s="180"/>
      <c r="B456" s="143" t="str">
        <f>'2.Páginas de la muestra'!C17</f>
        <v>ALIAS 10</v>
      </c>
      <c r="C456" s="38"/>
      <c r="D456" s="141"/>
    </row>
    <row r="457" spans="1:4" ht="18.75" x14ac:dyDescent="0.3">
      <c r="A457" s="180"/>
      <c r="B457" s="143" t="str">
        <f>'2.Páginas de la muestra'!C18</f>
        <v>ALIAS 11</v>
      </c>
      <c r="C457" s="38"/>
      <c r="D457" s="141"/>
    </row>
    <row r="458" spans="1:4" ht="18.75" x14ac:dyDescent="0.3">
      <c r="A458" s="180"/>
      <c r="B458" s="143" t="str">
        <f>'2.Páginas de la muestra'!C19</f>
        <v>ALIAS 12</v>
      </c>
      <c r="C458" s="38"/>
      <c r="D458" s="141"/>
    </row>
    <row r="459" spans="1:4" ht="18.75" x14ac:dyDescent="0.3">
      <c r="A459" s="180"/>
      <c r="B459" s="143" t="str">
        <f>'2.Páginas de la muestra'!C20</f>
        <v>ALIAS 13</v>
      </c>
      <c r="C459" s="38"/>
      <c r="D459" s="141"/>
    </row>
    <row r="460" spans="1:4" ht="18.75" x14ac:dyDescent="0.3">
      <c r="A460" s="180"/>
      <c r="B460" s="143" t="str">
        <f>'2.Páginas de la muestra'!C21</f>
        <v>ALIAS 14</v>
      </c>
      <c r="C460" s="38"/>
      <c r="D460" s="141"/>
    </row>
    <row r="461" spans="1:4" ht="18.75" x14ac:dyDescent="0.3">
      <c r="A461" s="181"/>
      <c r="B461" s="143" t="str">
        <f>'2.Páginas de la muestra'!C22</f>
        <v>ALIAS 15</v>
      </c>
      <c r="C461" s="38"/>
      <c r="D461" s="141"/>
    </row>
    <row r="462" spans="1:4" ht="18.75" x14ac:dyDescent="0.3">
      <c r="A462" s="152"/>
      <c r="C462" s="146" t="s">
        <v>11</v>
      </c>
      <c r="D462" s="39"/>
    </row>
    <row r="463" spans="1:4" ht="18.75" x14ac:dyDescent="0.3">
      <c r="A463" s="152"/>
      <c r="C463" s="141"/>
      <c r="D463" s="141"/>
    </row>
    <row r="464" spans="1:4" ht="18.75" x14ac:dyDescent="0.3">
      <c r="A464" s="149" t="s">
        <v>284</v>
      </c>
      <c r="B464" s="150" t="s">
        <v>252</v>
      </c>
      <c r="C464" s="154">
        <f>COUNTIF(C447:C461,Hoja4!A5)</f>
        <v>7</v>
      </c>
      <c r="D464" s="141"/>
    </row>
    <row r="465" spans="1:5" ht="18.75" x14ac:dyDescent="0.3">
      <c r="A465" s="152"/>
      <c r="B465" s="150" t="s">
        <v>253</v>
      </c>
      <c r="C465" s="154">
        <f>COUNTIF(C447:C461,Hoja4!A6)</f>
        <v>0</v>
      </c>
      <c r="D465" s="141"/>
    </row>
    <row r="466" spans="1:5" ht="18.75" x14ac:dyDescent="0.3">
      <c r="A466" s="152"/>
      <c r="B466" s="150" t="s">
        <v>209</v>
      </c>
      <c r="C466" s="154">
        <f>COUNTIF(C447:C461,Hoja4!A7)</f>
        <v>0</v>
      </c>
      <c r="D466" s="141"/>
    </row>
    <row r="467" spans="1:5" ht="18.75" x14ac:dyDescent="0.3">
      <c r="A467" s="152"/>
      <c r="C467" s="141"/>
      <c r="D467" s="141"/>
    </row>
    <row r="468" spans="1:5" ht="18.75" x14ac:dyDescent="0.3">
      <c r="A468" s="179" t="s">
        <v>265</v>
      </c>
      <c r="B468" s="179"/>
      <c r="C468" s="139" t="s">
        <v>191</v>
      </c>
      <c r="D468" s="141"/>
      <c r="E468" s="140" t="s">
        <v>241</v>
      </c>
    </row>
    <row r="469" spans="1:5" ht="18.75" x14ac:dyDescent="0.3">
      <c r="A469" s="180" t="s">
        <v>292</v>
      </c>
      <c r="B469" s="143" t="str">
        <f>'2.Páginas de la muestra'!C8</f>
        <v>Inicio</v>
      </c>
      <c r="C469" s="38" t="s">
        <v>8</v>
      </c>
      <c r="D469" s="141"/>
      <c r="E469" s="124" t="s">
        <v>242</v>
      </c>
    </row>
    <row r="470" spans="1:5" ht="18.75" x14ac:dyDescent="0.3">
      <c r="A470" s="180"/>
      <c r="B470" s="143" t="str">
        <f>'2.Páginas de la muestra'!C9</f>
        <v>login</v>
      </c>
      <c r="C470" s="38" t="s">
        <v>8</v>
      </c>
      <c r="E470" s="124" t="s">
        <v>75</v>
      </c>
    </row>
    <row r="471" spans="1:5" ht="18.75" x14ac:dyDescent="0.3">
      <c r="A471" s="180"/>
      <c r="B471" s="143" t="str">
        <f>'2.Páginas de la muestra'!C10</f>
        <v>Inicio-Dashboard</v>
      </c>
      <c r="C471" s="38" t="s">
        <v>8</v>
      </c>
    </row>
    <row r="472" spans="1:5" ht="18.75" x14ac:dyDescent="0.3">
      <c r="A472" s="180"/>
      <c r="B472" s="143" t="str">
        <f>'2.Páginas de la muestra'!C11</f>
        <v>Dashboard-Usuarios</v>
      </c>
      <c r="C472" s="38" t="s">
        <v>8</v>
      </c>
    </row>
    <row r="473" spans="1:5" ht="18.75" x14ac:dyDescent="0.3">
      <c r="A473" s="180"/>
      <c r="B473" s="143" t="str">
        <f>'2.Páginas de la muestra'!C12</f>
        <v>Dashboard-Servicios</v>
      </c>
      <c r="C473" s="38" t="s">
        <v>8</v>
      </c>
      <c r="D473" s="141"/>
    </row>
    <row r="474" spans="1:5" ht="18.75" x14ac:dyDescent="0.3">
      <c r="A474" s="180"/>
      <c r="B474" s="143" t="str">
        <f>'2.Páginas de la muestra'!C13</f>
        <v>Dashboard-Reservas</v>
      </c>
      <c r="C474" s="38" t="s">
        <v>8</v>
      </c>
      <c r="D474" s="141"/>
    </row>
    <row r="475" spans="1:5" ht="18.75" x14ac:dyDescent="0.3">
      <c r="A475" s="180"/>
      <c r="B475" s="143" t="str">
        <f>'2.Páginas de la muestra'!C14</f>
        <v>Dashboard-Reservas-clientes</v>
      </c>
      <c r="C475" s="38" t="s">
        <v>8</v>
      </c>
      <c r="D475" s="141"/>
    </row>
    <row r="476" spans="1:5" ht="18.75" x14ac:dyDescent="0.3">
      <c r="A476" s="180"/>
      <c r="B476" s="143" t="str">
        <f>'2.Páginas de la muestra'!C15</f>
        <v>ALIAS 8</v>
      </c>
      <c r="C476" s="38"/>
      <c r="D476" s="141"/>
    </row>
    <row r="477" spans="1:5" ht="18.75" x14ac:dyDescent="0.3">
      <c r="A477" s="180"/>
      <c r="B477" s="143" t="str">
        <f>'2.Páginas de la muestra'!C16</f>
        <v>ALIAS 9</v>
      </c>
      <c r="C477" s="38"/>
      <c r="D477" s="141"/>
    </row>
    <row r="478" spans="1:5" ht="18.75" x14ac:dyDescent="0.3">
      <c r="A478" s="180"/>
      <c r="B478" s="143" t="str">
        <f>'2.Páginas de la muestra'!C17</f>
        <v>ALIAS 10</v>
      </c>
      <c r="C478" s="38"/>
      <c r="D478" s="141"/>
    </row>
    <row r="479" spans="1:5" ht="18.75" x14ac:dyDescent="0.3">
      <c r="A479" s="180"/>
      <c r="B479" s="143" t="str">
        <f>'2.Páginas de la muestra'!C18</f>
        <v>ALIAS 11</v>
      </c>
      <c r="C479" s="38"/>
      <c r="D479" s="141"/>
    </row>
    <row r="480" spans="1:5" ht="18.75" x14ac:dyDescent="0.3">
      <c r="A480" s="180"/>
      <c r="B480" s="143" t="str">
        <f>'2.Páginas de la muestra'!C19</f>
        <v>ALIAS 12</v>
      </c>
      <c r="C480" s="38"/>
      <c r="D480" s="141"/>
    </row>
    <row r="481" spans="1:5" ht="18.75" x14ac:dyDescent="0.3">
      <c r="A481" s="180"/>
      <c r="B481" s="143" t="str">
        <f>'2.Páginas de la muestra'!C20</f>
        <v>ALIAS 13</v>
      </c>
      <c r="C481" s="38"/>
      <c r="D481" s="141"/>
    </row>
    <row r="482" spans="1:5" ht="18.75" x14ac:dyDescent="0.3">
      <c r="A482" s="180"/>
      <c r="B482" s="143" t="str">
        <f>'2.Páginas de la muestra'!C21</f>
        <v>ALIAS 14</v>
      </c>
      <c r="C482" s="38"/>
      <c r="D482" s="141"/>
    </row>
    <row r="483" spans="1:5" ht="18.75" x14ac:dyDescent="0.3">
      <c r="A483" s="181"/>
      <c r="B483" s="143" t="str">
        <f>'2.Páginas de la muestra'!C22</f>
        <v>ALIAS 15</v>
      </c>
      <c r="C483" s="38"/>
      <c r="D483" s="141"/>
    </row>
    <row r="484" spans="1:5" ht="18.75" x14ac:dyDescent="0.3">
      <c r="A484" s="152"/>
      <c r="C484" s="146" t="s">
        <v>11</v>
      </c>
      <c r="D484" s="39"/>
    </row>
    <row r="485" spans="1:5" ht="18.75" x14ac:dyDescent="0.3">
      <c r="A485" s="152"/>
      <c r="C485" s="141"/>
      <c r="D485" s="141"/>
    </row>
    <row r="486" spans="1:5" ht="18.75" x14ac:dyDescent="0.3">
      <c r="A486" s="149" t="s">
        <v>285</v>
      </c>
      <c r="B486" s="150" t="s">
        <v>252</v>
      </c>
      <c r="C486" s="154">
        <f>COUNTIF(C469:C483,Hoja4!A5)</f>
        <v>7</v>
      </c>
      <c r="D486" s="141"/>
    </row>
    <row r="487" spans="1:5" ht="18.75" x14ac:dyDescent="0.3">
      <c r="A487" s="152"/>
      <c r="B487" s="150" t="s">
        <v>253</v>
      </c>
      <c r="C487" s="154">
        <f>COUNTIF(C469:C483,Hoja4!A6)</f>
        <v>0</v>
      </c>
      <c r="D487" s="141"/>
    </row>
    <row r="488" spans="1:5" ht="18.75" x14ac:dyDescent="0.3">
      <c r="A488" s="152"/>
      <c r="B488" s="150" t="s">
        <v>209</v>
      </c>
      <c r="C488" s="154">
        <f>COUNTIF(C469:C483,Hoja4!A7)</f>
        <v>0</v>
      </c>
      <c r="D488" s="141"/>
    </row>
    <row r="489" spans="1:5" ht="18.75" x14ac:dyDescent="0.3">
      <c r="A489" s="152"/>
      <c r="C489" s="141"/>
      <c r="D489" s="141"/>
    </row>
    <row r="490" spans="1:5" ht="18.75" x14ac:dyDescent="0.3">
      <c r="A490" s="179" t="s">
        <v>264</v>
      </c>
      <c r="B490" s="179"/>
      <c r="C490" s="139" t="s">
        <v>191</v>
      </c>
      <c r="D490" s="141"/>
      <c r="E490" s="140" t="s">
        <v>243</v>
      </c>
    </row>
    <row r="491" spans="1:5" ht="18.75" x14ac:dyDescent="0.3">
      <c r="A491" s="180" t="s">
        <v>291</v>
      </c>
      <c r="B491" s="143" t="str">
        <f>'2.Páginas de la muestra'!C8</f>
        <v>Inicio</v>
      </c>
      <c r="C491" s="38" t="s">
        <v>8</v>
      </c>
      <c r="D491" s="141"/>
      <c r="E491" s="124" t="s">
        <v>244</v>
      </c>
    </row>
    <row r="492" spans="1:5" ht="18.75" x14ac:dyDescent="0.3">
      <c r="A492" s="180"/>
      <c r="B492" s="143" t="str">
        <f>'2.Páginas de la muestra'!C9</f>
        <v>login</v>
      </c>
      <c r="C492" s="38" t="s">
        <v>8</v>
      </c>
    </row>
    <row r="493" spans="1:5" ht="18.75" x14ac:dyDescent="0.3">
      <c r="A493" s="180"/>
      <c r="B493" s="143" t="str">
        <f>'2.Páginas de la muestra'!C10</f>
        <v>Inicio-Dashboard</v>
      </c>
      <c r="C493" s="38" t="s">
        <v>8</v>
      </c>
    </row>
    <row r="494" spans="1:5" ht="18.75" x14ac:dyDescent="0.3">
      <c r="A494" s="180"/>
      <c r="B494" s="143" t="str">
        <f>'2.Páginas de la muestra'!C11</f>
        <v>Dashboard-Usuarios</v>
      </c>
      <c r="C494" s="38" t="s">
        <v>8</v>
      </c>
    </row>
    <row r="495" spans="1:5" ht="18.75" x14ac:dyDescent="0.3">
      <c r="A495" s="180"/>
      <c r="B495" s="143" t="str">
        <f>'2.Páginas de la muestra'!C12</f>
        <v>Dashboard-Servicios</v>
      </c>
      <c r="C495" s="38" t="s">
        <v>8</v>
      </c>
      <c r="D495" s="141"/>
    </row>
    <row r="496" spans="1:5" ht="18.75" x14ac:dyDescent="0.3">
      <c r="A496" s="180"/>
      <c r="B496" s="143" t="str">
        <f>'2.Páginas de la muestra'!C13</f>
        <v>Dashboard-Reservas</v>
      </c>
      <c r="C496" s="38" t="s">
        <v>8</v>
      </c>
      <c r="D496" s="141"/>
    </row>
    <row r="497" spans="1:5" ht="18.75" x14ac:dyDescent="0.3">
      <c r="A497" s="180"/>
      <c r="B497" s="143" t="str">
        <f>'2.Páginas de la muestra'!C14</f>
        <v>Dashboard-Reservas-clientes</v>
      </c>
      <c r="C497" s="38" t="s">
        <v>8</v>
      </c>
      <c r="D497" s="141"/>
    </row>
    <row r="498" spans="1:5" ht="18.75" x14ac:dyDescent="0.3">
      <c r="A498" s="180"/>
      <c r="B498" s="143" t="str">
        <f>'2.Páginas de la muestra'!C15</f>
        <v>ALIAS 8</v>
      </c>
      <c r="C498" s="38"/>
      <c r="D498" s="141"/>
    </row>
    <row r="499" spans="1:5" ht="18.75" x14ac:dyDescent="0.3">
      <c r="A499" s="180"/>
      <c r="B499" s="143" t="str">
        <f>'2.Páginas de la muestra'!C16</f>
        <v>ALIAS 9</v>
      </c>
      <c r="C499" s="38"/>
      <c r="D499" s="141"/>
    </row>
    <row r="500" spans="1:5" ht="18.75" x14ac:dyDescent="0.3">
      <c r="A500" s="180"/>
      <c r="B500" s="143" t="str">
        <f>'2.Páginas de la muestra'!C17</f>
        <v>ALIAS 10</v>
      </c>
      <c r="C500" s="38"/>
      <c r="D500" s="141"/>
    </row>
    <row r="501" spans="1:5" ht="18.75" x14ac:dyDescent="0.3">
      <c r="A501" s="180"/>
      <c r="B501" s="143" t="str">
        <f>'2.Páginas de la muestra'!C18</f>
        <v>ALIAS 11</v>
      </c>
      <c r="C501" s="38"/>
      <c r="D501" s="141"/>
    </row>
    <row r="502" spans="1:5" ht="18.75" x14ac:dyDescent="0.3">
      <c r="A502" s="180"/>
      <c r="B502" s="143" t="str">
        <f>'2.Páginas de la muestra'!C19</f>
        <v>ALIAS 12</v>
      </c>
      <c r="C502" s="38"/>
      <c r="D502" s="141"/>
    </row>
    <row r="503" spans="1:5" ht="18.75" x14ac:dyDescent="0.3">
      <c r="A503" s="180"/>
      <c r="B503" s="143" t="str">
        <f>'2.Páginas de la muestra'!C20</f>
        <v>ALIAS 13</v>
      </c>
      <c r="C503" s="38"/>
      <c r="D503" s="141"/>
    </row>
    <row r="504" spans="1:5" ht="18.75" x14ac:dyDescent="0.3">
      <c r="A504" s="180"/>
      <c r="B504" s="143" t="str">
        <f>'2.Páginas de la muestra'!C21</f>
        <v>ALIAS 14</v>
      </c>
      <c r="C504" s="38"/>
      <c r="D504" s="141"/>
    </row>
    <row r="505" spans="1:5" ht="18.75" x14ac:dyDescent="0.3">
      <c r="A505" s="181"/>
      <c r="B505" s="143" t="str">
        <f>'2.Páginas de la muestra'!C22</f>
        <v>ALIAS 15</v>
      </c>
      <c r="C505" s="38"/>
      <c r="D505" s="141"/>
    </row>
    <row r="506" spans="1:5" ht="18.75" x14ac:dyDescent="0.3">
      <c r="A506" s="152"/>
      <c r="C506" s="146" t="s">
        <v>11</v>
      </c>
      <c r="D506" s="39"/>
    </row>
    <row r="507" spans="1:5" ht="18.75" x14ac:dyDescent="0.3">
      <c r="A507" s="152"/>
      <c r="C507" s="141"/>
      <c r="D507" s="141"/>
    </row>
    <row r="508" spans="1:5" ht="18.75" x14ac:dyDescent="0.3">
      <c r="A508" s="149" t="s">
        <v>286</v>
      </c>
      <c r="B508" s="150" t="s">
        <v>252</v>
      </c>
      <c r="C508" s="154">
        <f>COUNTIF(C491:C505,Hoja4!A5)</f>
        <v>7</v>
      </c>
      <c r="D508" s="141"/>
    </row>
    <row r="509" spans="1:5" ht="18.75" x14ac:dyDescent="0.3">
      <c r="A509" s="152"/>
      <c r="B509" s="150" t="s">
        <v>253</v>
      </c>
      <c r="C509" s="154">
        <f>COUNTIF(C491:C505,Hoja4!A6)</f>
        <v>0</v>
      </c>
      <c r="D509" s="141"/>
    </row>
    <row r="510" spans="1:5" ht="18.75" x14ac:dyDescent="0.3">
      <c r="A510" s="152"/>
      <c r="B510" s="150" t="s">
        <v>209</v>
      </c>
      <c r="C510" s="154">
        <f>COUNTIF(C491:C505,Hoja4!A7)</f>
        <v>0</v>
      </c>
      <c r="D510" s="141"/>
    </row>
    <row r="511" spans="1:5" ht="18.75" x14ac:dyDescent="0.3">
      <c r="A511" s="152"/>
      <c r="C511" s="141"/>
      <c r="D511" s="141"/>
    </row>
    <row r="512" spans="1:5" ht="18.75" x14ac:dyDescent="0.3">
      <c r="A512" s="179" t="s">
        <v>368</v>
      </c>
      <c r="B512" s="179"/>
      <c r="C512" s="139" t="s">
        <v>191</v>
      </c>
      <c r="D512" s="141"/>
      <c r="E512" s="140" t="s">
        <v>245</v>
      </c>
    </row>
    <row r="513" spans="1:5" ht="18.75" x14ac:dyDescent="0.3">
      <c r="A513" s="180" t="s">
        <v>290</v>
      </c>
      <c r="B513" s="143" t="str">
        <f>'2.Páginas de la muestra'!C8</f>
        <v>Inicio</v>
      </c>
      <c r="C513" s="38" t="s">
        <v>8</v>
      </c>
      <c r="D513" s="141"/>
      <c r="E513" s="124" t="s">
        <v>76</v>
      </c>
    </row>
    <row r="514" spans="1:5" ht="18.75" x14ac:dyDescent="0.3">
      <c r="A514" s="180"/>
      <c r="B514" s="143" t="str">
        <f>'2.Páginas de la muestra'!C9</f>
        <v>login</v>
      </c>
      <c r="C514" s="38" t="s">
        <v>8</v>
      </c>
    </row>
    <row r="515" spans="1:5" ht="18.75" x14ac:dyDescent="0.3">
      <c r="A515" s="180"/>
      <c r="B515" s="143" t="str">
        <f>'2.Páginas de la muestra'!C10</f>
        <v>Inicio-Dashboard</v>
      </c>
      <c r="C515" s="38" t="s">
        <v>8</v>
      </c>
    </row>
    <row r="516" spans="1:5" ht="18.75" x14ac:dyDescent="0.3">
      <c r="A516" s="180"/>
      <c r="B516" s="143" t="str">
        <f>'2.Páginas de la muestra'!C11</f>
        <v>Dashboard-Usuarios</v>
      </c>
      <c r="C516" s="38" t="s">
        <v>8</v>
      </c>
    </row>
    <row r="517" spans="1:5" ht="18.75" x14ac:dyDescent="0.3">
      <c r="A517" s="180"/>
      <c r="B517" s="143" t="str">
        <f>'2.Páginas de la muestra'!C12</f>
        <v>Dashboard-Servicios</v>
      </c>
      <c r="C517" s="38" t="s">
        <v>8</v>
      </c>
      <c r="D517" s="141"/>
    </row>
    <row r="518" spans="1:5" ht="18.75" x14ac:dyDescent="0.3">
      <c r="A518" s="180"/>
      <c r="B518" s="143" t="str">
        <f>'2.Páginas de la muestra'!C13</f>
        <v>Dashboard-Reservas</v>
      </c>
      <c r="C518" s="38" t="s">
        <v>8</v>
      </c>
      <c r="D518" s="141"/>
    </row>
    <row r="519" spans="1:5" ht="18.75" x14ac:dyDescent="0.3">
      <c r="A519" s="180"/>
      <c r="B519" s="143" t="str">
        <f>'2.Páginas de la muestra'!C14</f>
        <v>Dashboard-Reservas-clientes</v>
      </c>
      <c r="C519" s="38" t="s">
        <v>8</v>
      </c>
      <c r="D519" s="141"/>
    </row>
    <row r="520" spans="1:5" ht="18.75" x14ac:dyDescent="0.3">
      <c r="A520" s="180"/>
      <c r="B520" s="143" t="str">
        <f>'2.Páginas de la muestra'!C15</f>
        <v>ALIAS 8</v>
      </c>
      <c r="C520" s="38"/>
      <c r="D520" s="141"/>
    </row>
    <row r="521" spans="1:5" ht="18.75" x14ac:dyDescent="0.3">
      <c r="A521" s="180"/>
      <c r="B521" s="143" t="str">
        <f>'2.Páginas de la muestra'!C16</f>
        <v>ALIAS 9</v>
      </c>
      <c r="C521" s="38"/>
      <c r="D521" s="141"/>
    </row>
    <row r="522" spans="1:5" ht="18.75" x14ac:dyDescent="0.3">
      <c r="A522" s="180"/>
      <c r="B522" s="143" t="str">
        <f>'2.Páginas de la muestra'!C17</f>
        <v>ALIAS 10</v>
      </c>
      <c r="C522" s="38"/>
      <c r="D522" s="141"/>
    </row>
    <row r="523" spans="1:5" ht="18.75" x14ac:dyDescent="0.3">
      <c r="A523" s="180"/>
      <c r="B523" s="143" t="str">
        <f>'2.Páginas de la muestra'!C18</f>
        <v>ALIAS 11</v>
      </c>
      <c r="C523" s="38"/>
      <c r="D523" s="141"/>
    </row>
    <row r="524" spans="1:5" ht="18.75" x14ac:dyDescent="0.3">
      <c r="A524" s="180"/>
      <c r="B524" s="143" t="str">
        <f>'2.Páginas de la muestra'!C19</f>
        <v>ALIAS 12</v>
      </c>
      <c r="C524" s="38"/>
      <c r="D524" s="141"/>
    </row>
    <row r="525" spans="1:5" ht="18.75" x14ac:dyDescent="0.3">
      <c r="A525" s="180"/>
      <c r="B525" s="143" t="str">
        <f>'2.Páginas de la muestra'!C20</f>
        <v>ALIAS 13</v>
      </c>
      <c r="C525" s="38"/>
      <c r="D525" s="141"/>
    </row>
    <row r="526" spans="1:5" ht="18.75" x14ac:dyDescent="0.3">
      <c r="A526" s="180"/>
      <c r="B526" s="143" t="str">
        <f>'2.Páginas de la muestra'!C21</f>
        <v>ALIAS 14</v>
      </c>
      <c r="C526" s="38"/>
      <c r="D526" s="141"/>
    </row>
    <row r="527" spans="1:5" ht="18.75" x14ac:dyDescent="0.3">
      <c r="A527" s="181"/>
      <c r="B527" s="143" t="str">
        <f>'2.Páginas de la muestra'!C22</f>
        <v>ALIAS 15</v>
      </c>
      <c r="C527" s="38"/>
      <c r="D527" s="141"/>
    </row>
    <row r="528" spans="1:5" ht="18.75" x14ac:dyDescent="0.3">
      <c r="A528" s="152"/>
      <c r="C528" s="146" t="s">
        <v>11</v>
      </c>
      <c r="D528" s="39"/>
    </row>
    <row r="529" spans="1:5" ht="18.75" x14ac:dyDescent="0.3">
      <c r="A529" s="152"/>
      <c r="C529" s="141"/>
      <c r="D529" s="141"/>
    </row>
    <row r="530" spans="1:5" ht="18.75" x14ac:dyDescent="0.3">
      <c r="A530" s="149" t="s">
        <v>287</v>
      </c>
      <c r="B530" s="150" t="s">
        <v>252</v>
      </c>
      <c r="C530" s="154">
        <f>COUNTIF(C513:C527,Hoja4!A5)</f>
        <v>7</v>
      </c>
      <c r="D530" s="141"/>
    </row>
    <row r="531" spans="1:5" ht="18.75" x14ac:dyDescent="0.3">
      <c r="A531" s="152"/>
      <c r="B531" s="150" t="s">
        <v>253</v>
      </c>
      <c r="C531" s="154">
        <f>COUNTIF(C513:C527,Hoja4!A6)</f>
        <v>0</v>
      </c>
      <c r="D531" s="141"/>
    </row>
    <row r="532" spans="1:5" ht="18.75" x14ac:dyDescent="0.3">
      <c r="A532" s="152"/>
      <c r="B532" s="150" t="s">
        <v>209</v>
      </c>
      <c r="C532" s="154">
        <f>COUNTIF(C513:C527,Hoja4!A7)</f>
        <v>0</v>
      </c>
      <c r="D532" s="141"/>
    </row>
    <row r="533" spans="1:5" ht="18.75" x14ac:dyDescent="0.3">
      <c r="A533" s="152"/>
      <c r="C533" s="141"/>
      <c r="D533" s="141"/>
    </row>
    <row r="534" spans="1:5" ht="18.75" x14ac:dyDescent="0.3">
      <c r="A534" s="179" t="s">
        <v>263</v>
      </c>
      <c r="B534" s="179"/>
      <c r="C534" s="139" t="s">
        <v>191</v>
      </c>
      <c r="D534" s="141"/>
      <c r="E534" s="140" t="s">
        <v>246</v>
      </c>
    </row>
    <row r="535" spans="1:5" ht="18.75" x14ac:dyDescent="0.3">
      <c r="A535" s="180" t="s">
        <v>289</v>
      </c>
      <c r="B535" s="143" t="str">
        <f>'2.Páginas de la muestra'!C8</f>
        <v>Inicio</v>
      </c>
      <c r="C535" s="38" t="s">
        <v>8</v>
      </c>
      <c r="D535" s="141"/>
      <c r="E535" s="124" t="s">
        <v>77</v>
      </c>
    </row>
    <row r="536" spans="1:5" ht="18.75" x14ac:dyDescent="0.3">
      <c r="A536" s="180"/>
      <c r="B536" s="143" t="str">
        <f>'2.Páginas de la muestra'!C9</f>
        <v>login</v>
      </c>
      <c r="C536" s="38" t="s">
        <v>8</v>
      </c>
      <c r="E536" s="124" t="s">
        <v>433</v>
      </c>
    </row>
    <row r="537" spans="1:5" ht="18.75" x14ac:dyDescent="0.3">
      <c r="A537" s="180"/>
      <c r="B537" s="143" t="str">
        <f>'2.Páginas de la muestra'!C10</f>
        <v>Inicio-Dashboard</v>
      </c>
      <c r="C537" s="38" t="s">
        <v>8</v>
      </c>
      <c r="E537" s="128" t="s">
        <v>434</v>
      </c>
    </row>
    <row r="538" spans="1:5" ht="18.75" x14ac:dyDescent="0.3">
      <c r="A538" s="180"/>
      <c r="B538" s="143" t="str">
        <f>'2.Páginas de la muestra'!C11</f>
        <v>Dashboard-Usuarios</v>
      </c>
      <c r="C538" s="38" t="s">
        <v>8</v>
      </c>
    </row>
    <row r="539" spans="1:5" ht="18.75" x14ac:dyDescent="0.3">
      <c r="A539" s="180"/>
      <c r="B539" s="143" t="str">
        <f>'2.Páginas de la muestra'!C12</f>
        <v>Dashboard-Servicios</v>
      </c>
      <c r="C539" s="38" t="s">
        <v>8</v>
      </c>
      <c r="D539" s="141"/>
    </row>
    <row r="540" spans="1:5" ht="18.75" x14ac:dyDescent="0.3">
      <c r="A540" s="180"/>
      <c r="B540" s="143" t="str">
        <f>'2.Páginas de la muestra'!C13</f>
        <v>Dashboard-Reservas</v>
      </c>
      <c r="C540" s="38" t="s">
        <v>8</v>
      </c>
      <c r="D540" s="141"/>
    </row>
    <row r="541" spans="1:5" ht="18.75" x14ac:dyDescent="0.3">
      <c r="A541" s="180"/>
      <c r="B541" s="143" t="str">
        <f>'2.Páginas de la muestra'!C14</f>
        <v>Dashboard-Reservas-clientes</v>
      </c>
      <c r="C541" s="38" t="s">
        <v>8</v>
      </c>
      <c r="D541" s="141"/>
    </row>
    <row r="542" spans="1:5" ht="18.75" x14ac:dyDescent="0.3">
      <c r="A542" s="180"/>
      <c r="B542" s="143" t="str">
        <f>'2.Páginas de la muestra'!C15</f>
        <v>ALIAS 8</v>
      </c>
      <c r="C542" s="38"/>
      <c r="D542" s="141"/>
    </row>
    <row r="543" spans="1:5" ht="18.75" x14ac:dyDescent="0.3">
      <c r="A543" s="180"/>
      <c r="B543" s="143" t="str">
        <f>'2.Páginas de la muestra'!C16</f>
        <v>ALIAS 9</v>
      </c>
      <c r="C543" s="38"/>
      <c r="D543" s="141"/>
    </row>
    <row r="544" spans="1:5" ht="18.75" x14ac:dyDescent="0.3">
      <c r="A544" s="180"/>
      <c r="B544" s="143" t="str">
        <f>'2.Páginas de la muestra'!C17</f>
        <v>ALIAS 10</v>
      </c>
      <c r="C544" s="38"/>
      <c r="D544" s="141"/>
    </row>
    <row r="545" spans="1:10" ht="18.75" x14ac:dyDescent="0.3">
      <c r="A545" s="180"/>
      <c r="B545" s="143" t="str">
        <f>'2.Páginas de la muestra'!C18</f>
        <v>ALIAS 11</v>
      </c>
      <c r="C545" s="38"/>
      <c r="D545" s="141"/>
    </row>
    <row r="546" spans="1:10" ht="18.75" x14ac:dyDescent="0.3">
      <c r="A546" s="180"/>
      <c r="B546" s="143" t="str">
        <f>'2.Páginas de la muestra'!C19</f>
        <v>ALIAS 12</v>
      </c>
      <c r="C546" s="38"/>
      <c r="D546" s="141"/>
    </row>
    <row r="547" spans="1:10" ht="18.75" x14ac:dyDescent="0.3">
      <c r="A547" s="180"/>
      <c r="B547" s="143" t="str">
        <f>'2.Páginas de la muestra'!C20</f>
        <v>ALIAS 13</v>
      </c>
      <c r="C547" s="38"/>
      <c r="D547" s="141"/>
    </row>
    <row r="548" spans="1:10" ht="18.75" x14ac:dyDescent="0.3">
      <c r="A548" s="180"/>
      <c r="B548" s="143" t="str">
        <f>'2.Páginas de la muestra'!C21</f>
        <v>ALIAS 14</v>
      </c>
      <c r="C548" s="38"/>
      <c r="D548" s="141"/>
    </row>
    <row r="549" spans="1:10" ht="18.75" x14ac:dyDescent="0.3">
      <c r="A549" s="181"/>
      <c r="B549" s="143" t="str">
        <f>'2.Páginas de la muestra'!C22</f>
        <v>ALIAS 15</v>
      </c>
      <c r="C549" s="38"/>
      <c r="D549" s="141"/>
    </row>
    <row r="550" spans="1:10" ht="18.75" x14ac:dyDescent="0.3">
      <c r="C550" s="146" t="s">
        <v>11</v>
      </c>
      <c r="D550" s="39"/>
    </row>
    <row r="551" spans="1:10" ht="18.75" x14ac:dyDescent="0.3">
      <c r="C551" s="141"/>
    </row>
    <row r="552" spans="1:10" ht="18.75" x14ac:dyDescent="0.3">
      <c r="A552" s="149" t="s">
        <v>288</v>
      </c>
      <c r="B552" s="150" t="s">
        <v>252</v>
      </c>
      <c r="C552" s="154">
        <f>COUNTIF(C535:C549,Hoja4!A5)</f>
        <v>7</v>
      </c>
    </row>
    <row r="553" spans="1:10" ht="18.75" x14ac:dyDescent="0.3">
      <c r="B553" s="150" t="s">
        <v>253</v>
      </c>
      <c r="C553" s="154">
        <f>COUNTIF(C535:C549,Hoja4!A6)</f>
        <v>0</v>
      </c>
    </row>
    <row r="554" spans="1:10" ht="18.75" x14ac:dyDescent="0.3">
      <c r="B554" s="150" t="s">
        <v>209</v>
      </c>
      <c r="C554" s="154">
        <f>COUNTIF(C535:C549,Hoja4!A7)</f>
        <v>0</v>
      </c>
    </row>
    <row r="556" spans="1:10" ht="15.75" thickBot="1" x14ac:dyDescent="0.3"/>
    <row r="557" spans="1:10" ht="15.75" thickTop="1" x14ac:dyDescent="0.25">
      <c r="A557" s="172"/>
      <c r="B557" s="172"/>
      <c r="C557" s="172"/>
      <c r="D557" s="172"/>
      <c r="E557" s="172"/>
      <c r="F557" s="172"/>
      <c r="G557" s="172"/>
    </row>
    <row r="558" spans="1:10" x14ac:dyDescent="0.25">
      <c r="A558" s="131" t="s">
        <v>44</v>
      </c>
      <c r="B558" s="174" t="s">
        <v>2</v>
      </c>
      <c r="C558" s="174"/>
      <c r="D558" s="174"/>
      <c r="E558" s="174"/>
      <c r="F558" s="174"/>
      <c r="G558" s="174"/>
      <c r="H558" s="174"/>
      <c r="I558" s="174"/>
      <c r="J558" s="174"/>
    </row>
    <row r="559" spans="1:10" x14ac:dyDescent="0.25">
      <c r="A559" s="134" t="s">
        <v>173</v>
      </c>
      <c r="B559" s="175" t="s">
        <v>47</v>
      </c>
      <c r="C559" s="176"/>
      <c r="D559" s="176"/>
      <c r="E559" s="176"/>
      <c r="F559" s="176"/>
      <c r="G559" s="176"/>
      <c r="H559" s="176"/>
      <c r="I559" s="176"/>
      <c r="J559" s="176"/>
    </row>
    <row r="560" spans="1:10" x14ac:dyDescent="0.25">
      <c r="A560" s="134" t="s">
        <v>45</v>
      </c>
      <c r="B560" s="176" t="s">
        <v>46</v>
      </c>
      <c r="C560" s="176"/>
      <c r="D560" s="176"/>
      <c r="E560" s="176"/>
      <c r="F560" s="176"/>
      <c r="G560" s="176"/>
      <c r="H560" s="176"/>
      <c r="I560" s="176"/>
      <c r="J560" s="176"/>
    </row>
    <row r="561" spans="1:10" x14ac:dyDescent="0.25">
      <c r="A561" s="135" t="s">
        <v>171</v>
      </c>
      <c r="B561" s="177" t="s">
        <v>437</v>
      </c>
      <c r="C561" s="177"/>
      <c r="D561" s="177"/>
      <c r="E561" s="177"/>
      <c r="F561" s="177"/>
      <c r="G561" s="177"/>
      <c r="H561" s="177"/>
      <c r="I561" s="177"/>
      <c r="J561" s="177"/>
    </row>
    <row r="562" spans="1:10" x14ac:dyDescent="0.25">
      <c r="A562" s="134" t="s">
        <v>172</v>
      </c>
      <c r="B562" s="171" t="s">
        <v>52</v>
      </c>
      <c r="C562" s="171"/>
      <c r="D562" s="171"/>
      <c r="E562" s="171"/>
      <c r="F562" s="171"/>
      <c r="G562" s="171"/>
      <c r="H562" s="171"/>
      <c r="I562" s="171"/>
      <c r="J562" s="171"/>
    </row>
    <row r="563" spans="1:10" x14ac:dyDescent="0.25">
      <c r="A563" s="130"/>
      <c r="B563" s="130"/>
      <c r="C563" s="130"/>
      <c r="D563" s="130"/>
      <c r="E563" s="130"/>
      <c r="F563" s="130"/>
      <c r="G563" s="130"/>
    </row>
  </sheetData>
  <sheetProtection password="BD42" sheet="1" objects="1" scenarios="1"/>
  <mergeCells count="58">
    <mergeCell ref="B561:J561"/>
    <mergeCell ref="B562:J562"/>
    <mergeCell ref="A183:A197"/>
    <mergeCell ref="A336:B336"/>
    <mergeCell ref="B558:J558"/>
    <mergeCell ref="B559:J559"/>
    <mergeCell ref="B560:J560"/>
    <mergeCell ref="A293:A307"/>
    <mergeCell ref="A292:B292"/>
    <mergeCell ref="A271:A285"/>
    <mergeCell ref="A270:B270"/>
    <mergeCell ref="A249:A263"/>
    <mergeCell ref="A359:A373"/>
    <mergeCell ref="A358:B358"/>
    <mergeCell ref="A337:A351"/>
    <mergeCell ref="A315:A329"/>
    <mergeCell ref="A403:A417"/>
    <mergeCell ref="A424:B424"/>
    <mergeCell ref="A402:B402"/>
    <mergeCell ref="A381:A395"/>
    <mergeCell ref="A380:B380"/>
    <mergeCell ref="A116:B116"/>
    <mergeCell ref="A138:B138"/>
    <mergeCell ref="A160:B160"/>
    <mergeCell ref="A182:B182"/>
    <mergeCell ref="A535:A549"/>
    <mergeCell ref="A534:B534"/>
    <mergeCell ref="A513:A527"/>
    <mergeCell ref="A491:A505"/>
    <mergeCell ref="A490:B490"/>
    <mergeCell ref="A512:B512"/>
    <mergeCell ref="A469:A483"/>
    <mergeCell ref="A468:B468"/>
    <mergeCell ref="A447:A461"/>
    <mergeCell ref="A446:B446"/>
    <mergeCell ref="A425:A439"/>
    <mergeCell ref="A314:B314"/>
    <mergeCell ref="A6:B6"/>
    <mergeCell ref="A27:C27"/>
    <mergeCell ref="A1:D2"/>
    <mergeCell ref="A557:G557"/>
    <mergeCell ref="A95:A109"/>
    <mergeCell ref="A117:A131"/>
    <mergeCell ref="A139:A153"/>
    <mergeCell ref="A161:A175"/>
    <mergeCell ref="A205:A219"/>
    <mergeCell ref="A204:B204"/>
    <mergeCell ref="A227:A241"/>
    <mergeCell ref="A226:B226"/>
    <mergeCell ref="A248:B248"/>
    <mergeCell ref="A28:B28"/>
    <mergeCell ref="A29:A43"/>
    <mergeCell ref="A94:B94"/>
    <mergeCell ref="A50:B50"/>
    <mergeCell ref="A51:A65"/>
    <mergeCell ref="A73:A87"/>
    <mergeCell ref="A72:B72"/>
    <mergeCell ref="A7:A21"/>
  </mergeCells>
  <dataValidations count="1">
    <dataValidation type="list" allowBlank="1" showInputMessage="1" showErrorMessage="1" sqref="C115 D22 C469:C483 D44 C491:C505 D66 C7:C21 D88 C29:C43 D110 C51:C65 D132 C535:C549 D154 C73:C87 D176 C117:C131 D198 C139:C153 D220 C161:C175 D242 C95:C109 D264 C183:C197 D286 C227:C241 D308 C205:C219 D330 C271:C285 D352 C249:C263 D374 C293:C307 D396 C337:C351 D418 C359:C373 D440 C315:C329 D462 C381:C395 D484 C403:C417 D506 C447:C461 D528 C425:C439 D550 C513:C527">
      <formula1>Cumple</formula1>
    </dataValidation>
  </dataValidations>
  <hyperlinks>
    <hyperlink ref="A7:A21" r:id="rId1" display="http://www.w3.org/TR/UNDERSTANDING-WCAG20/text-equiv-all.html"/>
    <hyperlink ref="A51:A65" r:id="rId2" display="http://www.w3.org/TR/UNDERSTANDING-WCAG20/media-equiv-captions.html"/>
    <hyperlink ref="A73:A87" r:id="rId3" display="http://www.w3.org/TR/UNDERSTANDING-WCAG20/media-equiv-audio-desc.html"/>
    <hyperlink ref="A95:A109" r:id="rId4" display="http://www.w3.org/TR/UNDERSTANDING-WCAG20/content-structure-separation-programmatic.html"/>
    <hyperlink ref="A117:A131" r:id="rId5" display="http://www.w3.org/TR/UNDERSTANDING-WCAG20/content-structure-separation-sequence.html"/>
    <hyperlink ref="A139:A153" r:id="rId6" display="http://www.w3.org/TR/UNDERSTANDING-WCAG20/content-structure-separation-understanding.html"/>
    <hyperlink ref="B560" r:id="rId7"/>
    <hyperlink ref="B559" r:id="rId8"/>
    <hyperlink ref="A161:A175" r:id="rId9" display="http://www.w3.org/TR/UNDERSTANDING-WCAG20/visual-audio-contrast-without-color.html"/>
    <hyperlink ref="A183:A197" r:id="rId10" display="http://www.w3.org/TR/UNDERSTANDING-WCAG20/visual-audio-contrast-dis-audio.html"/>
    <hyperlink ref="A205:A219" r:id="rId11" display="http://www.w3.org/TR/UNDERSTANDING-WCAG20/keyboard-operation-keyboard-operable.html"/>
    <hyperlink ref="A227:A241" r:id="rId12" display="http://www.w3.org/TR/UNDERSTANDING-WCAG20/keyboard-operation-trapping.html"/>
    <hyperlink ref="A249:A263" r:id="rId13" display="http://www.w3.org/TR/UNDERSTANDING-WCAG20/time-limits-required-behaviors.html"/>
    <hyperlink ref="A271:A285" r:id="rId14" display="http://www.w3.org/TR/UNDERSTANDING-WCAG20/time-limits-pause.html"/>
    <hyperlink ref="A293:A307" r:id="rId15" display="http://www.w3.org/TR/UNDERSTANDING-WCAG20/seizure-does-not-violate.html"/>
    <hyperlink ref="A315:A329" r:id="rId16" display="http://www.w3.org/TR/UNDERSTANDING-WCAG20/navigation-mechanisms-skip.html"/>
    <hyperlink ref="A337:A351" r:id="rId17" display="http://www.w3.org/TR/UNDERSTANDING-WCAG20/navigation-mechanisms-title.html"/>
    <hyperlink ref="A359:A373" r:id="rId18" display="http://www.w3.org/TR/UNDERSTANDING-WCAG20/navigation-mechanisms-focus-order.html"/>
    <hyperlink ref="A381:A395" r:id="rId19" display="http://www.w3.org/TR/UNDERSTANDING-WCAG20/navigation-mechanisms-refs.html"/>
    <hyperlink ref="A403:A417" r:id="rId20" display="http://www.w3.org/TR/UNDERSTANDING-WCAG20/meaning-doc-lang-id.html"/>
    <hyperlink ref="A425:A439" r:id="rId21" display="http://www.w3.org/TR/UNDERSTANDING-WCAG20/consistent-behavior-receive-focus.html"/>
    <hyperlink ref="A447:A461" r:id="rId22" display="http://www.w3.org/TR/UNDERSTANDING-WCAG20/consistent-behavior-unpredictable-change.html"/>
    <hyperlink ref="A469:A483" r:id="rId23" display="http://www.w3.org/TR/UNDERSTANDING-WCAG20/minimize-error-identified.html"/>
    <hyperlink ref="A491:A505" r:id="rId24" display="http://www.w3.org/TR/UNDERSTANDING-WCAG20/minimize-error-cues.html"/>
    <hyperlink ref="A513:A527" r:id="rId25" display="http://www.w3.org/TR/UNDERSTANDING-WCAG20/ensure-compat-parses.html"/>
    <hyperlink ref="A535:A549" r:id="rId26" display="http://www.w3.org/TR/UNDERSTANDING-WCAG20/ensure-compat-rsv.html"/>
    <hyperlink ref="A29:A43" r:id="rId27" display="http://www.w3.org/TR/UNDERSTANDING-WCAG20/media-equiv-av-only-alt.html"/>
    <hyperlink ref="E5" r:id="rId28"/>
    <hyperlink ref="E17" r:id="rId29" display="http://olgacarreras.blogspot.com.es/2014/07/textos-alternativos-imagenes-accesibles.html"/>
    <hyperlink ref="E537" r:id="rId30" location="aria"/>
  </hyperlinks>
  <pageMargins left="0.7" right="0.7" top="0.75" bottom="0.75" header="0.3" footer="0.3"/>
  <pageSetup paperSize="9" orientation="portrait" r:id="rId31"/>
  <extLst>
    <ext xmlns:x14="http://schemas.microsoft.com/office/spreadsheetml/2009/9/main" uri="{78C0D931-6437-407d-A8EE-F0AAD7539E65}">
      <x14:conditionalFormattings>
        <x14:conditionalFormatting xmlns:xm="http://schemas.microsoft.com/office/excel/2006/main">
          <x14:cfRule type="cellIs" priority="133" operator="equal" id="{33A996D4-36A1-4AFA-9598-41D575AFFA65}">
            <xm:f>Hoja4!$A$5</xm:f>
            <x14:dxf>
              <fill>
                <patternFill>
                  <bgColor rgb="FF92D050"/>
                </patternFill>
              </fill>
            </x14:dxf>
          </x14:cfRule>
          <x14:cfRule type="cellIs" priority="134" operator="equal" id="{02DB3353-FFEF-4AE2-84BD-D56C00A480E5}">
            <xm:f>Hoja4!$A$6</xm:f>
            <x14:dxf>
              <fill>
                <patternFill>
                  <bgColor rgb="FFFF0000"/>
                </patternFill>
              </fill>
            </x14:dxf>
          </x14:cfRule>
          <x14:cfRule type="cellIs" priority="135" operator="equal" id="{DF7A931B-60BD-49D5-B683-1B20FA9C1DF1}">
            <xm:f>Hoja4!$A$7</xm:f>
            <x14:dxf>
              <fill>
                <patternFill>
                  <bgColor rgb="FFFFFF00"/>
                </patternFill>
              </fill>
            </x14:dxf>
          </x14:cfRule>
          <xm:sqref>C29:D29 C51:D51 C73:D73 C95:D95 C117:D117 B23:D23 A24 D27 B24:C26 B46:C48 D70 B68:C70 B90:C92 C115:D115 B112:C114 B134:C136 C139:D139 C535:D535 C513:D513 C491:D491 C469:D469 C447:D447 C425:D425 C403:D403 C381:D381 C359:D359 C337:D337 C315:D315 C293:D293 C271:D271 C249:D249 C227:D227 C205:D205 C183:D183 C161:D161 C49:D49 C71:D71 C93:D93 C137:D137 B156:B158 B552:C554 B530:C532 B508:C510 B486:C488 B464:C466 B442:C444 B420:B422 B398:B400 B376:B378 B354:B356 B332:B334 B310:B312 B288:B290 B266:B268 B244:B246 B222:B224 B200:B202 B178:B180 C22:D22 C43:D45 C66:D66 C88:D89 C110:D111 C132:D133 C154:D159 C176:D181 C198:D203 C220:D225 C242:D247 C264:D269 C286:D291 C308:D313 C330:D335 C352:D357 C374:D379 C396:D401 C418:D423 C440:D440 D451:D462 D473:D484 C506:D506 C550:D550 D11:D21 D33:D42 D55:D65 D77:D87 D99:D109 D121:D131 D143:D153 D165:D175 D187:D197 D209:D219 D231:D241 D253:D263 D275:D285 D297:D307 D319:D329 D341:D351 D363:D373 D407:D417 D429:D439 C528:D528 D539:D549 C7:C21 C30:C43 C52:C65 C96:C109 D385:D395 D517:D527 C536:C549 C74:C87 C118:C131 D495:D505 C140:C153 C161:C175 C184:C197 C206:C219 C228:C241 C250:C263 C272:C285 C294:C307 C316:C329 C338:C351 C360:C373 C382:C395 C404:C417 C426:C439 C448:C462 C470:C484 C492:C505 C514:C527</xm:sqref>
        </x14:conditionalFormatting>
        <x14:conditionalFormatting xmlns:xm="http://schemas.microsoft.com/office/excel/2006/main">
          <x14:cfRule type="cellIs" priority="130" operator="equal" id="{11317827-F038-449D-89C6-10A9EC0102E9}">
            <xm:f>Hoja4!$A$5</xm:f>
            <x14:dxf>
              <fill>
                <patternFill>
                  <bgColor rgb="FF92D050"/>
                </patternFill>
              </fill>
            </x14:dxf>
          </x14:cfRule>
          <x14:cfRule type="cellIs" priority="131" operator="equal" id="{469CA697-0A21-4EFD-A980-12740ED2C633}">
            <xm:f>Hoja4!$A$6</xm:f>
            <x14:dxf>
              <fill>
                <patternFill>
                  <bgColor rgb="FFFF0000"/>
                </patternFill>
              </fill>
            </x14:dxf>
          </x14:cfRule>
          <x14:cfRule type="cellIs" priority="132" operator="equal" id="{080FA13A-140B-4D65-8580-8D2EF938311F}">
            <xm:f>Hoja4!$A$7</xm:f>
            <x14:dxf>
              <fill>
                <patternFill>
                  <bgColor rgb="FFFFFF00"/>
                </patternFill>
              </fill>
            </x14:dxf>
          </x14:cfRule>
          <xm:sqref>D441:D445</xm:sqref>
        </x14:conditionalFormatting>
        <x14:conditionalFormatting xmlns:xm="http://schemas.microsoft.com/office/excel/2006/main">
          <x14:cfRule type="cellIs" priority="127" operator="equal" id="{97C8AFAC-34A5-4C85-8190-14622FC74FFE}">
            <xm:f>Hoja4!$A$5</xm:f>
            <x14:dxf>
              <fill>
                <patternFill>
                  <bgColor rgb="FF92D050"/>
                </patternFill>
              </fill>
            </x14:dxf>
          </x14:cfRule>
          <x14:cfRule type="cellIs" priority="128" operator="equal" id="{600F75D0-FA68-406F-B6BF-B3F98E25EC38}">
            <xm:f>Hoja4!$A$6</xm:f>
            <x14:dxf>
              <fill>
                <patternFill>
                  <bgColor rgb="FFFF0000"/>
                </patternFill>
              </fill>
            </x14:dxf>
          </x14:cfRule>
          <x14:cfRule type="cellIs" priority="129" operator="equal" id="{DBC9A04A-D565-4B05-8925-5C288D920C40}">
            <xm:f>Hoja4!$A$7</xm:f>
            <x14:dxf>
              <fill>
                <patternFill>
                  <bgColor rgb="FFFFFF00"/>
                </patternFill>
              </fill>
            </x14:dxf>
          </x14:cfRule>
          <xm:sqref>D463:D467</xm:sqref>
        </x14:conditionalFormatting>
        <x14:conditionalFormatting xmlns:xm="http://schemas.microsoft.com/office/excel/2006/main">
          <x14:cfRule type="cellIs" priority="124" operator="equal" id="{12E95F6D-946B-4E01-9486-EB2899C28580}">
            <xm:f>Hoja4!$A$5</xm:f>
            <x14:dxf>
              <fill>
                <patternFill>
                  <bgColor rgb="FF92D050"/>
                </patternFill>
              </fill>
            </x14:dxf>
          </x14:cfRule>
          <x14:cfRule type="cellIs" priority="125" operator="equal" id="{32336A1D-E5B2-4D98-90AC-3B232525FD93}">
            <xm:f>Hoja4!$A$6</xm:f>
            <x14:dxf>
              <fill>
                <patternFill>
                  <bgColor rgb="FFFF0000"/>
                </patternFill>
              </fill>
            </x14:dxf>
          </x14:cfRule>
          <x14:cfRule type="cellIs" priority="126" operator="equal" id="{1A243A20-9A72-4950-8DFA-647BAE6051B9}">
            <xm:f>Hoja4!$A$7</xm:f>
            <x14:dxf>
              <fill>
                <patternFill>
                  <bgColor rgb="FFFFFF00"/>
                </patternFill>
              </fill>
            </x14:dxf>
          </x14:cfRule>
          <xm:sqref>D485:D489</xm:sqref>
        </x14:conditionalFormatting>
        <x14:conditionalFormatting xmlns:xm="http://schemas.microsoft.com/office/excel/2006/main">
          <x14:cfRule type="cellIs" priority="121" operator="equal" id="{DAD0C859-1BDE-4438-97F7-89AAB3539C2F}">
            <xm:f>Hoja4!$A$5</xm:f>
            <x14:dxf>
              <fill>
                <patternFill>
                  <bgColor rgb="FF92D050"/>
                </patternFill>
              </fill>
            </x14:dxf>
          </x14:cfRule>
          <x14:cfRule type="cellIs" priority="122" operator="equal" id="{562E9ED7-1872-4547-B7F0-0DFFA90B106B}">
            <xm:f>Hoja4!$A$6</xm:f>
            <x14:dxf>
              <fill>
                <patternFill>
                  <bgColor rgb="FFFF0000"/>
                </patternFill>
              </fill>
            </x14:dxf>
          </x14:cfRule>
          <x14:cfRule type="cellIs" priority="123" operator="equal" id="{B7DA9A03-E94D-43C5-ADFD-91815C507FA4}">
            <xm:f>Hoja4!$A$7</xm:f>
            <x14:dxf>
              <fill>
                <patternFill>
                  <bgColor rgb="FFFFFF00"/>
                </patternFill>
              </fill>
            </x14:dxf>
          </x14:cfRule>
          <xm:sqref>D507:D511</xm:sqref>
        </x14:conditionalFormatting>
        <x14:conditionalFormatting xmlns:xm="http://schemas.microsoft.com/office/excel/2006/main">
          <x14:cfRule type="cellIs" priority="118" operator="equal" id="{FFFD9B2A-E2E1-461E-8F09-A07B907DA2CB}">
            <xm:f>Hoja4!$A$5</xm:f>
            <x14:dxf>
              <fill>
                <patternFill>
                  <bgColor rgb="FF92D050"/>
                </patternFill>
              </fill>
            </x14:dxf>
          </x14:cfRule>
          <x14:cfRule type="cellIs" priority="119" operator="equal" id="{8F65D072-BA36-4ECC-8385-627BD721FF2E}">
            <xm:f>Hoja4!$A$6</xm:f>
            <x14:dxf>
              <fill>
                <patternFill>
                  <bgColor rgb="FFFF0000"/>
                </patternFill>
              </fill>
            </x14:dxf>
          </x14:cfRule>
          <x14:cfRule type="cellIs" priority="120" operator="equal" id="{002249EF-EFEA-4D89-8D83-ABA6204DE9EC}">
            <xm:f>Hoja4!$A$7</xm:f>
            <x14:dxf>
              <fill>
                <patternFill>
                  <bgColor rgb="FFFFFF00"/>
                </patternFill>
              </fill>
            </x14:dxf>
          </x14:cfRule>
          <xm:sqref>D529:D533</xm:sqref>
        </x14:conditionalFormatting>
        <x14:conditionalFormatting xmlns:xm="http://schemas.microsoft.com/office/excel/2006/main">
          <x14:cfRule type="cellIs" priority="112" operator="equal" id="{58A477CF-C0D6-484B-993C-119C20E061D6}">
            <xm:f>Hoja4!$A$5</xm:f>
            <x14:dxf>
              <fill>
                <patternFill>
                  <bgColor rgb="FF92D050"/>
                </patternFill>
              </fill>
            </x14:dxf>
          </x14:cfRule>
          <x14:cfRule type="cellIs" priority="113" operator="equal" id="{E2B155AF-87F5-40AE-BCF3-D7C8FE7DAB70}">
            <xm:f>Hoja4!$A$6</xm:f>
            <x14:dxf>
              <fill>
                <patternFill>
                  <bgColor rgb="FFFF0000"/>
                </patternFill>
              </fill>
            </x14:dxf>
          </x14:cfRule>
          <x14:cfRule type="cellIs" priority="114" operator="equal" id="{EAC0B3CA-926F-4F00-AA9D-3C0D539D72EF}">
            <xm:f>Hoja4!$A$7</xm:f>
            <x14:dxf>
              <fill>
                <patternFill>
                  <bgColor rgb="FFFFFF00"/>
                </patternFill>
              </fill>
            </x14:dxf>
          </x14:cfRule>
          <xm:sqref>A46</xm:sqref>
        </x14:conditionalFormatting>
        <x14:conditionalFormatting xmlns:xm="http://schemas.microsoft.com/office/excel/2006/main">
          <x14:cfRule type="cellIs" priority="109" operator="equal" id="{FBE1D5C1-14B1-4D01-AE69-58C6DC34531A}">
            <xm:f>Hoja4!$A$5</xm:f>
            <x14:dxf>
              <fill>
                <patternFill>
                  <bgColor rgb="FF92D050"/>
                </patternFill>
              </fill>
            </x14:dxf>
          </x14:cfRule>
          <x14:cfRule type="cellIs" priority="110" operator="equal" id="{6E1C2D30-0C23-44E0-A020-E026CA1CBC99}">
            <xm:f>Hoja4!$A$6</xm:f>
            <x14:dxf>
              <fill>
                <patternFill>
                  <bgColor rgb="FFFF0000"/>
                </patternFill>
              </fill>
            </x14:dxf>
          </x14:cfRule>
          <x14:cfRule type="cellIs" priority="111" operator="equal" id="{AA35C1D1-860F-4C3C-95CB-60279B4A250C}">
            <xm:f>Hoja4!$A$7</xm:f>
            <x14:dxf>
              <fill>
                <patternFill>
                  <bgColor rgb="FFFFFF00"/>
                </patternFill>
              </fill>
            </x14:dxf>
          </x14:cfRule>
          <xm:sqref>A68</xm:sqref>
        </x14:conditionalFormatting>
        <x14:conditionalFormatting xmlns:xm="http://schemas.microsoft.com/office/excel/2006/main">
          <x14:cfRule type="cellIs" priority="106" operator="equal" id="{6DBF0F80-B9AD-43FA-B04D-9B881584D0C9}">
            <xm:f>Hoja4!$A$5</xm:f>
            <x14:dxf>
              <fill>
                <patternFill>
                  <bgColor rgb="FF92D050"/>
                </patternFill>
              </fill>
            </x14:dxf>
          </x14:cfRule>
          <x14:cfRule type="cellIs" priority="107" operator="equal" id="{BE0535E6-2405-4390-BD7D-48FAB70E1BAE}">
            <xm:f>Hoja4!$A$6</xm:f>
            <x14:dxf>
              <fill>
                <patternFill>
                  <bgColor rgb="FFFF0000"/>
                </patternFill>
              </fill>
            </x14:dxf>
          </x14:cfRule>
          <x14:cfRule type="cellIs" priority="108" operator="equal" id="{2834D0E1-CA29-4C59-8E07-B0574DFBDE95}">
            <xm:f>Hoja4!$A$7</xm:f>
            <x14:dxf>
              <fill>
                <patternFill>
                  <bgColor rgb="FFFFFF00"/>
                </patternFill>
              </fill>
            </x14:dxf>
          </x14:cfRule>
          <xm:sqref>A90</xm:sqref>
        </x14:conditionalFormatting>
        <x14:conditionalFormatting xmlns:xm="http://schemas.microsoft.com/office/excel/2006/main">
          <x14:cfRule type="cellIs" priority="103" operator="equal" id="{570DBF0B-91E3-4DFB-B07F-412C377DE82F}">
            <xm:f>Hoja4!$A$5</xm:f>
            <x14:dxf>
              <fill>
                <patternFill>
                  <bgColor rgb="FF92D050"/>
                </patternFill>
              </fill>
            </x14:dxf>
          </x14:cfRule>
          <x14:cfRule type="cellIs" priority="104" operator="equal" id="{A5E2B4E1-4606-4561-B479-44B6F9ADBD52}">
            <xm:f>Hoja4!$A$6</xm:f>
            <x14:dxf>
              <fill>
                <patternFill>
                  <bgColor rgb="FFFF0000"/>
                </patternFill>
              </fill>
            </x14:dxf>
          </x14:cfRule>
          <x14:cfRule type="cellIs" priority="105" operator="equal" id="{261560B7-AD16-4079-A3CE-7D572C5872FD}">
            <xm:f>Hoja4!$A$7</xm:f>
            <x14:dxf>
              <fill>
                <patternFill>
                  <bgColor rgb="FFFFFF00"/>
                </patternFill>
              </fill>
            </x14:dxf>
          </x14:cfRule>
          <xm:sqref>A112</xm:sqref>
        </x14:conditionalFormatting>
        <x14:conditionalFormatting xmlns:xm="http://schemas.microsoft.com/office/excel/2006/main">
          <x14:cfRule type="cellIs" priority="100" operator="equal" id="{443824C5-E050-41AF-A9B0-3093C2BB6E3F}">
            <xm:f>Hoja4!$A$5</xm:f>
            <x14:dxf>
              <fill>
                <patternFill>
                  <bgColor rgb="FF92D050"/>
                </patternFill>
              </fill>
            </x14:dxf>
          </x14:cfRule>
          <x14:cfRule type="cellIs" priority="101" operator="equal" id="{7A689AEE-1D8F-4487-B492-6B7FA2AF5B97}">
            <xm:f>Hoja4!$A$6</xm:f>
            <x14:dxf>
              <fill>
                <patternFill>
                  <bgColor rgb="FFFF0000"/>
                </patternFill>
              </fill>
            </x14:dxf>
          </x14:cfRule>
          <x14:cfRule type="cellIs" priority="102" operator="equal" id="{4EBCE62D-D84D-40E0-A256-87E34DA4F97C}">
            <xm:f>Hoja4!$A$7</xm:f>
            <x14:dxf>
              <fill>
                <patternFill>
                  <bgColor rgb="FFFFFF00"/>
                </patternFill>
              </fill>
            </x14:dxf>
          </x14:cfRule>
          <xm:sqref>A133</xm:sqref>
        </x14:conditionalFormatting>
        <x14:conditionalFormatting xmlns:xm="http://schemas.microsoft.com/office/excel/2006/main">
          <x14:cfRule type="cellIs" priority="97" operator="equal" id="{F6410C80-84F0-4F5C-8C2D-4E436C273201}">
            <xm:f>Hoja4!$A$5</xm:f>
            <x14:dxf>
              <fill>
                <patternFill>
                  <bgColor rgb="FF92D050"/>
                </patternFill>
              </fill>
            </x14:dxf>
          </x14:cfRule>
          <x14:cfRule type="cellIs" priority="98" operator="equal" id="{F3ABC12D-0289-4256-B8AA-4D5A3FA2302C}">
            <xm:f>Hoja4!$A$6</xm:f>
            <x14:dxf>
              <fill>
                <patternFill>
                  <bgColor rgb="FFFF0000"/>
                </patternFill>
              </fill>
            </x14:dxf>
          </x14:cfRule>
          <x14:cfRule type="cellIs" priority="99" operator="equal" id="{8701FC74-B4A4-436E-BF08-F166DC1B74D4}">
            <xm:f>Hoja4!$A$7</xm:f>
            <x14:dxf>
              <fill>
                <patternFill>
                  <bgColor rgb="FFFFFF00"/>
                </patternFill>
              </fill>
            </x14:dxf>
          </x14:cfRule>
          <xm:sqref>A134</xm:sqref>
        </x14:conditionalFormatting>
        <x14:conditionalFormatting xmlns:xm="http://schemas.microsoft.com/office/excel/2006/main">
          <x14:cfRule type="cellIs" priority="94" operator="equal" id="{D39DCFE1-FD92-40B1-95E5-7170F5AC0C60}">
            <xm:f>Hoja4!$A$5</xm:f>
            <x14:dxf>
              <fill>
                <patternFill>
                  <bgColor rgb="FF92D050"/>
                </patternFill>
              </fill>
            </x14:dxf>
          </x14:cfRule>
          <x14:cfRule type="cellIs" priority="95" operator="equal" id="{3CCD02DB-8808-4428-938C-C4439B731E83}">
            <xm:f>Hoja4!$A$6</xm:f>
            <x14:dxf>
              <fill>
                <patternFill>
                  <bgColor rgb="FFFF0000"/>
                </patternFill>
              </fill>
            </x14:dxf>
          </x14:cfRule>
          <x14:cfRule type="cellIs" priority="96" operator="equal" id="{8AA6B58E-8522-4DA7-92BE-7337D24C90A5}">
            <xm:f>Hoja4!$A$7</xm:f>
            <x14:dxf>
              <fill>
                <patternFill>
                  <bgColor rgb="FFFFFF00"/>
                </patternFill>
              </fill>
            </x14:dxf>
          </x14:cfRule>
          <xm:sqref>A156</xm:sqref>
        </x14:conditionalFormatting>
        <x14:conditionalFormatting xmlns:xm="http://schemas.microsoft.com/office/excel/2006/main">
          <x14:cfRule type="cellIs" priority="91" operator="equal" id="{099E279B-C3B3-4A86-8756-EDAC0F5D026B}">
            <xm:f>Hoja4!$A$5</xm:f>
            <x14:dxf>
              <fill>
                <patternFill>
                  <bgColor rgb="FF92D050"/>
                </patternFill>
              </fill>
            </x14:dxf>
          </x14:cfRule>
          <x14:cfRule type="cellIs" priority="92" operator="equal" id="{417A816D-ED0E-4896-BFF5-8C50C441E0D1}">
            <xm:f>Hoja4!$A$6</xm:f>
            <x14:dxf>
              <fill>
                <patternFill>
                  <bgColor rgb="FFFF0000"/>
                </patternFill>
              </fill>
            </x14:dxf>
          </x14:cfRule>
          <x14:cfRule type="cellIs" priority="93" operator="equal" id="{286DB9E6-6374-4B4B-A87F-B82A1AD21C75}">
            <xm:f>Hoja4!$A$7</xm:f>
            <x14:dxf>
              <fill>
                <patternFill>
                  <bgColor rgb="FFFFFF00"/>
                </patternFill>
              </fill>
            </x14:dxf>
          </x14:cfRule>
          <xm:sqref>A178</xm:sqref>
        </x14:conditionalFormatting>
        <x14:conditionalFormatting xmlns:xm="http://schemas.microsoft.com/office/excel/2006/main">
          <x14:cfRule type="cellIs" priority="88" operator="equal" id="{B7B5F82D-AF01-4E0B-B5CD-612D1B3A1579}">
            <xm:f>Hoja4!$A$5</xm:f>
            <x14:dxf>
              <fill>
                <patternFill>
                  <bgColor rgb="FF92D050"/>
                </patternFill>
              </fill>
            </x14:dxf>
          </x14:cfRule>
          <x14:cfRule type="cellIs" priority="89" operator="equal" id="{81C617F5-F83D-430C-AD7D-024896CAD9A9}">
            <xm:f>Hoja4!$A$6</xm:f>
            <x14:dxf>
              <fill>
                <patternFill>
                  <bgColor rgb="FFFF0000"/>
                </patternFill>
              </fill>
            </x14:dxf>
          </x14:cfRule>
          <x14:cfRule type="cellIs" priority="90" operator="equal" id="{F8DC538F-0511-4427-8DB8-B06DEA0A065E}">
            <xm:f>Hoja4!$A$7</xm:f>
            <x14:dxf>
              <fill>
                <patternFill>
                  <bgColor rgb="FFFFFF00"/>
                </patternFill>
              </fill>
            </x14:dxf>
          </x14:cfRule>
          <xm:sqref>A200</xm:sqref>
        </x14:conditionalFormatting>
        <x14:conditionalFormatting xmlns:xm="http://schemas.microsoft.com/office/excel/2006/main">
          <x14:cfRule type="cellIs" priority="85" operator="equal" id="{F01F3C75-DEE6-49C1-8340-A0273AD017CD}">
            <xm:f>Hoja4!$A$5</xm:f>
            <x14:dxf>
              <fill>
                <patternFill>
                  <bgColor rgb="FF92D050"/>
                </patternFill>
              </fill>
            </x14:dxf>
          </x14:cfRule>
          <x14:cfRule type="cellIs" priority="86" operator="equal" id="{1401A869-A395-421A-9532-19DC4E079D88}">
            <xm:f>Hoja4!$A$6</xm:f>
            <x14:dxf>
              <fill>
                <patternFill>
                  <bgColor rgb="FFFF0000"/>
                </patternFill>
              </fill>
            </x14:dxf>
          </x14:cfRule>
          <x14:cfRule type="cellIs" priority="87" operator="equal" id="{20556223-480F-42B5-A824-5402E4F77AB5}">
            <xm:f>Hoja4!$A$7</xm:f>
            <x14:dxf>
              <fill>
                <patternFill>
                  <bgColor rgb="FFFFFF00"/>
                </patternFill>
              </fill>
            </x14:dxf>
          </x14:cfRule>
          <xm:sqref>A222</xm:sqref>
        </x14:conditionalFormatting>
        <x14:conditionalFormatting xmlns:xm="http://schemas.microsoft.com/office/excel/2006/main">
          <x14:cfRule type="cellIs" priority="82" operator="equal" id="{77303E91-AE07-406F-88AC-69E213B10C58}">
            <xm:f>Hoja4!$A$5</xm:f>
            <x14:dxf>
              <fill>
                <patternFill>
                  <bgColor rgb="FF92D050"/>
                </patternFill>
              </fill>
            </x14:dxf>
          </x14:cfRule>
          <x14:cfRule type="cellIs" priority="83" operator="equal" id="{F1ED472E-BF0E-4353-96BC-26917CF3FB10}">
            <xm:f>Hoja4!$A$6</xm:f>
            <x14:dxf>
              <fill>
                <patternFill>
                  <bgColor rgb="FFFF0000"/>
                </patternFill>
              </fill>
            </x14:dxf>
          </x14:cfRule>
          <x14:cfRule type="cellIs" priority="84" operator="equal" id="{F5751A0B-2946-4840-A5AE-4EEBD63CF164}">
            <xm:f>Hoja4!$A$7</xm:f>
            <x14:dxf>
              <fill>
                <patternFill>
                  <bgColor rgb="FFFFFF00"/>
                </patternFill>
              </fill>
            </x14:dxf>
          </x14:cfRule>
          <xm:sqref>A244</xm:sqref>
        </x14:conditionalFormatting>
        <x14:conditionalFormatting xmlns:xm="http://schemas.microsoft.com/office/excel/2006/main">
          <x14:cfRule type="cellIs" priority="79" operator="equal" id="{33D6C219-5E4E-47DF-9914-359DA8DE156F}">
            <xm:f>Hoja4!$A$5</xm:f>
            <x14:dxf>
              <fill>
                <patternFill>
                  <bgColor rgb="FF92D050"/>
                </patternFill>
              </fill>
            </x14:dxf>
          </x14:cfRule>
          <x14:cfRule type="cellIs" priority="80" operator="equal" id="{6D1EAC7A-DBD4-46D5-835C-DBD684314648}">
            <xm:f>Hoja4!$A$6</xm:f>
            <x14:dxf>
              <fill>
                <patternFill>
                  <bgColor rgb="FFFF0000"/>
                </patternFill>
              </fill>
            </x14:dxf>
          </x14:cfRule>
          <x14:cfRule type="cellIs" priority="81" operator="equal" id="{BF61C012-5EF3-4A6F-8C07-63D8D735BFF2}">
            <xm:f>Hoja4!$A$7</xm:f>
            <x14:dxf>
              <fill>
                <patternFill>
                  <bgColor rgb="FFFFFF00"/>
                </patternFill>
              </fill>
            </x14:dxf>
          </x14:cfRule>
          <xm:sqref>A266</xm:sqref>
        </x14:conditionalFormatting>
        <x14:conditionalFormatting xmlns:xm="http://schemas.microsoft.com/office/excel/2006/main">
          <x14:cfRule type="cellIs" priority="76" operator="equal" id="{A0BDFB22-7D36-4504-A75D-51D3102207F1}">
            <xm:f>Hoja4!$A$5</xm:f>
            <x14:dxf>
              <fill>
                <patternFill>
                  <bgColor rgb="FF92D050"/>
                </patternFill>
              </fill>
            </x14:dxf>
          </x14:cfRule>
          <x14:cfRule type="cellIs" priority="77" operator="equal" id="{F2072C00-1030-4460-8763-B2B52B7660A0}">
            <xm:f>Hoja4!$A$6</xm:f>
            <x14:dxf>
              <fill>
                <patternFill>
                  <bgColor rgb="FFFF0000"/>
                </patternFill>
              </fill>
            </x14:dxf>
          </x14:cfRule>
          <x14:cfRule type="cellIs" priority="78" operator="equal" id="{1F315E58-698C-4380-865E-75A07501D0E7}">
            <xm:f>Hoja4!$A$7</xm:f>
            <x14:dxf>
              <fill>
                <patternFill>
                  <bgColor rgb="FFFFFF00"/>
                </patternFill>
              </fill>
            </x14:dxf>
          </x14:cfRule>
          <xm:sqref>A288</xm:sqref>
        </x14:conditionalFormatting>
        <x14:conditionalFormatting xmlns:xm="http://schemas.microsoft.com/office/excel/2006/main">
          <x14:cfRule type="cellIs" priority="73" operator="equal" id="{8897B6DD-E72F-4777-B516-130C93033B88}">
            <xm:f>Hoja4!$A$5</xm:f>
            <x14:dxf>
              <fill>
                <patternFill>
                  <bgColor rgb="FF92D050"/>
                </patternFill>
              </fill>
            </x14:dxf>
          </x14:cfRule>
          <x14:cfRule type="cellIs" priority="74" operator="equal" id="{809641E5-A6F7-4877-912F-07075335111B}">
            <xm:f>Hoja4!$A$6</xm:f>
            <x14:dxf>
              <fill>
                <patternFill>
                  <bgColor rgb="FFFF0000"/>
                </patternFill>
              </fill>
            </x14:dxf>
          </x14:cfRule>
          <x14:cfRule type="cellIs" priority="75" operator="equal" id="{52A7D543-0ED6-46A7-AA68-E2FF58FEC263}">
            <xm:f>Hoja4!$A$7</xm:f>
            <x14:dxf>
              <fill>
                <patternFill>
                  <bgColor rgb="FFFFFF00"/>
                </patternFill>
              </fill>
            </x14:dxf>
          </x14:cfRule>
          <xm:sqref>A310</xm:sqref>
        </x14:conditionalFormatting>
        <x14:conditionalFormatting xmlns:xm="http://schemas.microsoft.com/office/excel/2006/main">
          <x14:cfRule type="cellIs" priority="70" operator="equal" id="{5B1D6C10-DAA4-4F95-AA05-90B562BF656D}">
            <xm:f>Hoja4!$A$5</xm:f>
            <x14:dxf>
              <fill>
                <patternFill>
                  <bgColor rgb="FF92D050"/>
                </patternFill>
              </fill>
            </x14:dxf>
          </x14:cfRule>
          <x14:cfRule type="cellIs" priority="71" operator="equal" id="{A1D7B0A4-1111-468C-8343-4C4E0B0393B9}">
            <xm:f>Hoja4!$A$6</xm:f>
            <x14:dxf>
              <fill>
                <patternFill>
                  <bgColor rgb="FFFF0000"/>
                </patternFill>
              </fill>
            </x14:dxf>
          </x14:cfRule>
          <x14:cfRule type="cellIs" priority="72" operator="equal" id="{1501C137-99A8-48EC-92BD-1E3EDB69A670}">
            <xm:f>Hoja4!$A$7</xm:f>
            <x14:dxf>
              <fill>
                <patternFill>
                  <bgColor rgb="FFFFFF00"/>
                </patternFill>
              </fill>
            </x14:dxf>
          </x14:cfRule>
          <xm:sqref>A332</xm:sqref>
        </x14:conditionalFormatting>
        <x14:conditionalFormatting xmlns:xm="http://schemas.microsoft.com/office/excel/2006/main">
          <x14:cfRule type="cellIs" priority="67" operator="equal" id="{5A6024DA-6233-4071-B074-A5D1A23F97EC}">
            <xm:f>Hoja4!$A$5</xm:f>
            <x14:dxf>
              <fill>
                <patternFill>
                  <bgColor rgb="FF92D050"/>
                </patternFill>
              </fill>
            </x14:dxf>
          </x14:cfRule>
          <x14:cfRule type="cellIs" priority="68" operator="equal" id="{E862FE41-0C26-43E0-ABD8-4619795F33C8}">
            <xm:f>Hoja4!$A$6</xm:f>
            <x14:dxf>
              <fill>
                <patternFill>
                  <bgColor rgb="FFFF0000"/>
                </patternFill>
              </fill>
            </x14:dxf>
          </x14:cfRule>
          <x14:cfRule type="cellIs" priority="69" operator="equal" id="{92A2C531-6C61-42BB-ACB3-04E920E2EC5A}">
            <xm:f>Hoja4!$A$7</xm:f>
            <x14:dxf>
              <fill>
                <patternFill>
                  <bgColor rgb="FFFFFF00"/>
                </patternFill>
              </fill>
            </x14:dxf>
          </x14:cfRule>
          <xm:sqref>A354</xm:sqref>
        </x14:conditionalFormatting>
        <x14:conditionalFormatting xmlns:xm="http://schemas.microsoft.com/office/excel/2006/main">
          <x14:cfRule type="cellIs" priority="64" operator="equal" id="{CB8DF8E0-B8F2-4008-AFAC-2C90529C2311}">
            <xm:f>Hoja4!$A$5</xm:f>
            <x14:dxf>
              <fill>
                <patternFill>
                  <bgColor rgb="FF92D050"/>
                </patternFill>
              </fill>
            </x14:dxf>
          </x14:cfRule>
          <x14:cfRule type="cellIs" priority="65" operator="equal" id="{33AD92F3-2D1C-493A-BF16-84AC268BB9E2}">
            <xm:f>Hoja4!$A$6</xm:f>
            <x14:dxf>
              <fill>
                <patternFill>
                  <bgColor rgb="FFFF0000"/>
                </patternFill>
              </fill>
            </x14:dxf>
          </x14:cfRule>
          <x14:cfRule type="cellIs" priority="66" operator="equal" id="{D0DC2D51-C823-422B-86EA-1E0C5B9FC05A}">
            <xm:f>Hoja4!$A$7</xm:f>
            <x14:dxf>
              <fill>
                <patternFill>
                  <bgColor rgb="FFFFFF00"/>
                </patternFill>
              </fill>
            </x14:dxf>
          </x14:cfRule>
          <xm:sqref>A376</xm:sqref>
        </x14:conditionalFormatting>
        <x14:conditionalFormatting xmlns:xm="http://schemas.microsoft.com/office/excel/2006/main">
          <x14:cfRule type="cellIs" priority="61" operator="equal" id="{4A89A8F1-15A4-410B-AAE6-D5D1BBB176D6}">
            <xm:f>Hoja4!$A$5</xm:f>
            <x14:dxf>
              <fill>
                <patternFill>
                  <bgColor rgb="FF92D050"/>
                </patternFill>
              </fill>
            </x14:dxf>
          </x14:cfRule>
          <x14:cfRule type="cellIs" priority="62" operator="equal" id="{ABD43DEB-BF0D-4312-AD37-D281AE35C9E3}">
            <xm:f>Hoja4!$A$6</xm:f>
            <x14:dxf>
              <fill>
                <patternFill>
                  <bgColor rgb="FFFF0000"/>
                </patternFill>
              </fill>
            </x14:dxf>
          </x14:cfRule>
          <x14:cfRule type="cellIs" priority="63" operator="equal" id="{C322DB18-944D-44FB-AC05-F15C014AD754}">
            <xm:f>Hoja4!$A$7</xm:f>
            <x14:dxf>
              <fill>
                <patternFill>
                  <bgColor rgb="FFFFFF00"/>
                </patternFill>
              </fill>
            </x14:dxf>
          </x14:cfRule>
          <xm:sqref>A398</xm:sqref>
        </x14:conditionalFormatting>
        <x14:conditionalFormatting xmlns:xm="http://schemas.microsoft.com/office/excel/2006/main">
          <x14:cfRule type="cellIs" priority="58" operator="equal" id="{45CF3823-DE71-4B88-8637-47FD3DAA263F}">
            <xm:f>Hoja4!$A$5</xm:f>
            <x14:dxf>
              <fill>
                <patternFill>
                  <bgColor rgb="FF92D050"/>
                </patternFill>
              </fill>
            </x14:dxf>
          </x14:cfRule>
          <x14:cfRule type="cellIs" priority="59" operator="equal" id="{B202DAE3-F330-4033-9D83-2C8EA468D3B0}">
            <xm:f>Hoja4!$A$6</xm:f>
            <x14:dxf>
              <fill>
                <patternFill>
                  <bgColor rgb="FFFF0000"/>
                </patternFill>
              </fill>
            </x14:dxf>
          </x14:cfRule>
          <x14:cfRule type="cellIs" priority="60" operator="equal" id="{FD125F9C-2B86-42FA-A942-D4AE5498F798}">
            <xm:f>Hoja4!$A$7</xm:f>
            <x14:dxf>
              <fill>
                <patternFill>
                  <bgColor rgb="FFFFFF00"/>
                </patternFill>
              </fill>
            </x14:dxf>
          </x14:cfRule>
          <xm:sqref>A420</xm:sqref>
        </x14:conditionalFormatting>
        <x14:conditionalFormatting xmlns:xm="http://schemas.microsoft.com/office/excel/2006/main">
          <x14:cfRule type="cellIs" priority="55" operator="equal" id="{5829D801-238C-4A08-9F80-5790FA16BF90}">
            <xm:f>Hoja4!$A$5</xm:f>
            <x14:dxf>
              <fill>
                <patternFill>
                  <bgColor rgb="FF92D050"/>
                </patternFill>
              </fill>
            </x14:dxf>
          </x14:cfRule>
          <x14:cfRule type="cellIs" priority="56" operator="equal" id="{465AEB88-2D7C-46F3-8400-CC3D56F5D87D}">
            <xm:f>Hoja4!$A$6</xm:f>
            <x14:dxf>
              <fill>
                <patternFill>
                  <bgColor rgb="FFFF0000"/>
                </patternFill>
              </fill>
            </x14:dxf>
          </x14:cfRule>
          <x14:cfRule type="cellIs" priority="57" operator="equal" id="{1C5FA936-F1CB-4998-8939-C1809D895E08}">
            <xm:f>Hoja4!$A$7</xm:f>
            <x14:dxf>
              <fill>
                <patternFill>
                  <bgColor rgb="FFFFFF00"/>
                </patternFill>
              </fill>
            </x14:dxf>
          </x14:cfRule>
          <xm:sqref>A442</xm:sqref>
        </x14:conditionalFormatting>
        <x14:conditionalFormatting xmlns:xm="http://schemas.microsoft.com/office/excel/2006/main">
          <x14:cfRule type="cellIs" priority="52" operator="equal" id="{313224A8-F3CE-49FB-8C6D-CDC6CC245CC1}">
            <xm:f>Hoja4!$A$5</xm:f>
            <x14:dxf>
              <fill>
                <patternFill>
                  <bgColor rgb="FF92D050"/>
                </patternFill>
              </fill>
            </x14:dxf>
          </x14:cfRule>
          <x14:cfRule type="cellIs" priority="53" operator="equal" id="{883F9E51-DEB4-4CEA-962C-772749141B66}">
            <xm:f>Hoja4!$A$6</xm:f>
            <x14:dxf>
              <fill>
                <patternFill>
                  <bgColor rgb="FFFF0000"/>
                </patternFill>
              </fill>
            </x14:dxf>
          </x14:cfRule>
          <x14:cfRule type="cellIs" priority="54" operator="equal" id="{1684864B-5A5A-4615-8EC0-DDD793E5F52D}">
            <xm:f>Hoja4!$A$7</xm:f>
            <x14:dxf>
              <fill>
                <patternFill>
                  <bgColor rgb="FFFFFF00"/>
                </patternFill>
              </fill>
            </x14:dxf>
          </x14:cfRule>
          <xm:sqref>A464</xm:sqref>
        </x14:conditionalFormatting>
        <x14:conditionalFormatting xmlns:xm="http://schemas.microsoft.com/office/excel/2006/main">
          <x14:cfRule type="cellIs" priority="49" operator="equal" id="{AA123A43-B41F-4AAB-9EAB-302F1858320C}">
            <xm:f>Hoja4!$A$5</xm:f>
            <x14:dxf>
              <fill>
                <patternFill>
                  <bgColor rgb="FF92D050"/>
                </patternFill>
              </fill>
            </x14:dxf>
          </x14:cfRule>
          <x14:cfRule type="cellIs" priority="50" operator="equal" id="{4BBD9462-EF42-4ECA-A214-5F3F95F43F2A}">
            <xm:f>Hoja4!$A$6</xm:f>
            <x14:dxf>
              <fill>
                <patternFill>
                  <bgColor rgb="FFFF0000"/>
                </patternFill>
              </fill>
            </x14:dxf>
          </x14:cfRule>
          <x14:cfRule type="cellIs" priority="51" operator="equal" id="{98DACD9C-83BA-415D-A765-13FA49FBC97B}">
            <xm:f>Hoja4!$A$7</xm:f>
            <x14:dxf>
              <fill>
                <patternFill>
                  <bgColor rgb="FFFFFF00"/>
                </patternFill>
              </fill>
            </x14:dxf>
          </x14:cfRule>
          <xm:sqref>A486</xm:sqref>
        </x14:conditionalFormatting>
        <x14:conditionalFormatting xmlns:xm="http://schemas.microsoft.com/office/excel/2006/main">
          <x14:cfRule type="cellIs" priority="46" operator="equal" id="{8825E7C2-89B7-4832-9907-4DEC52DFE6E9}">
            <xm:f>Hoja4!$A$5</xm:f>
            <x14:dxf>
              <fill>
                <patternFill>
                  <bgColor rgb="FF92D050"/>
                </patternFill>
              </fill>
            </x14:dxf>
          </x14:cfRule>
          <x14:cfRule type="cellIs" priority="47" operator="equal" id="{0857940A-36FA-44C5-A47F-408E07C964DC}">
            <xm:f>Hoja4!$A$6</xm:f>
            <x14:dxf>
              <fill>
                <patternFill>
                  <bgColor rgb="FFFF0000"/>
                </patternFill>
              </fill>
            </x14:dxf>
          </x14:cfRule>
          <x14:cfRule type="cellIs" priority="48" operator="equal" id="{37C46358-24E4-485D-A2A3-545FA8267B1C}">
            <xm:f>Hoja4!$A$7</xm:f>
            <x14:dxf>
              <fill>
                <patternFill>
                  <bgColor rgb="FFFFFF00"/>
                </patternFill>
              </fill>
            </x14:dxf>
          </x14:cfRule>
          <xm:sqref>A508</xm:sqref>
        </x14:conditionalFormatting>
        <x14:conditionalFormatting xmlns:xm="http://schemas.microsoft.com/office/excel/2006/main">
          <x14:cfRule type="cellIs" priority="43" operator="equal" id="{C2F0E03E-E93D-4C9D-91E5-865C1D0B4657}">
            <xm:f>Hoja4!$A$5</xm:f>
            <x14:dxf>
              <fill>
                <patternFill>
                  <bgColor rgb="FF92D050"/>
                </patternFill>
              </fill>
            </x14:dxf>
          </x14:cfRule>
          <x14:cfRule type="cellIs" priority="44" operator="equal" id="{01673DD0-DF4C-4EF9-93D6-706A9A178129}">
            <xm:f>Hoja4!$A$6</xm:f>
            <x14:dxf>
              <fill>
                <patternFill>
                  <bgColor rgb="FFFF0000"/>
                </patternFill>
              </fill>
            </x14:dxf>
          </x14:cfRule>
          <x14:cfRule type="cellIs" priority="45" operator="equal" id="{586ABF9E-6EBD-4B5E-9C8B-2131ECFAAF10}">
            <xm:f>Hoja4!$A$7</xm:f>
            <x14:dxf>
              <fill>
                <patternFill>
                  <bgColor rgb="FFFFFF00"/>
                </patternFill>
              </fill>
            </x14:dxf>
          </x14:cfRule>
          <xm:sqref>A530</xm:sqref>
        </x14:conditionalFormatting>
        <x14:conditionalFormatting xmlns:xm="http://schemas.microsoft.com/office/excel/2006/main">
          <x14:cfRule type="cellIs" priority="40" operator="equal" id="{91AA07C6-8495-4AD5-A64D-FADD725E75E6}">
            <xm:f>Hoja4!$A$5</xm:f>
            <x14:dxf>
              <fill>
                <patternFill>
                  <bgColor rgb="FF92D050"/>
                </patternFill>
              </fill>
            </x14:dxf>
          </x14:cfRule>
          <x14:cfRule type="cellIs" priority="41" operator="equal" id="{9A2DD720-79AF-4FD3-A3C5-AA76A3DC84B1}">
            <xm:f>Hoja4!$A$6</xm:f>
            <x14:dxf>
              <fill>
                <patternFill>
                  <bgColor rgb="FFFF0000"/>
                </patternFill>
              </fill>
            </x14:dxf>
          </x14:cfRule>
          <x14:cfRule type="cellIs" priority="42" operator="equal" id="{4B39D29E-1BF6-4448-AEB4-FAE09EB7A23A}">
            <xm:f>Hoja4!$A$7</xm:f>
            <x14:dxf>
              <fill>
                <patternFill>
                  <bgColor rgb="FFFFFF00"/>
                </patternFill>
              </fill>
            </x14:dxf>
          </x14:cfRule>
          <xm:sqref>A552</xm:sqref>
        </x14:conditionalFormatting>
        <x14:conditionalFormatting xmlns:xm="http://schemas.microsoft.com/office/excel/2006/main">
          <x14:cfRule type="cellIs" priority="37" operator="equal" id="{056A5425-9F85-479B-A80A-2C0DB0780D41}">
            <xm:f>Hoja4!$A$5</xm:f>
            <x14:dxf>
              <fill>
                <patternFill>
                  <bgColor rgb="FF92D050"/>
                </patternFill>
              </fill>
            </x14:dxf>
          </x14:cfRule>
          <x14:cfRule type="cellIs" priority="38" operator="equal" id="{568FA33A-82CF-4741-8121-995AD0A2F692}">
            <xm:f>Hoja4!$A$6</xm:f>
            <x14:dxf>
              <fill>
                <patternFill>
                  <bgColor rgb="FFFF0000"/>
                </patternFill>
              </fill>
            </x14:dxf>
          </x14:cfRule>
          <x14:cfRule type="cellIs" priority="39" operator="equal" id="{3AA9406E-2B86-4994-8FB3-129ED6EBB547}">
            <xm:f>Hoja4!$A$7</xm:f>
            <x14:dxf>
              <fill>
                <patternFill>
                  <bgColor rgb="FFFFFF00"/>
                </patternFill>
              </fill>
            </x14:dxf>
          </x14:cfRule>
          <xm:sqref>B397</xm:sqref>
        </x14:conditionalFormatting>
        <x14:conditionalFormatting xmlns:xm="http://schemas.microsoft.com/office/excel/2006/main">
          <x14:cfRule type="cellIs" priority="34" operator="equal" id="{25217680-08D5-4AA3-818F-FD669F95C52E}">
            <xm:f>Hoja4!$A$5</xm:f>
            <x14:dxf>
              <fill>
                <patternFill>
                  <bgColor rgb="FF92D050"/>
                </patternFill>
              </fill>
            </x14:dxf>
          </x14:cfRule>
          <x14:cfRule type="cellIs" priority="35" operator="equal" id="{163B45AC-C29E-4157-9D9E-BCCB84A8F717}">
            <xm:f>Hoja4!$A$6</xm:f>
            <x14:dxf>
              <fill>
                <patternFill>
                  <bgColor rgb="FFFF0000"/>
                </patternFill>
              </fill>
            </x14:dxf>
          </x14:cfRule>
          <x14:cfRule type="cellIs" priority="36" operator="equal" id="{01A92DA0-F6F8-45D5-B06D-FBF48BF6FF4A}">
            <xm:f>Hoja4!$A$7</xm:f>
            <x14:dxf>
              <fill>
                <patternFill>
                  <bgColor rgb="FFFFFF00"/>
                </patternFill>
              </fill>
            </x14:dxf>
          </x14:cfRule>
          <xm:sqref>C67</xm:sqref>
        </x14:conditionalFormatting>
        <x14:conditionalFormatting xmlns:xm="http://schemas.microsoft.com/office/excel/2006/main">
          <x14:cfRule type="cellIs" priority="31" operator="equal" id="{9DA4AAA2-2E2B-4527-90E0-910941D44B45}">
            <xm:f>Hoja4!$A$5</xm:f>
            <x14:dxf>
              <fill>
                <patternFill>
                  <bgColor rgb="FF92D050"/>
                </patternFill>
              </fill>
            </x14:dxf>
          </x14:cfRule>
          <x14:cfRule type="cellIs" priority="32" operator="equal" id="{CFC1B8F0-0133-4158-951E-17ACCFDF31A5}">
            <xm:f>Hoja4!$A$6</xm:f>
            <x14:dxf>
              <fill>
                <patternFill>
                  <bgColor rgb="FFFF0000"/>
                </patternFill>
              </fill>
            </x14:dxf>
          </x14:cfRule>
          <x14:cfRule type="cellIs" priority="33" operator="equal" id="{8D7132B8-13D0-45CA-8FE3-731133B29D8F}">
            <xm:f>Hoja4!$A$7</xm:f>
            <x14:dxf>
              <fill>
                <patternFill>
                  <bgColor rgb="FFFFFF00"/>
                </patternFill>
              </fill>
            </x14:dxf>
          </x14:cfRule>
          <xm:sqref>C441</xm:sqref>
        </x14:conditionalFormatting>
        <x14:conditionalFormatting xmlns:xm="http://schemas.microsoft.com/office/excel/2006/main">
          <x14:cfRule type="cellIs" priority="28" operator="equal" id="{FA19FF5E-6CB0-4BEB-8C05-5EBF55918D1C}">
            <xm:f>Hoja4!$A$5</xm:f>
            <x14:dxf>
              <fill>
                <patternFill>
                  <bgColor rgb="FF92D050"/>
                </patternFill>
              </fill>
            </x14:dxf>
          </x14:cfRule>
          <x14:cfRule type="cellIs" priority="29" operator="equal" id="{5ABF878C-FB46-4FD0-B2BB-2650358B24EB}">
            <xm:f>Hoja4!$A$6</xm:f>
            <x14:dxf>
              <fill>
                <patternFill>
                  <bgColor rgb="FFFF0000"/>
                </patternFill>
              </fill>
            </x14:dxf>
          </x14:cfRule>
          <x14:cfRule type="cellIs" priority="30" operator="equal" id="{F2E50115-78E7-464D-BD9B-E5FDBE4AB112}">
            <xm:f>Hoja4!$A$7</xm:f>
            <x14:dxf>
              <fill>
                <patternFill>
                  <bgColor rgb="FFFFFF00"/>
                </patternFill>
              </fill>
            </x14:dxf>
          </x14:cfRule>
          <xm:sqref>C445</xm:sqref>
        </x14:conditionalFormatting>
        <x14:conditionalFormatting xmlns:xm="http://schemas.microsoft.com/office/excel/2006/main">
          <x14:cfRule type="cellIs" priority="25" operator="equal" id="{08A93DDA-5D9A-441E-B5FA-01237D27E07C}">
            <xm:f>Hoja4!$A$5</xm:f>
            <x14:dxf>
              <fill>
                <patternFill>
                  <bgColor rgb="FF92D050"/>
                </patternFill>
              </fill>
            </x14:dxf>
          </x14:cfRule>
          <x14:cfRule type="cellIs" priority="26" operator="equal" id="{3666FBAD-E95A-49D2-A979-497BBF6571C0}">
            <xm:f>Hoja4!$A$6</xm:f>
            <x14:dxf>
              <fill>
                <patternFill>
                  <bgColor rgb="FFFF0000"/>
                </patternFill>
              </fill>
            </x14:dxf>
          </x14:cfRule>
          <x14:cfRule type="cellIs" priority="27" operator="equal" id="{A473871D-D4C3-4DBC-BF23-CB7821E2B9CA}">
            <xm:f>Hoja4!$A$7</xm:f>
            <x14:dxf>
              <fill>
                <patternFill>
                  <bgColor rgb="FFFFFF00"/>
                </patternFill>
              </fill>
            </x14:dxf>
          </x14:cfRule>
          <xm:sqref>C463</xm:sqref>
        </x14:conditionalFormatting>
        <x14:conditionalFormatting xmlns:xm="http://schemas.microsoft.com/office/excel/2006/main">
          <x14:cfRule type="cellIs" priority="22" operator="equal" id="{9367D3A3-225D-45A8-A503-1444DA63A7A3}">
            <xm:f>Hoja4!$A$5</xm:f>
            <x14:dxf>
              <fill>
                <patternFill>
                  <bgColor rgb="FF92D050"/>
                </patternFill>
              </fill>
            </x14:dxf>
          </x14:cfRule>
          <x14:cfRule type="cellIs" priority="23" operator="equal" id="{0C74E337-14CA-478C-8E7F-CC7A614BD3BE}">
            <xm:f>Hoja4!$A$6</xm:f>
            <x14:dxf>
              <fill>
                <patternFill>
                  <bgColor rgb="FFFF0000"/>
                </patternFill>
              </fill>
            </x14:dxf>
          </x14:cfRule>
          <x14:cfRule type="cellIs" priority="24" operator="equal" id="{8A2C9061-BAA3-4E2F-9B52-015C94F64520}">
            <xm:f>Hoja4!$A$7</xm:f>
            <x14:dxf>
              <fill>
                <patternFill>
                  <bgColor rgb="FFFFFF00"/>
                </patternFill>
              </fill>
            </x14:dxf>
          </x14:cfRule>
          <xm:sqref>C467</xm:sqref>
        </x14:conditionalFormatting>
        <x14:conditionalFormatting xmlns:xm="http://schemas.microsoft.com/office/excel/2006/main">
          <x14:cfRule type="cellIs" priority="19" operator="equal" id="{8ABA1A86-32BC-49A2-913C-8D0B9AF5EBE8}">
            <xm:f>Hoja4!$A$5</xm:f>
            <x14:dxf>
              <fill>
                <patternFill>
                  <bgColor rgb="FF92D050"/>
                </patternFill>
              </fill>
            </x14:dxf>
          </x14:cfRule>
          <x14:cfRule type="cellIs" priority="20" operator="equal" id="{308E1C17-DDA4-46A0-B7B9-3C2CA4E1843A}">
            <xm:f>Hoja4!$A$6</xm:f>
            <x14:dxf>
              <fill>
                <patternFill>
                  <bgColor rgb="FFFF0000"/>
                </patternFill>
              </fill>
            </x14:dxf>
          </x14:cfRule>
          <x14:cfRule type="cellIs" priority="21" operator="equal" id="{3CA1A3D3-947B-4040-AA93-338E1486EC4F}">
            <xm:f>Hoja4!$A$7</xm:f>
            <x14:dxf>
              <fill>
                <patternFill>
                  <bgColor rgb="FFFFFF00"/>
                </patternFill>
              </fill>
            </x14:dxf>
          </x14:cfRule>
          <xm:sqref>C485</xm:sqref>
        </x14:conditionalFormatting>
        <x14:conditionalFormatting xmlns:xm="http://schemas.microsoft.com/office/excel/2006/main">
          <x14:cfRule type="cellIs" priority="16" operator="equal" id="{BADC0A25-EF0E-4EA5-B10E-24F333DBEB09}">
            <xm:f>Hoja4!$A$5</xm:f>
            <x14:dxf>
              <fill>
                <patternFill>
                  <bgColor rgb="FF92D050"/>
                </patternFill>
              </fill>
            </x14:dxf>
          </x14:cfRule>
          <x14:cfRule type="cellIs" priority="17" operator="equal" id="{7128BF06-F58D-4F1F-9565-FB1F8F1D9441}">
            <xm:f>Hoja4!$A$6</xm:f>
            <x14:dxf>
              <fill>
                <patternFill>
                  <bgColor rgb="FFFF0000"/>
                </patternFill>
              </fill>
            </x14:dxf>
          </x14:cfRule>
          <x14:cfRule type="cellIs" priority="18" operator="equal" id="{464491E8-508A-49C3-A11F-4B490E21C6C5}">
            <xm:f>Hoja4!$A$7</xm:f>
            <x14:dxf>
              <fill>
                <patternFill>
                  <bgColor rgb="FFFFFF00"/>
                </patternFill>
              </fill>
            </x14:dxf>
          </x14:cfRule>
          <xm:sqref>C489</xm:sqref>
        </x14:conditionalFormatting>
        <x14:conditionalFormatting xmlns:xm="http://schemas.microsoft.com/office/excel/2006/main">
          <x14:cfRule type="cellIs" priority="13" operator="equal" id="{373FD977-5EFA-4762-8FAF-5B5902C2946A}">
            <xm:f>Hoja4!$A$5</xm:f>
            <x14:dxf>
              <fill>
                <patternFill>
                  <bgColor rgb="FF92D050"/>
                </patternFill>
              </fill>
            </x14:dxf>
          </x14:cfRule>
          <x14:cfRule type="cellIs" priority="14" operator="equal" id="{722F2044-48EB-4597-B605-FD59F3F24A5F}">
            <xm:f>Hoja4!$A$6</xm:f>
            <x14:dxf>
              <fill>
                <patternFill>
                  <bgColor rgb="FFFF0000"/>
                </patternFill>
              </fill>
            </x14:dxf>
          </x14:cfRule>
          <x14:cfRule type="cellIs" priority="15" operator="equal" id="{1F3A0C4B-68CB-4813-9A84-AAA395E15276}">
            <xm:f>Hoja4!$A$7</xm:f>
            <x14:dxf>
              <fill>
                <patternFill>
                  <bgColor rgb="FFFFFF00"/>
                </patternFill>
              </fill>
            </x14:dxf>
          </x14:cfRule>
          <xm:sqref>C507</xm:sqref>
        </x14:conditionalFormatting>
        <x14:conditionalFormatting xmlns:xm="http://schemas.microsoft.com/office/excel/2006/main">
          <x14:cfRule type="cellIs" priority="10" operator="equal" id="{4C5A26C2-5949-4265-9A9F-44874205D87A}">
            <xm:f>Hoja4!$A$5</xm:f>
            <x14:dxf>
              <fill>
                <patternFill>
                  <bgColor rgb="FF92D050"/>
                </patternFill>
              </fill>
            </x14:dxf>
          </x14:cfRule>
          <x14:cfRule type="cellIs" priority="11" operator="equal" id="{FE429B86-18B1-4D87-8642-D1131BBAF778}">
            <xm:f>Hoja4!$A$6</xm:f>
            <x14:dxf>
              <fill>
                <patternFill>
                  <bgColor rgb="FFFF0000"/>
                </patternFill>
              </fill>
            </x14:dxf>
          </x14:cfRule>
          <x14:cfRule type="cellIs" priority="12" operator="equal" id="{D4D7A77F-CD81-455A-BB4B-F4FF16D9321A}">
            <xm:f>Hoja4!$A$7</xm:f>
            <x14:dxf>
              <fill>
                <patternFill>
                  <bgColor rgb="FFFFFF00"/>
                </patternFill>
              </fill>
            </x14:dxf>
          </x14:cfRule>
          <xm:sqref>C511</xm:sqref>
        </x14:conditionalFormatting>
        <x14:conditionalFormatting xmlns:xm="http://schemas.microsoft.com/office/excel/2006/main">
          <x14:cfRule type="cellIs" priority="7" operator="equal" id="{19562E54-CAB4-4E4E-9915-B9681E7C848B}">
            <xm:f>Hoja4!$A$5</xm:f>
            <x14:dxf>
              <fill>
                <patternFill>
                  <bgColor rgb="FF92D050"/>
                </patternFill>
              </fill>
            </x14:dxf>
          </x14:cfRule>
          <x14:cfRule type="cellIs" priority="8" operator="equal" id="{DB06EECB-4855-4657-812D-254FFCDF5C6D}">
            <xm:f>Hoja4!$A$6</xm:f>
            <x14:dxf>
              <fill>
                <patternFill>
                  <bgColor rgb="FFFF0000"/>
                </patternFill>
              </fill>
            </x14:dxf>
          </x14:cfRule>
          <x14:cfRule type="cellIs" priority="9" operator="equal" id="{AB27870A-6749-431C-AB4D-3C12F6D0AAF7}">
            <xm:f>Hoja4!$A$7</xm:f>
            <x14:dxf>
              <fill>
                <patternFill>
                  <bgColor rgb="FFFFFF00"/>
                </patternFill>
              </fill>
            </x14:dxf>
          </x14:cfRule>
          <xm:sqref>C529</xm:sqref>
        </x14:conditionalFormatting>
        <x14:conditionalFormatting xmlns:xm="http://schemas.microsoft.com/office/excel/2006/main">
          <x14:cfRule type="cellIs" priority="4" operator="equal" id="{3798BF1B-BE5D-41CB-8524-CF4DF4BF10D0}">
            <xm:f>Hoja4!$A$5</xm:f>
            <x14:dxf>
              <fill>
                <patternFill>
                  <bgColor rgb="FF92D050"/>
                </patternFill>
              </fill>
            </x14:dxf>
          </x14:cfRule>
          <x14:cfRule type="cellIs" priority="5" operator="equal" id="{3209F1A6-A3AC-4A50-8906-0227E56C2C4F}">
            <xm:f>Hoja4!$A$6</xm:f>
            <x14:dxf>
              <fill>
                <patternFill>
                  <bgColor rgb="FFFF0000"/>
                </patternFill>
              </fill>
            </x14:dxf>
          </x14:cfRule>
          <x14:cfRule type="cellIs" priority="6" operator="equal" id="{440D2791-86ED-433A-888A-9AE67715836F}">
            <xm:f>Hoja4!$A$7</xm:f>
            <x14:dxf>
              <fill>
                <patternFill>
                  <bgColor rgb="FFFFFF00"/>
                </patternFill>
              </fill>
            </x14:dxf>
          </x14:cfRule>
          <xm:sqref>C533</xm:sqref>
        </x14:conditionalFormatting>
        <x14:conditionalFormatting xmlns:xm="http://schemas.microsoft.com/office/excel/2006/main">
          <x14:cfRule type="cellIs" priority="1" operator="equal" id="{4583D681-AC1F-4C2C-8C08-0A0162271C46}">
            <xm:f>Hoja4!$A$5</xm:f>
            <x14:dxf>
              <fill>
                <patternFill>
                  <bgColor rgb="FF92D050"/>
                </patternFill>
              </fill>
            </x14:dxf>
          </x14:cfRule>
          <x14:cfRule type="cellIs" priority="2" operator="equal" id="{2844759B-7078-4D30-83AC-FF54D38240E9}">
            <xm:f>Hoja4!$A$6</xm:f>
            <x14:dxf>
              <fill>
                <patternFill>
                  <bgColor rgb="FFFF0000"/>
                </patternFill>
              </fill>
            </x14:dxf>
          </x14:cfRule>
          <x14:cfRule type="cellIs" priority="3" operator="equal" id="{FC222063-E338-431C-BCDD-0F4F0D9B6CFD}">
            <xm:f>Hoja4!$A$7</xm:f>
            <x14:dxf>
              <fill>
                <patternFill>
                  <bgColor rgb="FFFFFF00"/>
                </patternFill>
              </fill>
            </x14:dxf>
          </x14:cfRule>
          <xm:sqref>C551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election activeCell="C10" sqref="C10"/>
    </sheetView>
  </sheetViews>
  <sheetFormatPr baseColWidth="10" defaultRowHeight="15" x14ac:dyDescent="0.25"/>
  <cols>
    <col min="1" max="1" width="43.25" customWidth="1"/>
    <col min="3" max="3" width="25.875" customWidth="1"/>
    <col min="4" max="4" width="13.125" customWidth="1"/>
    <col min="5" max="5" width="25.25" customWidth="1"/>
    <col min="6" max="6" width="11.375" customWidth="1"/>
    <col min="7" max="7" width="17.25" customWidth="1"/>
    <col min="8" max="8" width="29.625" customWidth="1"/>
    <col min="9" max="9" width="32.625" customWidth="1"/>
  </cols>
  <sheetData>
    <row r="1" spans="1:9" s="8" customFormat="1" ht="28.5" customHeight="1" x14ac:dyDescent="0.25">
      <c r="A1" s="189" t="s">
        <v>170</v>
      </c>
      <c r="B1" s="189"/>
      <c r="C1" s="189"/>
      <c r="D1" s="189"/>
      <c r="H1" s="8" t="s">
        <v>358</v>
      </c>
    </row>
    <row r="2" spans="1:9" s="8" customFormat="1" ht="15" customHeight="1" x14ac:dyDescent="0.25">
      <c r="A2" s="189"/>
      <c r="B2" s="189"/>
      <c r="C2" s="189"/>
      <c r="D2" s="189"/>
    </row>
    <row r="3" spans="1:9" s="8" customFormat="1" ht="23.25" x14ac:dyDescent="0.25">
      <c r="A3" s="31" t="s">
        <v>305</v>
      </c>
    </row>
    <row r="4" spans="1:9" s="8" customFormat="1" x14ac:dyDescent="0.25"/>
    <row r="5" spans="1:9" s="8" customFormat="1" ht="246.75" customHeight="1" x14ac:dyDescent="0.25">
      <c r="G5" s="40" t="s">
        <v>306</v>
      </c>
    </row>
    <row r="7" spans="1:9" ht="18.75" x14ac:dyDescent="0.3">
      <c r="A7" s="41" t="s">
        <v>307</v>
      </c>
      <c r="B7" s="42"/>
      <c r="C7" s="42"/>
      <c r="D7" s="42"/>
      <c r="E7" s="42"/>
      <c r="F7" s="42"/>
      <c r="G7" s="1"/>
      <c r="H7" s="1"/>
    </row>
    <row r="8" spans="1:9" ht="40.5" customHeight="1" x14ac:dyDescent="0.3">
      <c r="A8" s="50" t="s">
        <v>308</v>
      </c>
      <c r="B8" s="42"/>
      <c r="C8" s="42"/>
      <c r="D8" s="42"/>
      <c r="E8" s="42"/>
      <c r="F8" s="42"/>
      <c r="G8" s="1"/>
      <c r="H8" s="1"/>
    </row>
    <row r="9" spans="1:9" ht="18.75" x14ac:dyDescent="0.3">
      <c r="A9" s="41" t="s">
        <v>153</v>
      </c>
      <c r="B9" s="43">
        <v>25</v>
      </c>
      <c r="C9" s="42"/>
      <c r="D9" s="42"/>
      <c r="E9" s="58" t="s">
        <v>26</v>
      </c>
      <c r="F9" s="42"/>
      <c r="G9" s="1"/>
      <c r="H9" s="1"/>
    </row>
    <row r="10" spans="1:9" ht="18.75" x14ac:dyDescent="0.3">
      <c r="A10" s="44" t="s">
        <v>154</v>
      </c>
      <c r="B10" s="45">
        <f>COUNTIF('3. Evaluación Nivel A'!D22:D550,Hoja4!A5)</f>
        <v>0</v>
      </c>
      <c r="C10" s="46" t="s">
        <v>29</v>
      </c>
      <c r="D10" s="47">
        <f>B10*100/B9</f>
        <v>0</v>
      </c>
      <c r="E10" s="48">
        <f>IF(ISERROR((B10*100)/(B9-B12)),0,(B10*100)/(B9-B12))</f>
        <v>0</v>
      </c>
      <c r="F10" s="42"/>
      <c r="G10" s="1"/>
      <c r="H10" s="1"/>
    </row>
    <row r="11" spans="1:9" ht="18.75" x14ac:dyDescent="0.3">
      <c r="A11" s="44" t="s">
        <v>155</v>
      </c>
      <c r="B11" s="45">
        <f>COUNTIF('3. Evaluación Nivel A'!D22:D550,Hoja4!A6)</f>
        <v>0</v>
      </c>
      <c r="C11" s="46" t="s">
        <v>30</v>
      </c>
      <c r="D11" s="47">
        <f>B11*100/B9</f>
        <v>0</v>
      </c>
      <c r="E11" s="48">
        <f>IF(ISERROR((B11*100)/(B9-B12)),0,(B11*100)/(B9-B12))</f>
        <v>0</v>
      </c>
      <c r="F11" s="42"/>
      <c r="G11" s="1"/>
      <c r="H11" s="1"/>
    </row>
    <row r="12" spans="1:9" ht="18.75" x14ac:dyDescent="0.3">
      <c r="A12" s="44" t="s">
        <v>156</v>
      </c>
      <c r="B12" s="45">
        <f>COUNTIF('3. Evaluación Nivel A'!D22:D550,Hoja4!A7)</f>
        <v>0</v>
      </c>
      <c r="C12" s="46" t="s">
        <v>41</v>
      </c>
      <c r="D12" s="47">
        <f>B12*100/B9</f>
        <v>0</v>
      </c>
      <c r="E12" s="45"/>
      <c r="F12" s="42"/>
      <c r="G12" s="1"/>
      <c r="H12" s="1"/>
    </row>
    <row r="13" spans="1:9" ht="18.75" x14ac:dyDescent="0.3">
      <c r="A13" s="42"/>
      <c r="B13" s="42"/>
      <c r="C13" s="42"/>
      <c r="D13" s="49">
        <f>SUM(D10:D12)</f>
        <v>0</v>
      </c>
      <c r="E13" s="49">
        <f>SUM(E10:E12)</f>
        <v>0</v>
      </c>
      <c r="F13" s="42"/>
      <c r="G13" s="1"/>
      <c r="H13" s="1"/>
    </row>
    <row r="14" spans="1:9" ht="18.75" x14ac:dyDescent="0.3">
      <c r="A14" s="41"/>
      <c r="B14" s="42"/>
      <c r="C14" s="42"/>
      <c r="D14" s="42"/>
      <c r="E14" s="42"/>
      <c r="F14" s="42"/>
      <c r="G14" s="1"/>
      <c r="H14" s="1"/>
    </row>
    <row r="16" spans="1:9" ht="18.75" x14ac:dyDescent="0.3">
      <c r="A16" s="4" t="s">
        <v>21</v>
      </c>
      <c r="B16" s="26"/>
      <c r="C16" s="26"/>
      <c r="D16" s="26"/>
      <c r="E16" s="26"/>
      <c r="F16" s="26"/>
      <c r="G16" s="26"/>
      <c r="H16" s="26"/>
      <c r="I16" s="26"/>
    </row>
    <row r="17" spans="1:9" ht="18.75" x14ac:dyDescent="0.3">
      <c r="A17" s="26"/>
      <c r="B17" s="32" t="s">
        <v>7</v>
      </c>
      <c r="C17" s="57" t="s">
        <v>128</v>
      </c>
      <c r="D17" s="32" t="s">
        <v>23</v>
      </c>
      <c r="E17" s="51" t="s">
        <v>27</v>
      </c>
      <c r="F17" s="32" t="s">
        <v>25</v>
      </c>
      <c r="G17" s="51" t="s">
        <v>28</v>
      </c>
      <c r="H17" s="52" t="s">
        <v>311</v>
      </c>
      <c r="I17" s="53" t="s">
        <v>309</v>
      </c>
    </row>
    <row r="18" spans="1:9" ht="18.75" x14ac:dyDescent="0.3">
      <c r="A18" s="37" t="str">
        <f>'2.Páginas de la muestra'!C8</f>
        <v>Inicio</v>
      </c>
      <c r="B18" s="32">
        <f>IF('2.Páginas de la muestra'!B5&gt;0,COUNTIF('3.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A'!C381,Hoja4!A5)+COUNTIF('3. Evaluación Nivel A'!C403,Hoja4!A5)+COUNTIF('3. Evaluación Nivel A'!C425,Hoja4!A5)+COUNTIF('3. Evaluación Nivel A'!C447,Hoja4!A5)+COUNTIF('3. Evaluación Nivel A'!C469,Hoja4!A5)+COUNTIF('3. Evaluación Nivel A'!C491,Hoja4!A5)+COUNTIF('3. Evaluación Nivel A'!C513,Hoja4!A5)+COUNTIF('3. Evaluación Nivel A'!C535,Hoja4!A5),"")</f>
        <v>14</v>
      </c>
      <c r="C18" s="55">
        <f>IF('2.Páginas de la muestra'!B5&gt;0,B18*100/B9,"")</f>
        <v>56</v>
      </c>
      <c r="D18" s="32">
        <f>IF('2.Páginas de la muestra'!B5&gt;0,COUNTIF('3.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A'!C381,Hoja4!A6)+COUNTIF('3. Evaluación Nivel A'!C403,Hoja4!A6)+COUNTIF('3. Evaluación Nivel A'!C425,Hoja4!A6)+COUNTIF('3. Evaluación Nivel A'!C447,Hoja4!A6)+COUNTIF('3. Evaluación Nivel A'!C469,Hoja4!A6)+COUNTIF('3. Evaluación Nivel A'!C491,Hoja4!A6)+COUNTIF('3. Evaluación Nivel A'!C513,Hoja4!A6)+COUNTIF('3. Evaluación Nivel A'!C535,Hoja4!A6),"")</f>
        <v>3</v>
      </c>
      <c r="E18" s="55">
        <f>IF('2.Páginas de la muestra'!B5&gt;0,D18*100/B9,"")</f>
        <v>12</v>
      </c>
      <c r="F18" s="32">
        <f>IF('2.Páginas de la muestra'!B5&gt;0,COUNTIF('3.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A'!C381,Hoja4!A7)+COUNTIF('3. Evaluación Nivel A'!C403,Hoja4!A7)+COUNTIF('3. Evaluación Nivel A'!C425,Hoja4!A7)+COUNTIF('3. Evaluación Nivel A'!C447,Hoja4!A7)+COUNTIF('3. Evaluación Nivel A'!C469,Hoja4!A7)+COUNTIF('3. Evaluación Nivel A'!C491,Hoja4!A7)+COUNTIF('3. Evaluación Nivel A'!C513,Hoja4!A7)+COUNTIF('3. Evaluación Nivel A'!C535,Hoja4!A7),"")</f>
        <v>8</v>
      </c>
      <c r="G18" s="55">
        <f>IF('2.Páginas de la muestra'!B5&gt;0,F18*100/B9,"")</f>
        <v>32</v>
      </c>
      <c r="H18" s="56">
        <f>IF('2.Páginas de la muestra'!B5&gt;0,IF(ISERROR((B18*100)/(B9-F18)),0,(B18*100)/(B9-F18)),"")</f>
        <v>82.352941176470594</v>
      </c>
      <c r="I18" s="56">
        <f>IF('2.Páginas de la muestra'!B5&gt;0,IF(ISERROR((D18*100)/(B9-F18)),0,(D18*100)/(B9-F18)),"")</f>
        <v>17.647058823529413</v>
      </c>
    </row>
    <row r="19" spans="1:9" ht="18.75" x14ac:dyDescent="0.3">
      <c r="A19" s="37" t="str">
        <f>'2.Páginas de la muestra'!C9</f>
        <v>login</v>
      </c>
      <c r="B19" s="32" t="str">
        <f>IF('2.Páginas de la muestra'!B5&gt;1,COUNTIF('3.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A'!C382,Hoja4!A5)+COUNTIF('3. Evaluación Nivel A'!C404,Hoja4!A5)+COUNTIF('3. Evaluación Nivel A'!C426,Hoja4!A5)+COUNTIF('3. Evaluación Nivel A'!C448,Hoja4!A5)+COUNTIF('3. Evaluación Nivel A'!C470,Hoja4!A5)+COUNTIF('3. Evaluación Nivel A'!C492,Hoja4!A5)+COUNTIF('3. Evaluación Nivel A'!C514,Hoja4!A5)+COUNTIF('3. Evaluación Nivel A'!C536,Hoja4!A5),"")</f>
        <v/>
      </c>
      <c r="C19" s="55" t="str">
        <f>IF('2.Páginas de la muestra'!B5&gt;1,B19*100/B9,"")</f>
        <v/>
      </c>
      <c r="D19" s="32" t="str">
        <f>IF('2.Páginas de la muestra'!B5&gt;1,COUNTIF('3.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A'!C382,Hoja4!A6)+COUNTIF('3. Evaluación Nivel A'!C404,Hoja4!A6)+COUNTIF('3. Evaluación Nivel A'!C426,Hoja4!A6)+COUNTIF('3. Evaluación Nivel A'!C448,Hoja4!A6)+COUNTIF('3. Evaluación Nivel A'!C470,Hoja4!A6)+COUNTIF('3. Evaluación Nivel A'!C492,Hoja4!A6)+COUNTIF('3. Evaluación Nivel A'!C514,Hoja4!A6)+COUNTIF('3. Evaluación Nivel A'!C536,Hoja4!A6),"")</f>
        <v/>
      </c>
      <c r="E19" s="55" t="str">
        <f>IF('2.Páginas de la muestra'!B5&gt;1,D19*100/B9,"")</f>
        <v/>
      </c>
      <c r="F19" s="32" t="str">
        <f>IF('2.Páginas de la muestra'!B5&gt;1,COUNTIF('3.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A'!C382,Hoja4!A7)+COUNTIF('3. Evaluación Nivel A'!C404,Hoja4!A7)+COUNTIF('3. Evaluación Nivel A'!C426,Hoja4!A7)+COUNTIF('3. Evaluación Nivel A'!C448,Hoja4!A7)+COUNTIF('3. Evaluación Nivel A'!C470,Hoja4!A7)+COUNTIF('3. Evaluación Nivel A'!C492,Hoja4!A7)+COUNTIF('3. Evaluación Nivel A'!C514,Hoja4!A7)+COUNTIF('3. Evaluación Nivel A'!C536,Hoja4!A7),"")</f>
        <v/>
      </c>
      <c r="G19" s="55" t="str">
        <f>IF('2.Páginas de la muestra'!B5&gt;1,F19*100/B9,"")</f>
        <v/>
      </c>
      <c r="H19" s="56" t="str">
        <f>IF('2.Páginas de la muestra'!B5&gt;1,IF(ISERROR((B19*100)/(B9-F19)),0,(B19*100)/(B9-F19)),"")</f>
        <v/>
      </c>
      <c r="I19" s="56" t="str">
        <f>IF('2.Páginas de la muestra'!B5&gt;1,IF(ISERROR((D19*100)/(B9-F19)),0,(D19*100)/(B9-F19)),"")</f>
        <v/>
      </c>
    </row>
    <row r="20" spans="1:9" ht="18.75" x14ac:dyDescent="0.3">
      <c r="A20" s="37" t="str">
        <f>'2.Páginas de la muestra'!C10</f>
        <v>Inicio-Dashboard</v>
      </c>
      <c r="B20" s="32" t="str">
        <f>IF('2.Páginas de la muestra'!B5&gt;2,COUNTIF('3.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A'!C383,Hoja4!A5)+COUNTIF('3. Evaluación Nivel A'!C405,Hoja4!A5)+COUNTIF('3. Evaluación Nivel A'!C427,Hoja4!A5)+COUNTIF('3. Evaluación Nivel A'!C449,Hoja4!A5)+COUNTIF('3. Evaluación Nivel A'!C471,Hoja4!A5)+COUNTIF('3. Evaluación Nivel A'!C493,Hoja4!A5)+COUNTIF('3. Evaluación Nivel A'!C515,Hoja4!A5)+COUNTIF('3. Evaluación Nivel A'!C537,Hoja4!A5),"")</f>
        <v/>
      </c>
      <c r="C20" s="55" t="str">
        <f>IF('2.Páginas de la muestra'!B5&gt;2,B20*100/B9,"")</f>
        <v/>
      </c>
      <c r="D20" s="32" t="str">
        <f>IF('2.Páginas de la muestra'!B5&gt;2,COUNTIF('3.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A'!C383,Hoja4!A6)+COUNTIF('3. Evaluación Nivel A'!C405,Hoja4!A6)+COUNTIF('3. Evaluación Nivel A'!C427,Hoja4!A6)+COUNTIF('3. Evaluación Nivel A'!C449,Hoja4!A6)+COUNTIF('3. Evaluación Nivel A'!C471,Hoja4!A6)+COUNTIF('3. Evaluación Nivel A'!C493,Hoja4!A6)+COUNTIF('3. Evaluación Nivel A'!C515,Hoja4!A6)+COUNTIF('3. Evaluación Nivel A'!C537,Hoja4!A6),"")</f>
        <v/>
      </c>
      <c r="E20" s="55" t="str">
        <f>IF('2.Páginas de la muestra'!B5&gt;2,D20*100/B9,"")</f>
        <v/>
      </c>
      <c r="F20" s="32" t="str">
        <f>IF('2.Páginas de la muestra'!B5&gt;2,COUNTIF('3.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A'!C383,Hoja4!A7)+COUNTIF('3. Evaluación Nivel A'!C405,Hoja4!A7)+COUNTIF('3. Evaluación Nivel A'!C427,Hoja4!A7)+COUNTIF('3. Evaluación Nivel A'!C449,Hoja4!A7)+COUNTIF('3. Evaluación Nivel A'!C471,Hoja4!A7)+COUNTIF('3. Evaluación Nivel A'!C493,Hoja4!A7)+COUNTIF('3. Evaluación Nivel A'!C515,Hoja4!A7)+COUNTIF('3. Evaluación Nivel A'!C537,Hoja4!A7),"")</f>
        <v/>
      </c>
      <c r="G20" s="55" t="str">
        <f>IF('2.Páginas de la muestra'!B5&gt;2,F20*100/B9,"")</f>
        <v/>
      </c>
      <c r="H20" s="56" t="str">
        <f>IF('2.Páginas de la muestra'!B5&gt;2,IF(ISERROR((B20*100)/(B9-F20)),0,(B20*100)/(B9-F20)),"")</f>
        <v/>
      </c>
      <c r="I20" s="56" t="str">
        <f>IF('2.Páginas de la muestra'!B5&gt;2,IF(ISERROR((D20*100)/(B9-F20)),0,(D20*100)/(B9-F20)),"")</f>
        <v/>
      </c>
    </row>
    <row r="21" spans="1:9" ht="18.75" x14ac:dyDescent="0.3">
      <c r="A21" s="37" t="str">
        <f>'2.Páginas de la muestra'!C11</f>
        <v>Dashboard-Usuarios</v>
      </c>
      <c r="B21" s="32" t="str">
        <f>IF('2.Páginas de la muestra'!B5&gt;3,COUNTIF('3.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A'!C384,Hoja4!A5)+COUNTIF('3. Evaluación Nivel A'!C406,Hoja4!A5)+COUNTIF('3. Evaluación Nivel A'!C428,Hoja4!A5)+COUNTIF('3. Evaluación Nivel A'!C450,Hoja4!A5)+COUNTIF('3. Evaluación Nivel A'!C472,Hoja4!A5)+COUNTIF('3. Evaluación Nivel A'!C494,Hoja4!A5)+COUNTIF('3. Evaluación Nivel A'!C516,Hoja4!A5)+COUNTIF('3. Evaluación Nivel A'!C538,Hoja4!A5),"")</f>
        <v/>
      </c>
      <c r="C21" s="55" t="str">
        <f>IF('2.Páginas de la muestra'!B5&gt;3,B21*100/B9,"")</f>
        <v/>
      </c>
      <c r="D21" s="32" t="str">
        <f>IF('2.Páginas de la muestra'!B5&gt;3,COUNTIF('3.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A'!C384,Hoja4!A6)+COUNTIF('3. Evaluación Nivel A'!C406,Hoja4!A6)+COUNTIF('3. Evaluación Nivel A'!C428,Hoja4!A6)+COUNTIF('3. Evaluación Nivel A'!C450,Hoja4!A6)+COUNTIF('3. Evaluación Nivel A'!C472,Hoja4!A6)+COUNTIF('3. Evaluación Nivel A'!C494,Hoja4!A6)+COUNTIF('3. Evaluación Nivel A'!C516,Hoja4!A6)+COUNTIF('3. Evaluación Nivel A'!C538,Hoja4!A6),"")</f>
        <v/>
      </c>
      <c r="E21" s="55" t="str">
        <f>IF('2.Páginas de la muestra'!B5&gt;3,D21*100/B9,"")</f>
        <v/>
      </c>
      <c r="F21" s="32" t="str">
        <f>IF('2.Páginas de la muestra'!B5&gt;3,COUNTIF('3.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A'!C384,Hoja4!A7)+COUNTIF('3. Evaluación Nivel A'!C406,Hoja4!A7)+COUNTIF('3. Evaluación Nivel A'!C428,Hoja4!A7)+COUNTIF('3. Evaluación Nivel A'!C450,Hoja4!A7)+COUNTIF('3. Evaluación Nivel A'!C472,Hoja4!A7)+COUNTIF('3. Evaluación Nivel A'!C494,Hoja4!A7)+COUNTIF('3. Evaluación Nivel A'!C516,Hoja4!A7)+COUNTIF('3. Evaluación Nivel A'!C538,Hoja4!A7),"")</f>
        <v/>
      </c>
      <c r="G21" s="55" t="str">
        <f>IF('2.Páginas de la muestra'!B5&gt;3,F21*100/B9,"")</f>
        <v/>
      </c>
      <c r="H21" s="56" t="str">
        <f>IF('2.Páginas de la muestra'!B5&gt;3,IF(ISERROR((B21*100)/(B9-F21)),0,(B21*100)/(B9-F21)),"")</f>
        <v/>
      </c>
      <c r="I21" s="56" t="str">
        <f>IF('2.Páginas de la muestra'!B5&gt;3,IF(ISERROR((D21*100)/(B9-F21)),0,(D21*100)/(B9-F21)),"")</f>
        <v/>
      </c>
    </row>
    <row r="22" spans="1:9" ht="18.75" x14ac:dyDescent="0.3">
      <c r="A22" s="37" t="str">
        <f>'2.Páginas de la muestra'!C12</f>
        <v>Dashboard-Servicios</v>
      </c>
      <c r="B22" s="32" t="str">
        <f>IF('2.Páginas de la muestra'!B5&gt;4,COUNTIF('3.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A'!C385,Hoja4!A5)+COUNTIF('3. Evaluación Nivel A'!C407,Hoja4!A5)+COUNTIF('3. Evaluación Nivel A'!C429,Hoja4!A5)+COUNTIF('3. Evaluación Nivel A'!C451,Hoja4!A5)+COUNTIF('3. Evaluación Nivel A'!C473,Hoja4!A5)+COUNTIF('3. Evaluación Nivel A'!C495,Hoja4!A5)+COUNTIF('3. Evaluación Nivel A'!C517,Hoja4!A5)+COUNTIF('3. Evaluación Nivel A'!C539,Hoja4!A5),"")</f>
        <v/>
      </c>
      <c r="C22" s="55" t="str">
        <f>IF('2.Páginas de la muestra'!B5&gt;4,B22*100/B9,"")</f>
        <v/>
      </c>
      <c r="D22" s="32" t="str">
        <f>IF('2.Páginas de la muestra'!B5&gt;4,COUNTIF('3.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A'!C385,Hoja4!A6)+COUNTIF('3. Evaluación Nivel A'!C407,Hoja4!A6)+COUNTIF('3. Evaluación Nivel A'!C429,Hoja4!A6)+COUNTIF('3. Evaluación Nivel A'!C451,Hoja4!A6)+COUNTIF('3. Evaluación Nivel A'!C473,Hoja4!A6)+COUNTIF('3. Evaluación Nivel A'!C495,Hoja4!A6)+COUNTIF('3. Evaluación Nivel A'!C517,Hoja4!A6)+COUNTIF('3. Evaluación Nivel A'!C539,Hoja4!A6),"")</f>
        <v/>
      </c>
      <c r="E22" s="55" t="str">
        <f>IF('2.Páginas de la muestra'!B5&gt;4,D22*100/B9,"")</f>
        <v/>
      </c>
      <c r="F22" s="32" t="str">
        <f>IF('2.Páginas de la muestra'!B5&gt;4,COUNTIF('3.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A'!C385,Hoja4!A7)+COUNTIF('3. Evaluación Nivel A'!C407,Hoja4!A7)+COUNTIF('3. Evaluación Nivel A'!C429,Hoja4!A7)+COUNTIF('3. Evaluación Nivel A'!C451,Hoja4!A7)+COUNTIF('3. Evaluación Nivel A'!C473,Hoja4!A7)+COUNTIF('3. Evaluación Nivel A'!C495,Hoja4!A7)+COUNTIF('3. Evaluación Nivel A'!C517,Hoja4!A7)+COUNTIF('3. Evaluación Nivel A'!C539,Hoja4!A7),"")</f>
        <v/>
      </c>
      <c r="G22" s="55" t="str">
        <f>IF('2.Páginas de la muestra'!B5&gt;4,F22*100/B9,"")</f>
        <v/>
      </c>
      <c r="H22" s="56" t="str">
        <f>IF('2.Páginas de la muestra'!B5&gt;4,IF(ISERROR((B22*100)/(B9-F22)),0,(B22*100)/(B9-F22)),"")</f>
        <v/>
      </c>
      <c r="I22" s="56" t="str">
        <f>IF('2.Páginas de la muestra'!B5&gt;4,IF(ISERROR((D22*100)/(B9-F22)),0,(D22*100)/(B9-F22)),"")</f>
        <v/>
      </c>
    </row>
    <row r="23" spans="1:9" ht="18.75" x14ac:dyDescent="0.3">
      <c r="A23" s="37" t="str">
        <f>'2.Páginas de la muestra'!C13</f>
        <v>Dashboard-Reservas</v>
      </c>
      <c r="B23" s="32" t="str">
        <f>IF('2.Páginas de la muestra'!B5&gt;5,COUNTIF('3.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A'!C386,Hoja4!A5)+COUNTIF('3. Evaluación Nivel A'!C408,Hoja4!A5)+COUNTIF('3. Evaluación Nivel A'!C430,Hoja4!A5)+COUNTIF('3. Evaluación Nivel A'!C452,Hoja4!A5)+COUNTIF('3. Evaluación Nivel A'!C474,Hoja4!A5)+COUNTIF('3. Evaluación Nivel A'!C496,Hoja4!A5)+COUNTIF('3. Evaluación Nivel A'!C518,Hoja4!A5)+COUNTIF('3. Evaluación Nivel A'!C540,Hoja4!A5),"")</f>
        <v/>
      </c>
      <c r="C23" s="55" t="str">
        <f>IF('2.Páginas de la muestra'!B5&gt;5,B23*100/B9,"")</f>
        <v/>
      </c>
      <c r="D23" s="32" t="str">
        <f>IF('2.Páginas de la muestra'!B5&gt;5,COUNTIF('3.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A'!C386,Hoja4!A6)+COUNTIF('3. Evaluación Nivel A'!C408,Hoja4!A6)+COUNTIF('3. Evaluación Nivel A'!C430,Hoja4!A6)+COUNTIF('3. Evaluación Nivel A'!C452,Hoja4!A6)+COUNTIF('3. Evaluación Nivel A'!C474,Hoja4!A6)+COUNTIF('3. Evaluación Nivel A'!C496,Hoja4!A6)+COUNTIF('3. Evaluación Nivel A'!C518,Hoja4!A6)+COUNTIF('3. Evaluación Nivel A'!C540,Hoja4!A6),"")</f>
        <v/>
      </c>
      <c r="E23" s="55" t="str">
        <f>IF('2.Páginas de la muestra'!B5&gt;5,D23*100/B9,"")</f>
        <v/>
      </c>
      <c r="F23" s="32" t="str">
        <f>IF('2.Páginas de la muestra'!B5&gt;5,COUNTIF('3.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A'!C386,Hoja4!A7)+COUNTIF('3. Evaluación Nivel A'!C408,Hoja4!A7)+COUNTIF('3. Evaluación Nivel A'!C430,Hoja4!A7)+COUNTIF('3. Evaluación Nivel A'!C452,Hoja4!A7)+COUNTIF('3. Evaluación Nivel A'!C474,Hoja4!A7)+COUNTIF('3. Evaluación Nivel A'!C496,Hoja4!A7)+COUNTIF('3. Evaluación Nivel A'!C518,Hoja4!A7)+COUNTIF('3. Evaluación Nivel A'!C540,Hoja4!A7),"")</f>
        <v/>
      </c>
      <c r="G23" s="55" t="str">
        <f>IF('2.Páginas de la muestra'!B5&gt;5,F23*100/B9,"")</f>
        <v/>
      </c>
      <c r="H23" s="56" t="str">
        <f>IF('2.Páginas de la muestra'!B5&gt;5,IF(ISERROR((B23*100)/(B9-F23)),0,(B23*100)/(B9-F23)),"")</f>
        <v/>
      </c>
      <c r="I23" s="56" t="str">
        <f>IF('2.Páginas de la muestra'!B5&gt;5,IF(ISERROR((D23*100)/(B9-F23)),0,(D23*100)/(B9-F23)),"")</f>
        <v/>
      </c>
    </row>
    <row r="24" spans="1:9" ht="18.75" x14ac:dyDescent="0.3">
      <c r="A24" s="37" t="str">
        <f>'2.Páginas de la muestra'!C14</f>
        <v>Dashboard-Reservas-clientes</v>
      </c>
      <c r="B24" s="32" t="str">
        <f>IF('2.Páginas de la muestra'!B5&gt;6,COUNTIF('3.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A'!C387,Hoja4!A5)+COUNTIF('3. Evaluación Nivel A'!C409,Hoja4!A5)+COUNTIF('3. Evaluación Nivel A'!C431,Hoja4!A5)+COUNTIF('3. Evaluación Nivel A'!C453,Hoja4!A5)+COUNTIF('3. Evaluación Nivel A'!C475,Hoja4!A5)+COUNTIF('3. Evaluación Nivel A'!C497,Hoja4!A5)+COUNTIF('3. Evaluación Nivel A'!C519,Hoja4!A5)+COUNTIF('3. Evaluación Nivel A'!C541,Hoja4!A5),"")</f>
        <v/>
      </c>
      <c r="C24" s="55" t="str">
        <f>IF('2.Páginas de la muestra'!B5&gt;6,B24*100/B9,"")</f>
        <v/>
      </c>
      <c r="D24" s="32" t="str">
        <f>IF('2.Páginas de la muestra'!B5&gt;6,COUNTIF('3.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A'!C387,Hoja4!A6)+COUNTIF('3. Evaluación Nivel A'!C409,Hoja4!A6)+COUNTIF('3. Evaluación Nivel A'!C431,Hoja4!A6)+COUNTIF('3. Evaluación Nivel A'!C453,Hoja4!A6)+COUNTIF('3. Evaluación Nivel A'!C475,Hoja4!A6)+COUNTIF('3. Evaluación Nivel A'!C497,Hoja4!A6)+COUNTIF('3. Evaluación Nivel A'!C519,Hoja4!A6)+COUNTIF('3. Evaluación Nivel A'!C541,Hoja4!A6),"")</f>
        <v/>
      </c>
      <c r="E24" s="55" t="str">
        <f>IF('2.Páginas de la muestra'!B5&gt;6,D24*100/B9,"")</f>
        <v/>
      </c>
      <c r="F24" s="32" t="str">
        <f>IF('2.Páginas de la muestra'!B5&gt;6,IF('2.Páginas de la muestra'!B5&gt;6,COUNTIF('3.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A'!C387,Hoja4!A7)+COUNTIF('3. Evaluación Nivel A'!C409,Hoja4!A7)+COUNTIF('3. Evaluación Nivel A'!C431,Hoja4!A7)+COUNTIF('3. Evaluación Nivel A'!C453,Hoja4!A7)+COUNTIF('3. Evaluación Nivel A'!C475,Hoja4!A7)+COUNTIF('3. Evaluación Nivel A'!C497,Hoja4!A7)+COUNTIF('3. Evaluación Nivel A'!C519,Hoja4!A7)+COUNTIF('3. Evaluación Nivel A'!C541,Hoja4!A7),""),"")</f>
        <v/>
      </c>
      <c r="G24" s="55" t="str">
        <f>IF('2.Páginas de la muestra'!B5&gt;6,IF('2.Páginas de la muestra'!B5&gt;6,F24*100/B9,""),"")</f>
        <v/>
      </c>
      <c r="H24" s="56" t="str">
        <f>IF('2.Páginas de la muestra'!B5&gt;6,IF('2.Páginas de la muestra'!B5&gt;6,IF(ISERROR((B24*100)/(B9-F24)),0,(B24*100)/(B9-F24)),""),"")</f>
        <v/>
      </c>
      <c r="I24" s="56" t="str">
        <f>IF('2.Páginas de la muestra'!B5&gt;6,IF(ISERROR((D24*100)/(B9-F24)),0,(D24*100)/(B9-F24)),"")</f>
        <v/>
      </c>
    </row>
    <row r="25" spans="1:9" ht="18.75" x14ac:dyDescent="0.3">
      <c r="A25" s="37" t="str">
        <f>'2.Páginas de la muestra'!C15</f>
        <v>ALIAS 8</v>
      </c>
      <c r="B25" s="32" t="str">
        <f>IF('2.Páginas de la muestra'!B5&gt;7,COUNTIF('3.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A'!C388,Hoja4!A5)+COUNTIF('3. Evaluación Nivel A'!C410,Hoja4!A5)+COUNTIF('3. Evaluación Nivel A'!C432,Hoja4!A5)+COUNTIF('3. Evaluación Nivel A'!C454,Hoja4!A5)+COUNTIF('3. Evaluación Nivel A'!C476,Hoja4!A5)+COUNTIF('3. Evaluación Nivel A'!C498,Hoja4!A5)+COUNTIF('3. Evaluación Nivel A'!C520,Hoja4!A5)+COUNTIF('3. Evaluación Nivel A'!C542,Hoja4!A5),"")</f>
        <v/>
      </c>
      <c r="C25" s="55" t="str">
        <f>IF('2.Páginas de la muestra'!B5&gt;7,B25*100/B9,"")</f>
        <v/>
      </c>
      <c r="D25" s="32" t="str">
        <f>IF('2.Páginas de la muestra'!B5&gt;7,COUNTIF('3.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A'!C388,Hoja4!A6)+COUNTIF('3. Evaluación Nivel A'!C410,Hoja4!A6)+COUNTIF('3. Evaluación Nivel A'!C432,Hoja4!A6)+COUNTIF('3. Evaluación Nivel A'!C454,Hoja4!A6)+COUNTIF('3. Evaluación Nivel A'!C476,Hoja4!A6)+COUNTIF('3. Evaluación Nivel A'!C498,Hoja4!A6)+COUNTIF('3. Evaluación Nivel A'!C520,Hoja4!A6)+COUNTIF('3. Evaluación Nivel A'!C542,Hoja4!A6),"")</f>
        <v/>
      </c>
      <c r="E25" s="55" t="str">
        <f>IF('2.Páginas de la muestra'!B5&gt;7,D25*100/B9,"")</f>
        <v/>
      </c>
      <c r="F25" s="32" t="str">
        <f>IF('2.Páginas de la muestra'!B5&gt;7,COUNTIF('3.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A'!C388,Hoja4!A7)+COUNTIF('3. Evaluación Nivel A'!C410,Hoja4!A7)+COUNTIF('3. Evaluación Nivel A'!C432,Hoja4!A7)+COUNTIF('3. Evaluación Nivel A'!C454,Hoja4!A7)+COUNTIF('3. Evaluación Nivel A'!C476,Hoja4!A7)+COUNTIF('3. Evaluación Nivel A'!C498,Hoja4!A7)+COUNTIF('3. Evaluación Nivel A'!C520,Hoja4!A7)+COUNTIF('3. Evaluación Nivel A'!C542,Hoja4!A7),"")</f>
        <v/>
      </c>
      <c r="G25" s="55" t="str">
        <f>IF('2.Páginas de la muestra'!B5&gt;7,F25*100/B9,"")</f>
        <v/>
      </c>
      <c r="H25" s="56" t="str">
        <f>IF('2.Páginas de la muestra'!B5&gt;7,IF(ISERROR((B25*100)/(B9-F25)),0,(B25*100)/(B9-F25)),"")</f>
        <v/>
      </c>
      <c r="I25" s="56" t="str">
        <f>IF('2.Páginas de la muestra'!B5&gt;7,IF(ISERROR((D25*100)/(B9-F25)),0,(D25*100)/(B9-F25)),"")</f>
        <v/>
      </c>
    </row>
    <row r="26" spans="1:9" ht="18.75" x14ac:dyDescent="0.3">
      <c r="A26" s="37" t="str">
        <f>'2.Páginas de la muestra'!C16</f>
        <v>ALIAS 9</v>
      </c>
      <c r="B26" s="32" t="str">
        <f>IF('2.Páginas de la muestra'!B5&gt;8,COUNTIF('3.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A'!C389,Hoja4!A5)+COUNTIF('3. Evaluación Nivel A'!C411,Hoja4!A5)+COUNTIF('3. Evaluación Nivel A'!C433,Hoja4!A5)+COUNTIF('3. Evaluación Nivel A'!C455,Hoja4!A5)+COUNTIF('3. Evaluación Nivel A'!C477,Hoja4!A5)+COUNTIF('3. Evaluación Nivel A'!C499,Hoja4!A5)+COUNTIF('3. Evaluación Nivel A'!C521,Hoja4!A5)+COUNTIF('3. Evaluación Nivel A'!C543,Hoja4!A5),"")</f>
        <v/>
      </c>
      <c r="C26" s="55" t="str">
        <f>IF('2.Páginas de la muestra'!B5&gt;8,B26*100/B9,"")</f>
        <v/>
      </c>
      <c r="D26" s="32" t="str">
        <f>IF('2.Páginas de la muestra'!B5&gt;8,COUNTIF('3.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A'!C389,Hoja4!A6)+COUNTIF('3. Evaluación Nivel A'!C411,Hoja4!A6)+COUNTIF('3. Evaluación Nivel A'!C433,Hoja4!A6)+COUNTIF('3. Evaluación Nivel A'!C455,Hoja4!A6)+COUNTIF('3. Evaluación Nivel A'!C477,Hoja4!A6)+COUNTIF('3. Evaluación Nivel A'!C499,Hoja4!A6)+COUNTIF('3. Evaluación Nivel A'!C521,Hoja4!A6)+COUNTIF('3. Evaluación Nivel A'!C543,Hoja4!A6),"")</f>
        <v/>
      </c>
      <c r="E26" s="55" t="str">
        <f>IF('2.Páginas de la muestra'!B5&gt;8,D26*100/B9,"")</f>
        <v/>
      </c>
      <c r="F26" s="32" t="str">
        <f>IF('2.Páginas de la muestra'!B5&gt;8,COUNTIF('3.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A'!C389,Hoja4!A7)+COUNTIF('3. Evaluación Nivel A'!C411,Hoja4!A7)+COUNTIF('3. Evaluación Nivel A'!C433,Hoja4!A7)+COUNTIF('3. Evaluación Nivel A'!C455,Hoja4!A7)+COUNTIF('3. Evaluación Nivel A'!C477,Hoja4!A7)+COUNTIF('3. Evaluación Nivel A'!C499,Hoja4!A7)+COUNTIF('3. Evaluación Nivel A'!C521,Hoja4!A7)+COUNTIF('3. Evaluación Nivel A'!C543,Hoja4!A7),"")</f>
        <v/>
      </c>
      <c r="G26" s="55" t="str">
        <f>IF('2.Páginas de la muestra'!B5&gt;8,F26*100/B9,"")</f>
        <v/>
      </c>
      <c r="H26" s="56" t="str">
        <f>IF('2.Páginas de la muestra'!B5&gt;8,IF(ISERROR((B26*100)/(B9-F26)),0,(B26*100)/(B9-F26)),"")</f>
        <v/>
      </c>
      <c r="I26" s="56" t="str">
        <f>IF('2.Páginas de la muestra'!B5&gt;8,IF(ISERROR((D26*100)/(B9-F26)),0,(D26*100)/(B9-F26)),"")</f>
        <v/>
      </c>
    </row>
    <row r="27" spans="1:9" ht="18.75" x14ac:dyDescent="0.3">
      <c r="A27" s="37" t="str">
        <f>'2.Páginas de la muestra'!C17</f>
        <v>ALIAS 10</v>
      </c>
      <c r="B27" s="32" t="str">
        <f>IF('2.Páginas de la muestra'!B5&gt;9,COUNTIF('3.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A'!C390,Hoja4!A5)+COUNTIF('3. Evaluación Nivel A'!C412,Hoja4!A5)+COUNTIF('3. Evaluación Nivel A'!C434,Hoja4!A5)+COUNTIF('3. Evaluación Nivel A'!C456,Hoja4!A5)+COUNTIF('3. Evaluación Nivel A'!C478,Hoja4!A5)+COUNTIF('3. Evaluación Nivel A'!C500,Hoja4!A5)+COUNTIF('3. Evaluación Nivel A'!C522,Hoja4!A5)+COUNTIF('3. Evaluación Nivel A'!C544,Hoja4!A5),"")</f>
        <v/>
      </c>
      <c r="C27" s="55" t="str">
        <f>IF('2.Páginas de la muestra'!B5&gt;9,B27*100/B9,"")</f>
        <v/>
      </c>
      <c r="D27" s="32" t="str">
        <f>IF('2.Páginas de la muestra'!B5&gt;9,COUNTIF('3.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A'!C390,Hoja4!A6)+COUNTIF('3. Evaluación Nivel A'!C412,Hoja4!A6)+COUNTIF('3. Evaluación Nivel A'!C434,Hoja4!A6)+COUNTIF('3. Evaluación Nivel A'!C456,Hoja4!A6)+COUNTIF('3. Evaluación Nivel A'!C478,Hoja4!A6)+COUNTIF('3. Evaluación Nivel A'!C500,Hoja4!A6)+COUNTIF('3. Evaluación Nivel A'!C522,Hoja4!A6)+COUNTIF('3. Evaluación Nivel A'!C544,Hoja4!A6),"")</f>
        <v/>
      </c>
      <c r="E27" s="55" t="str">
        <f>IF('2.Páginas de la muestra'!B5&gt;9,D27*100/B9,"")</f>
        <v/>
      </c>
      <c r="F27" s="32" t="str">
        <f>IF('2.Páginas de la muestra'!B5&gt;9,COUNTIF('3.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A'!C390,Hoja4!A7)+COUNTIF('3. Evaluación Nivel A'!C412,Hoja4!A7)+COUNTIF('3. Evaluación Nivel A'!C434,Hoja4!A7)+COUNTIF('3. Evaluación Nivel A'!C456,Hoja4!A7)+COUNTIF('3. Evaluación Nivel A'!C478,Hoja4!A7)+COUNTIF('3. Evaluación Nivel A'!C500,Hoja4!A7)+COUNTIF('3. Evaluación Nivel A'!C522,Hoja4!A7)+COUNTIF('3. Evaluación Nivel A'!C544,Hoja4!A7),"")</f>
        <v/>
      </c>
      <c r="G27" s="55" t="str">
        <f>IF('2.Páginas de la muestra'!B5&gt;9,F27*100/B9,"")</f>
        <v/>
      </c>
      <c r="H27" s="56" t="str">
        <f>IF('2.Páginas de la muestra'!B5&gt;9,IF(ISERROR((B27*100)/(B9-F27)),0,(B27*100)/(B9-F27)),"")</f>
        <v/>
      </c>
      <c r="I27" s="56" t="str">
        <f>IF('2.Páginas de la muestra'!B5&gt;9,IF(ISERROR((D27*100)/(B9-F27)),0,(D27*100)/(B9-F27)),"")</f>
        <v/>
      </c>
    </row>
    <row r="28" spans="1:9" ht="18.75" x14ac:dyDescent="0.3">
      <c r="A28" s="37" t="str">
        <f>'2.Páginas de la muestra'!C18</f>
        <v>ALIAS 11</v>
      </c>
      <c r="B28" s="32" t="str">
        <f>IF('2.Páginas de la muestra'!B5&gt;10,COUNTIF('3.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A'!C391,Hoja4!A5)+COUNTIF('3. Evaluación Nivel A'!C413,Hoja4!A5)+COUNTIF('3. Evaluación Nivel A'!C435,Hoja4!A5)+COUNTIF('3. Evaluación Nivel A'!C457,Hoja4!A5)+COUNTIF('3. Evaluación Nivel A'!C479,Hoja4!A5)+COUNTIF('3. Evaluación Nivel A'!C501,Hoja4!A5)+COUNTIF('3. Evaluación Nivel A'!C523,Hoja4!A5)+COUNTIF('3. Evaluación Nivel A'!C545,Hoja4!A5),"")</f>
        <v/>
      </c>
      <c r="C28" s="55" t="str">
        <f>IF('2.Páginas de la muestra'!B5&gt;10,B28*100/B9,"")</f>
        <v/>
      </c>
      <c r="D28" s="32" t="str">
        <f>IF('2.Páginas de la muestra'!B5&gt;10,COUNTIF('3.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A'!C391,Hoja4!A6)+COUNTIF('3. Evaluación Nivel A'!C413,Hoja4!A6)+COUNTIF('3. Evaluación Nivel A'!C435,Hoja4!A6)+COUNTIF('3. Evaluación Nivel A'!C457,Hoja4!A6)+COUNTIF('3. Evaluación Nivel A'!C479,Hoja4!A6)+COUNTIF('3. Evaluación Nivel A'!C501,Hoja4!A6)+COUNTIF('3. Evaluación Nivel A'!C523,Hoja4!A6)+COUNTIF('3. Evaluación Nivel A'!C545,Hoja4!A6),"")</f>
        <v/>
      </c>
      <c r="E28" s="55" t="str">
        <f>IF('2.Páginas de la muestra'!B5&gt;10,D28*100/B9,"")</f>
        <v/>
      </c>
      <c r="F28" s="32" t="str">
        <f>IF('2.Páginas de la muestra'!B5&gt;10,COUNTIF('3.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A'!C391,Hoja4!A7)+COUNTIF('3. Evaluación Nivel A'!C413,Hoja4!A7)+COUNTIF('3. Evaluación Nivel A'!C435,Hoja4!A7)+COUNTIF('3. Evaluación Nivel A'!C457,Hoja4!A7)+COUNTIF('3. Evaluación Nivel A'!C479,Hoja4!A7)+COUNTIF('3. Evaluación Nivel A'!C501,Hoja4!A7)+COUNTIF('3. Evaluación Nivel A'!C523,Hoja4!A7)+COUNTIF('3. Evaluación Nivel A'!C545,Hoja4!A7),"")</f>
        <v/>
      </c>
      <c r="G28" s="55" t="str">
        <f>IF('2.Páginas de la muestra'!B5&gt;10,F28*100/B9,"")</f>
        <v/>
      </c>
      <c r="H28" s="56" t="str">
        <f>IF('2.Páginas de la muestra'!B5&gt;10,IF(ISERROR((B28*100)/(B9-F28)),0,(B28*100)/(B9-F28)),"")</f>
        <v/>
      </c>
      <c r="I28" s="56" t="str">
        <f>IF('2.Páginas de la muestra'!B5&gt;10,IF(ISERROR((D28*100)/(B9-F28)),0,(D28*100)/(B9-F28)),"")</f>
        <v/>
      </c>
    </row>
    <row r="29" spans="1:9" ht="18.75" x14ac:dyDescent="0.3">
      <c r="A29" s="37" t="str">
        <f>'2.Páginas de la muestra'!C19</f>
        <v>ALIAS 12</v>
      </c>
      <c r="B29" s="32" t="str">
        <f>IF('2.Páginas de la muestra'!B5&gt;11,COUNTIF('3.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A'!C392,Hoja4!A5)+COUNTIF('3. Evaluación Nivel A'!C414,Hoja4!A5)+COUNTIF('3. Evaluación Nivel A'!C436,Hoja4!A5)+COUNTIF('3. Evaluación Nivel A'!C458,Hoja4!A5)+COUNTIF('3. Evaluación Nivel A'!C480,Hoja4!A5)+COUNTIF('3. Evaluación Nivel A'!C502,Hoja4!A5)+COUNTIF('3. Evaluación Nivel A'!C524,Hoja4!A5)+COUNTIF('3. Evaluación Nivel A'!C546,Hoja4!A5),"")</f>
        <v/>
      </c>
      <c r="C29" s="55" t="str">
        <f>IF('2.Páginas de la muestra'!B5&gt;11,B29*100/B9,"")</f>
        <v/>
      </c>
      <c r="D29" s="32" t="str">
        <f>IF('2.Páginas de la muestra'!B5&gt;11,COUNTIF('3.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A'!C392,Hoja4!A6)+COUNTIF('3. Evaluación Nivel A'!C414,Hoja4!A6)+COUNTIF('3. Evaluación Nivel A'!C436,Hoja4!A6)+COUNTIF('3. Evaluación Nivel A'!C458,Hoja4!A6)+COUNTIF('3. Evaluación Nivel A'!C480,Hoja4!A6)+COUNTIF('3. Evaluación Nivel A'!C502,Hoja4!A6)+COUNTIF('3. Evaluación Nivel A'!C524,Hoja4!A6)+COUNTIF('3. Evaluación Nivel A'!C546,Hoja4!A6),"")</f>
        <v/>
      </c>
      <c r="E29" s="55" t="str">
        <f>IF('2.Páginas de la muestra'!B5&gt;11,D29*100/B9,"")</f>
        <v/>
      </c>
      <c r="F29" s="32" t="str">
        <f>IF('2.Páginas de la muestra'!B5&gt;11,COUNTIF('3.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A'!C392,Hoja4!A7)+COUNTIF('3. Evaluación Nivel A'!C414,Hoja4!A7)+COUNTIF('3. Evaluación Nivel A'!C436,Hoja4!A7)+COUNTIF('3. Evaluación Nivel A'!C458,Hoja4!A7)+COUNTIF('3. Evaluación Nivel A'!C480,Hoja4!A7)+COUNTIF('3. Evaluación Nivel A'!C502,Hoja4!A7)+COUNTIF('3. Evaluación Nivel A'!C524,Hoja4!A7)+COUNTIF('3. Evaluación Nivel A'!C546,Hoja4!A7),"")</f>
        <v/>
      </c>
      <c r="G29" s="55" t="str">
        <f>IF('2.Páginas de la muestra'!B5&gt;11,F29*100/B9,"")</f>
        <v/>
      </c>
      <c r="H29" s="56" t="str">
        <f>IF('2.Páginas de la muestra'!B5&gt;11,IF(ISERROR((B29*100)/(B9-F29)),0,(B29*100)/(B9-F29)),"")</f>
        <v/>
      </c>
      <c r="I29" s="56" t="str">
        <f>IF('2.Páginas de la muestra'!B5&gt;11,IF(ISERROR((D29*100)/(B9-F29)),0,(D29*100)/(B9-F29)),"")</f>
        <v/>
      </c>
    </row>
    <row r="30" spans="1:9" ht="18.75" x14ac:dyDescent="0.3">
      <c r="A30" s="37" t="str">
        <f>'2.Páginas de la muestra'!C20</f>
        <v>ALIAS 13</v>
      </c>
      <c r="B30" s="32" t="str">
        <f>IF('2.Páginas de la muestra'!B5&gt;12,COUNTIF('3.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A'!C393,Hoja4!A5)+COUNTIF('3. Evaluación Nivel A'!C415,Hoja4!A5)+COUNTIF('3. Evaluación Nivel A'!C437,Hoja4!A5)+COUNTIF('3. Evaluación Nivel A'!C459,Hoja4!A5)+COUNTIF('3. Evaluación Nivel A'!C481,Hoja4!A5)+COUNTIF('3. Evaluación Nivel A'!C503,Hoja4!A5)+COUNTIF('3. Evaluación Nivel A'!C525,Hoja4!A5)+COUNTIF('3. Evaluación Nivel A'!C547,Hoja4!A5),"")</f>
        <v/>
      </c>
      <c r="C30" s="55" t="str">
        <f>IF('2.Páginas de la muestra'!B5&gt;12,B30*100/B9,"")</f>
        <v/>
      </c>
      <c r="D30" s="32" t="str">
        <f>IF('2.Páginas de la muestra'!B5&gt;12,COUNTIF('3.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A'!C393,Hoja4!A6)+COUNTIF('3. Evaluación Nivel A'!C415,Hoja4!A6)+COUNTIF('3. Evaluación Nivel A'!C437,Hoja4!A6)+COUNTIF('3. Evaluación Nivel A'!C459,Hoja4!A6)+COUNTIF('3. Evaluación Nivel A'!C481,Hoja4!A6)+COUNTIF('3. Evaluación Nivel A'!C503,Hoja4!A6)+COUNTIF('3. Evaluación Nivel A'!C525,Hoja4!A6)+COUNTIF('3. Evaluación Nivel A'!C547,Hoja4!A6),"")</f>
        <v/>
      </c>
      <c r="E30" s="55" t="str">
        <f>IF('2.Páginas de la muestra'!B5&gt;12,D30*100/B9,"")</f>
        <v/>
      </c>
      <c r="F30" s="32" t="str">
        <f>IF('2.Páginas de la muestra'!B5&gt;12,COUNTIF('3.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A'!C393,Hoja4!A7)+COUNTIF('3. Evaluación Nivel A'!C415,Hoja4!A7)+COUNTIF('3. Evaluación Nivel A'!C437,Hoja4!A7)+COUNTIF('3. Evaluación Nivel A'!C459,Hoja4!A7)+COUNTIF('3. Evaluación Nivel A'!C481,Hoja4!A7)+COUNTIF('3. Evaluación Nivel A'!C503,Hoja4!A7)+COUNTIF('3. Evaluación Nivel A'!C525,Hoja4!A7)+COUNTIF('3. Evaluación Nivel A'!C547,Hoja4!A7),"")</f>
        <v/>
      </c>
      <c r="G30" s="55" t="str">
        <f>IF('2.Páginas de la muestra'!B5&gt;12,F30*100/B9,"")</f>
        <v/>
      </c>
      <c r="H30" s="56" t="str">
        <f>IF('2.Páginas de la muestra'!B5&gt;12,IF(ISERROR((B30*100)/(B9-F30)),0,(B30*100)/(B9-F30)),"")</f>
        <v/>
      </c>
      <c r="I30" s="56" t="str">
        <f>IF('2.Páginas de la muestra'!B5&gt;12,IF(ISERROR((D30*100)/(B9-F30)),0,(D30*100)/(B9-F30)),"")</f>
        <v/>
      </c>
    </row>
    <row r="31" spans="1:9" ht="18.75" x14ac:dyDescent="0.3">
      <c r="A31" s="37" t="str">
        <f>'2.Páginas de la muestra'!C21</f>
        <v>ALIAS 14</v>
      </c>
      <c r="B31" s="32" t="str">
        <f>IF('2.Páginas de la muestra'!B5&gt;13,COUNTIF('3.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A'!C394,Hoja4!A5)+COUNTIF('3. Evaluación Nivel A'!C416,Hoja4!A5)+COUNTIF('3. Evaluación Nivel A'!C438,Hoja4!A5)+COUNTIF('3. Evaluación Nivel A'!C460,Hoja4!A5)+COUNTIF('3. Evaluación Nivel A'!C482,Hoja4!A5)+COUNTIF('3. Evaluación Nivel A'!C504,Hoja4!A5)+COUNTIF('3. Evaluación Nivel A'!C526,Hoja4!A5)+COUNTIF('3. Evaluación Nivel A'!C548,Hoja4!A5),"")</f>
        <v/>
      </c>
      <c r="C31" s="55" t="str">
        <f>IF('2.Páginas de la muestra'!B5&gt;13,B31*100/B9,"")</f>
        <v/>
      </c>
      <c r="D31" s="32" t="str">
        <f>IF('2.Páginas de la muestra'!B5&gt;13,COUNTIF('3.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A'!C394,Hoja4!A6)+COUNTIF('3. Evaluación Nivel A'!C416,Hoja4!A6)+COUNTIF('3. Evaluación Nivel A'!C438,Hoja4!A6)+COUNTIF('3. Evaluación Nivel A'!C460,Hoja4!A6)+COUNTIF('3. Evaluación Nivel A'!C482,Hoja4!A6)+COUNTIF('3. Evaluación Nivel A'!C504,Hoja4!A6)+COUNTIF('3. Evaluación Nivel A'!C526,Hoja4!A6)+COUNTIF('3. Evaluación Nivel A'!C548,Hoja4!A6),"")</f>
        <v/>
      </c>
      <c r="E31" s="55" t="str">
        <f>IF('2.Páginas de la muestra'!B5&gt;13,D31*100/B9,"")</f>
        <v/>
      </c>
      <c r="F31" s="32" t="str">
        <f>IF('2.Páginas de la muestra'!B5&gt;13,COUNTIF('3.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A'!C394,Hoja4!A7)+COUNTIF('3. Evaluación Nivel A'!C416,Hoja4!A7)+COUNTIF('3. Evaluación Nivel A'!C438,Hoja4!A7)+COUNTIF('3. Evaluación Nivel A'!C460,Hoja4!A7)+COUNTIF('3. Evaluación Nivel A'!C482,Hoja4!A7)+COUNTIF('3. Evaluación Nivel A'!C504,Hoja4!A7)+COUNTIF('3. Evaluación Nivel A'!C526,Hoja4!A7)+COUNTIF('3. Evaluación Nivel A'!C548,Hoja4!A7),"")</f>
        <v/>
      </c>
      <c r="G31" s="55" t="str">
        <f>IF('2.Páginas de la muestra'!B5&gt;13,F31*100/B9,"")</f>
        <v/>
      </c>
      <c r="H31" s="56" t="str">
        <f>IF('2.Páginas de la muestra'!B5&gt;13,IF(ISERROR((B31*100)/(B9-F31)),0,(B31*100)/(B9-F31)),"")</f>
        <v/>
      </c>
      <c r="I31" s="56" t="str">
        <f>IF('2.Páginas de la muestra'!B5&gt;13,IF(ISERROR((D31*100)/(B9-F31)),0,(D31*100)/(B9-F31)),"")</f>
        <v/>
      </c>
    </row>
    <row r="32" spans="1:9" ht="18.75" x14ac:dyDescent="0.3">
      <c r="A32" s="37" t="str">
        <f>'2.Páginas de la muestra'!C22</f>
        <v>ALIAS 15</v>
      </c>
      <c r="B32" s="32" t="str">
        <f>IF('2.Páginas de la muestra'!B5&gt;14,COUNTIF('3.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A'!C395,Hoja4!A5)+COUNTIF('3. Evaluación Nivel A'!C417,Hoja4!A5)+COUNTIF('3. Evaluación Nivel A'!C439,Hoja4!A5)+COUNTIF('3. Evaluación Nivel A'!C461,Hoja4!A5)+COUNTIF('3. Evaluación Nivel A'!C483,Hoja4!A5)+COUNTIF('3. Evaluación Nivel A'!C505,Hoja4!A5)+COUNTIF('3. Evaluación Nivel A'!C527,Hoja4!A5)+COUNTIF('3. Evaluación Nivel A'!C549,Hoja4!A5),"")</f>
        <v/>
      </c>
      <c r="C32" s="55" t="str">
        <f>IF('2.Páginas de la muestra'!B5&gt;14,B32*100/B9,"")</f>
        <v/>
      </c>
      <c r="D32" s="32" t="str">
        <f>IF('2.Páginas de la muestra'!B5&gt;14,COUNTIF('3.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A'!C395,Hoja4!A6)+COUNTIF('3. Evaluación Nivel A'!C417,Hoja4!A6)+COUNTIF('3. Evaluación Nivel A'!C439,Hoja4!A6)+COUNTIF('3. Evaluación Nivel A'!C461,Hoja4!A6)+COUNTIF('3. Evaluación Nivel A'!C483,Hoja4!A6)+COUNTIF('3. Evaluación Nivel A'!C505,Hoja4!A6)+COUNTIF('3. Evaluación Nivel A'!C527,Hoja4!A6)+COUNTIF('3. Evaluación Nivel A'!C549,Hoja4!A6),"")</f>
        <v/>
      </c>
      <c r="E32" s="55" t="str">
        <f>IF('2.Páginas de la muestra'!B5&gt;14,D32*100/B9,"")</f>
        <v/>
      </c>
      <c r="F32" s="32" t="str">
        <f>IF('2.Páginas de la muestra'!B5&gt;14,COUNTIF('3.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A'!C395,Hoja4!A7)+COUNTIF('3. Evaluación Nivel A'!C417,Hoja4!A7)+COUNTIF('3. Evaluación Nivel A'!C439,Hoja4!A7)+COUNTIF('3. Evaluación Nivel A'!C461,Hoja4!A7)+COUNTIF('3. Evaluación Nivel A'!C483,Hoja4!A7)+COUNTIF('3. Evaluación Nivel A'!C505,Hoja4!A7)+COUNTIF('3. Evaluación Nivel A'!C527,Hoja4!A7)+COUNTIF('3. Evaluación Nivel A'!C549,Hoja4!A7),"")</f>
        <v/>
      </c>
      <c r="G32" s="55" t="str">
        <f>IF('2.Páginas de la muestra'!B5&gt;14,F32*100/B9,"")</f>
        <v/>
      </c>
      <c r="H32" s="56" t="str">
        <f>IF('2.Páginas de la muestra'!B5&gt;14,IF(ISERROR((B32*100)/(B9-F32)),0,(B32*100)/(B9-F32)),"")</f>
        <v/>
      </c>
      <c r="I32" s="56" t="str">
        <f>IF('2.Páginas de la muestra'!B5&gt;14,IF(ISERROR((D32*100)/(B9-F32)),0,(D32*100)/(B9-F32)),"")</f>
        <v/>
      </c>
    </row>
    <row r="35" spans="1:5" ht="18.75" x14ac:dyDescent="0.3">
      <c r="A35" s="4" t="s">
        <v>373</v>
      </c>
      <c r="B35" s="26"/>
      <c r="C35" s="26"/>
      <c r="D35" s="26"/>
      <c r="E35" s="26"/>
    </row>
    <row r="36" spans="1:5" s="8" customFormat="1" ht="18.75" x14ac:dyDescent="0.3">
      <c r="A36" s="26" t="s">
        <v>310</v>
      </c>
      <c r="B36" s="26"/>
      <c r="C36" s="26"/>
      <c r="D36" s="26"/>
      <c r="E36" s="26"/>
    </row>
    <row r="37" spans="1:5" ht="18.75" x14ac:dyDescent="0.3">
      <c r="A37" s="26"/>
      <c r="B37" s="26"/>
      <c r="C37" s="26"/>
      <c r="D37" s="26"/>
      <c r="E37" s="26"/>
    </row>
    <row r="38" spans="1:5" ht="18.75" x14ac:dyDescent="0.3">
      <c r="A38" s="26"/>
      <c r="B38" s="26"/>
      <c r="C38" s="26"/>
      <c r="D38" s="26"/>
      <c r="E38" s="26"/>
    </row>
    <row r="39" spans="1:5" ht="18.75" x14ac:dyDescent="0.3">
      <c r="A39" s="26"/>
      <c r="B39" s="26"/>
      <c r="C39" s="26"/>
      <c r="D39" s="26"/>
      <c r="E39" s="26"/>
    </row>
    <row r="40" spans="1:5" ht="18.75" x14ac:dyDescent="0.3">
      <c r="A40" s="26"/>
      <c r="B40" s="26"/>
      <c r="C40" s="26"/>
      <c r="D40" s="26"/>
      <c r="E40" s="26"/>
    </row>
    <row r="41" spans="1:5" ht="18.75" x14ac:dyDescent="0.3">
      <c r="A41" s="26"/>
      <c r="B41" s="26"/>
      <c r="C41" s="26"/>
      <c r="D41" s="26"/>
      <c r="E41" s="26"/>
    </row>
    <row r="42" spans="1:5" ht="18.75" x14ac:dyDescent="0.3">
      <c r="A42" s="26"/>
      <c r="B42" s="26"/>
      <c r="C42" s="26"/>
      <c r="D42" s="26"/>
      <c r="E42" s="26"/>
    </row>
    <row r="43" spans="1:5" ht="18.75" x14ac:dyDescent="0.3">
      <c r="A43" s="26"/>
      <c r="B43" s="26"/>
      <c r="C43" s="26"/>
      <c r="D43" s="26"/>
      <c r="E43" s="26"/>
    </row>
    <row r="44" spans="1:5" ht="18.75" x14ac:dyDescent="0.3">
      <c r="A44" s="26"/>
      <c r="B44" s="26"/>
      <c r="C44" s="26"/>
      <c r="D44" s="26"/>
      <c r="E44" s="26"/>
    </row>
    <row r="45" spans="1:5" ht="18.75" x14ac:dyDescent="0.3">
      <c r="A45" s="26"/>
      <c r="B45" s="26"/>
      <c r="C45" s="26"/>
      <c r="D45" s="26"/>
      <c r="E45" s="26"/>
    </row>
    <row r="46" spans="1:5" ht="18.75" x14ac:dyDescent="0.3">
      <c r="A46" s="26"/>
      <c r="B46" s="26"/>
      <c r="C46" s="26"/>
      <c r="D46" s="26"/>
      <c r="E46" s="26"/>
    </row>
    <row r="47" spans="1:5" ht="18.75" x14ac:dyDescent="0.3">
      <c r="A47" s="26"/>
      <c r="B47" s="26"/>
      <c r="C47" s="26"/>
      <c r="D47" s="26"/>
      <c r="E47" s="26"/>
    </row>
    <row r="48" spans="1:5" ht="18.75" x14ac:dyDescent="0.3">
      <c r="A48" s="26"/>
      <c r="B48" s="26"/>
      <c r="C48" s="26"/>
      <c r="D48" s="26"/>
      <c r="E48" s="26"/>
    </row>
    <row r="49" spans="1:5" ht="18.75" x14ac:dyDescent="0.3">
      <c r="A49" s="26"/>
      <c r="B49" s="26"/>
      <c r="C49" s="26"/>
      <c r="D49" s="26"/>
      <c r="E49" s="26"/>
    </row>
    <row r="50" spans="1:5" ht="18.75" x14ac:dyDescent="0.3">
      <c r="A50" s="26"/>
      <c r="B50" s="26"/>
      <c r="C50" s="26"/>
      <c r="D50" s="26"/>
      <c r="E50" s="26"/>
    </row>
    <row r="51" spans="1:5" ht="18.75" x14ac:dyDescent="0.3">
      <c r="A51" s="26"/>
      <c r="B51" s="26"/>
      <c r="C51" s="26"/>
      <c r="D51" s="26"/>
      <c r="E51" s="26"/>
    </row>
    <row r="52" spans="1:5" ht="18.75" x14ac:dyDescent="0.3">
      <c r="A52" s="26"/>
      <c r="B52" s="26"/>
      <c r="C52" s="26"/>
      <c r="D52" s="26"/>
      <c r="E52" s="26"/>
    </row>
    <row r="53" spans="1:5" ht="18.75" x14ac:dyDescent="0.3">
      <c r="A53" s="26"/>
      <c r="B53" s="26"/>
      <c r="C53" s="26"/>
      <c r="D53" s="26"/>
      <c r="E53" s="26"/>
    </row>
    <row r="54" spans="1:5" ht="18.75" x14ac:dyDescent="0.3">
      <c r="A54" s="26"/>
      <c r="B54" s="26"/>
      <c r="C54" s="26"/>
      <c r="D54" s="26"/>
      <c r="E54" s="26"/>
    </row>
    <row r="55" spans="1:5" ht="18.75" x14ac:dyDescent="0.3">
      <c r="A55" s="26"/>
      <c r="B55" s="26"/>
      <c r="C55" s="26"/>
      <c r="D55" s="26"/>
      <c r="E55" s="26"/>
    </row>
    <row r="56" spans="1:5" ht="18.75" x14ac:dyDescent="0.3">
      <c r="A56" s="26"/>
      <c r="B56" s="26"/>
      <c r="C56" s="26"/>
      <c r="D56" s="26"/>
      <c r="E56" s="26"/>
    </row>
    <row r="57" spans="1:5" ht="18.75" x14ac:dyDescent="0.3">
      <c r="A57" s="26"/>
      <c r="B57" s="26"/>
      <c r="C57" s="26"/>
      <c r="D57" s="26"/>
      <c r="E57" s="26"/>
    </row>
    <row r="58" spans="1:5" ht="18.75" x14ac:dyDescent="0.3">
      <c r="A58" s="26"/>
      <c r="B58" s="26"/>
      <c r="C58" s="26"/>
      <c r="D58" s="26"/>
      <c r="E58" s="26"/>
    </row>
    <row r="59" spans="1:5" ht="18.75" x14ac:dyDescent="0.3">
      <c r="A59" s="26"/>
      <c r="B59" s="26"/>
      <c r="C59" s="26"/>
      <c r="D59" s="26"/>
      <c r="E59" s="26"/>
    </row>
    <row r="60" spans="1:5" ht="18.75" x14ac:dyDescent="0.3">
      <c r="A60" s="26"/>
      <c r="B60" s="26"/>
      <c r="C60" s="26"/>
      <c r="D60" s="26"/>
      <c r="E60" s="26"/>
    </row>
    <row r="61" spans="1:5" ht="18.75" x14ac:dyDescent="0.3">
      <c r="A61" s="26"/>
      <c r="B61" s="26"/>
      <c r="C61" s="26"/>
      <c r="D61" s="26"/>
      <c r="E61" s="26"/>
    </row>
    <row r="62" spans="1:5" ht="18.75" x14ac:dyDescent="0.3">
      <c r="A62" s="26"/>
      <c r="B62" s="26"/>
      <c r="C62" s="26"/>
      <c r="D62" s="26"/>
      <c r="E62" s="26"/>
    </row>
    <row r="63" spans="1:5" ht="18.75" x14ac:dyDescent="0.3">
      <c r="A63" s="26"/>
      <c r="B63" s="26"/>
      <c r="C63" s="26"/>
      <c r="D63" s="26"/>
      <c r="E63" s="26"/>
    </row>
    <row r="64" spans="1:5" ht="18.75" x14ac:dyDescent="0.3">
      <c r="A64" s="26"/>
      <c r="B64" s="26"/>
      <c r="C64" s="26"/>
      <c r="D64" s="26"/>
      <c r="E64" s="26"/>
    </row>
    <row r="65" spans="1:10" ht="18.75" x14ac:dyDescent="0.3">
      <c r="A65" s="26"/>
      <c r="B65" s="26"/>
      <c r="C65" s="26"/>
      <c r="D65" s="26"/>
      <c r="E65" s="26"/>
    </row>
    <row r="66" spans="1:10" ht="18.75" x14ac:dyDescent="0.3">
      <c r="A66" s="26"/>
      <c r="B66" s="26"/>
      <c r="C66" s="26"/>
      <c r="D66" s="26"/>
      <c r="E66" s="26"/>
    </row>
    <row r="67" spans="1:10" ht="18.75" x14ac:dyDescent="0.3">
      <c r="A67" s="26"/>
      <c r="B67" s="26"/>
      <c r="C67" s="26"/>
      <c r="D67" s="26"/>
      <c r="E67" s="26"/>
    </row>
    <row r="68" spans="1:10" ht="18.75" x14ac:dyDescent="0.3">
      <c r="A68" s="26"/>
      <c r="B68" s="26"/>
      <c r="C68" s="26"/>
      <c r="D68" s="26"/>
      <c r="E68" s="26"/>
    </row>
    <row r="69" spans="1:10" ht="18.75" x14ac:dyDescent="0.3">
      <c r="A69" s="26"/>
      <c r="B69" s="26"/>
      <c r="C69" s="26"/>
      <c r="D69" s="26"/>
      <c r="E69" s="26"/>
    </row>
    <row r="70" spans="1:10" ht="15.75" thickBot="1" x14ac:dyDescent="0.3"/>
    <row r="71" spans="1:10" s="8" customFormat="1" ht="15.75" thickTop="1" x14ac:dyDescent="0.25">
      <c r="A71" s="168"/>
      <c r="B71" s="168"/>
      <c r="C71" s="168"/>
      <c r="D71" s="168"/>
      <c r="E71" s="168"/>
      <c r="F71" s="168"/>
      <c r="G71" s="168"/>
      <c r="H71" s="168"/>
      <c r="I71" s="168"/>
      <c r="J71" s="168"/>
    </row>
    <row r="72" spans="1:10" s="8" customFormat="1" x14ac:dyDescent="0.25">
      <c r="A72" s="23" t="s">
        <v>44</v>
      </c>
      <c r="B72" s="190" t="s">
        <v>2</v>
      </c>
      <c r="C72" s="190"/>
      <c r="D72" s="190"/>
      <c r="E72" s="190"/>
      <c r="F72" s="190"/>
      <c r="G72" s="190"/>
      <c r="H72" s="190"/>
      <c r="I72" s="190"/>
      <c r="J72" s="190"/>
    </row>
    <row r="73" spans="1:10" s="8" customFormat="1" x14ac:dyDescent="0.25">
      <c r="A73" s="24" t="s">
        <v>173</v>
      </c>
      <c r="B73" s="191" t="s">
        <v>47</v>
      </c>
      <c r="C73" s="192"/>
      <c r="D73" s="192"/>
      <c r="E73" s="192"/>
      <c r="F73" s="192"/>
      <c r="G73" s="192"/>
      <c r="H73" s="192"/>
      <c r="I73" s="192"/>
      <c r="J73" s="192"/>
    </row>
    <row r="74" spans="1:10" s="8" customFormat="1" x14ac:dyDescent="0.25">
      <c r="A74" s="24" t="s">
        <v>45</v>
      </c>
      <c r="B74" s="192" t="s">
        <v>46</v>
      </c>
      <c r="C74" s="192"/>
      <c r="D74" s="192"/>
      <c r="E74" s="192"/>
      <c r="F74" s="192"/>
      <c r="G74" s="192"/>
      <c r="H74" s="192"/>
      <c r="I74" s="192"/>
      <c r="J74" s="192"/>
    </row>
    <row r="75" spans="1:10" s="8" customFormat="1" x14ac:dyDescent="0.25">
      <c r="A75" s="25" t="s">
        <v>171</v>
      </c>
      <c r="B75" s="193" t="s">
        <v>437</v>
      </c>
      <c r="C75" s="193"/>
      <c r="D75" s="193"/>
      <c r="E75" s="193"/>
      <c r="F75" s="193"/>
      <c r="G75" s="193"/>
      <c r="H75" s="193"/>
      <c r="I75" s="193"/>
      <c r="J75" s="193"/>
    </row>
    <row r="76" spans="1:10" s="8" customFormat="1" x14ac:dyDescent="0.25">
      <c r="A76" s="24" t="s">
        <v>172</v>
      </c>
      <c r="B76" s="188" t="s">
        <v>52</v>
      </c>
      <c r="C76" s="188"/>
      <c r="D76" s="188"/>
      <c r="E76" s="188"/>
      <c r="F76" s="188"/>
      <c r="G76" s="188"/>
      <c r="H76" s="188"/>
      <c r="I76" s="188"/>
      <c r="J76" s="188"/>
    </row>
    <row r="77" spans="1:10" s="8" customFormat="1" x14ac:dyDescent="0.25">
      <c r="A77" s="22"/>
      <c r="B77" s="22"/>
      <c r="C77" s="22"/>
      <c r="D77" s="22"/>
      <c r="E77" s="22"/>
      <c r="F77" s="22"/>
      <c r="G77" s="22"/>
      <c r="H77" s="22"/>
      <c r="I77" s="22"/>
      <c r="J77" s="22"/>
    </row>
  </sheetData>
  <sheetProtection password="A80B" sheet="1" objects="1" scenarios="1"/>
  <mergeCells count="6">
    <mergeCell ref="B76:J76"/>
    <mergeCell ref="A1:D2"/>
    <mergeCell ref="B72:J72"/>
    <mergeCell ref="B73:J73"/>
    <mergeCell ref="B74:J74"/>
    <mergeCell ref="B75:J75"/>
  </mergeCells>
  <hyperlinks>
    <hyperlink ref="B74" r:id="rId1"/>
    <hyperlink ref="B73" r:id="rId2"/>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8"/>
  <sheetViews>
    <sheetView showGridLines="0" topLeftCell="B230" zoomScaleNormal="100" workbookViewId="0">
      <selection activeCell="E287" sqref="E287"/>
    </sheetView>
  </sheetViews>
  <sheetFormatPr baseColWidth="10" defaultColWidth="9.125" defaultRowHeight="18.75" x14ac:dyDescent="0.3"/>
  <cols>
    <col min="1" max="1" width="89.375" style="124" customWidth="1"/>
    <col min="2" max="2" width="37" style="124" customWidth="1"/>
    <col min="3" max="3" width="22" style="141" customWidth="1"/>
    <col min="4" max="4" width="20" style="124" customWidth="1"/>
    <col min="5" max="5" width="217.75" style="124" customWidth="1"/>
    <col min="6" max="6" width="9.125" style="124"/>
    <col min="7" max="7" width="37.25" style="124" customWidth="1"/>
    <col min="8" max="8" width="7.125" style="124" customWidth="1"/>
    <col min="9" max="9" width="22.875" style="124" customWidth="1"/>
    <col min="10" max="10" width="9.125" style="124"/>
    <col min="11" max="11" width="12.375" style="124" customWidth="1"/>
    <col min="12" max="12" width="10.625" style="124" customWidth="1"/>
    <col min="13" max="13" width="13.375" style="124" customWidth="1"/>
    <col min="14" max="14" width="20.875" style="124" customWidth="1"/>
    <col min="15" max="15" width="23.125" style="124" customWidth="1"/>
    <col min="16" max="16384" width="9.125" style="124"/>
  </cols>
  <sheetData>
    <row r="1" spans="1:14" ht="28.5" customHeight="1" x14ac:dyDescent="0.25">
      <c r="A1" s="173" t="s">
        <v>170</v>
      </c>
      <c r="B1" s="173"/>
      <c r="C1" s="173"/>
      <c r="D1" s="124" t="s">
        <v>358</v>
      </c>
    </row>
    <row r="2" spans="1:14" ht="15" customHeight="1" x14ac:dyDescent="0.25">
      <c r="A2" s="173"/>
      <c r="B2" s="173"/>
      <c r="C2" s="173"/>
    </row>
    <row r="3" spans="1:14" ht="23.25" x14ac:dyDescent="0.3">
      <c r="A3" s="125" t="s">
        <v>312</v>
      </c>
      <c r="E3" s="140" t="s">
        <v>369</v>
      </c>
    </row>
    <row r="4" spans="1:14" x14ac:dyDescent="0.3">
      <c r="E4" s="128" t="s">
        <v>370</v>
      </c>
    </row>
    <row r="5" spans="1:14" x14ac:dyDescent="0.3">
      <c r="A5" s="178" t="s">
        <v>385</v>
      </c>
      <c r="B5" s="182"/>
      <c r="C5" s="139" t="s">
        <v>191</v>
      </c>
      <c r="E5" s="140" t="s">
        <v>315</v>
      </c>
      <c r="G5" s="144"/>
      <c r="H5" s="144"/>
      <c r="I5" s="144"/>
      <c r="J5" s="144"/>
      <c r="K5" s="144"/>
      <c r="L5" s="144"/>
      <c r="M5" s="144"/>
      <c r="N5" s="144"/>
    </row>
    <row r="6" spans="1:14" ht="18.75" customHeight="1" x14ac:dyDescent="0.3">
      <c r="A6" s="180" t="s">
        <v>374</v>
      </c>
      <c r="B6" s="143" t="str">
        <f>'2.Páginas de la muestra'!C8</f>
        <v>Inicio</v>
      </c>
      <c r="C6" s="38" t="s">
        <v>10</v>
      </c>
      <c r="E6" s="124" t="s">
        <v>316</v>
      </c>
      <c r="G6" s="144"/>
      <c r="H6" s="144"/>
      <c r="I6" s="144"/>
      <c r="J6" s="144"/>
      <c r="K6" s="144"/>
      <c r="L6" s="144"/>
      <c r="M6" s="144"/>
      <c r="N6" s="144"/>
    </row>
    <row r="7" spans="1:14" x14ac:dyDescent="0.3">
      <c r="A7" s="180"/>
      <c r="B7" s="143" t="str">
        <f>'2.Páginas de la muestra'!C9</f>
        <v>login</v>
      </c>
      <c r="C7" s="38" t="s">
        <v>10</v>
      </c>
      <c r="G7" s="144"/>
      <c r="H7" s="144"/>
      <c r="I7" s="144"/>
      <c r="J7" s="144"/>
      <c r="K7" s="144"/>
      <c r="L7" s="144"/>
      <c r="M7" s="144"/>
      <c r="N7" s="144"/>
    </row>
    <row r="8" spans="1:14" x14ac:dyDescent="0.3">
      <c r="A8" s="180"/>
      <c r="B8" s="143" t="str">
        <f>'2.Páginas de la muestra'!C10</f>
        <v>Inicio-Dashboard</v>
      </c>
      <c r="C8" s="38" t="s">
        <v>10</v>
      </c>
      <c r="G8" s="144"/>
      <c r="H8" s="144"/>
      <c r="I8" s="144"/>
      <c r="J8" s="144"/>
      <c r="K8" s="144"/>
      <c r="L8" s="144"/>
      <c r="M8" s="144"/>
      <c r="N8" s="144"/>
    </row>
    <row r="9" spans="1:14" x14ac:dyDescent="0.3">
      <c r="A9" s="180"/>
      <c r="B9" s="143" t="str">
        <f>'2.Páginas de la muestra'!C11</f>
        <v>Dashboard-Usuarios</v>
      </c>
      <c r="C9" s="38" t="s">
        <v>10</v>
      </c>
      <c r="G9" s="144"/>
      <c r="H9" s="144"/>
      <c r="I9" s="144"/>
      <c r="J9" s="144"/>
      <c r="K9" s="144"/>
      <c r="L9" s="144"/>
      <c r="M9" s="144"/>
      <c r="N9" s="144"/>
    </row>
    <row r="10" spans="1:14" x14ac:dyDescent="0.3">
      <c r="A10" s="180"/>
      <c r="B10" s="143" t="str">
        <f>'2.Páginas de la muestra'!C12</f>
        <v>Dashboard-Servicios</v>
      </c>
      <c r="C10" s="38" t="s">
        <v>10</v>
      </c>
      <c r="G10" s="144"/>
      <c r="H10" s="144"/>
      <c r="I10" s="144"/>
      <c r="J10" s="144"/>
      <c r="K10" s="144"/>
      <c r="L10" s="144"/>
      <c r="M10" s="144"/>
      <c r="N10" s="144"/>
    </row>
    <row r="11" spans="1:14" x14ac:dyDescent="0.3">
      <c r="A11" s="180"/>
      <c r="B11" s="143" t="str">
        <f>'2.Páginas de la muestra'!C13</f>
        <v>Dashboard-Reservas</v>
      </c>
      <c r="C11" s="38" t="s">
        <v>10</v>
      </c>
    </row>
    <row r="12" spans="1:14" x14ac:dyDescent="0.3">
      <c r="A12" s="180"/>
      <c r="B12" s="143" t="str">
        <f>'2.Páginas de la muestra'!C14</f>
        <v>Dashboard-Reservas-clientes</v>
      </c>
      <c r="C12" s="38" t="s">
        <v>10</v>
      </c>
    </row>
    <row r="13" spans="1:14" x14ac:dyDescent="0.3">
      <c r="A13" s="180"/>
      <c r="B13" s="143" t="str">
        <f>'2.Páginas de la muestra'!C15</f>
        <v>ALIAS 8</v>
      </c>
      <c r="C13" s="38"/>
    </row>
    <row r="14" spans="1:14" x14ac:dyDescent="0.3">
      <c r="A14" s="180"/>
      <c r="B14" s="143" t="str">
        <f>'2.Páginas de la muestra'!C16</f>
        <v>ALIAS 9</v>
      </c>
      <c r="C14" s="38"/>
    </row>
    <row r="15" spans="1:14" x14ac:dyDescent="0.3">
      <c r="A15" s="180"/>
      <c r="B15" s="143" t="str">
        <f>'2.Páginas de la muestra'!C17</f>
        <v>ALIAS 10</v>
      </c>
      <c r="C15" s="38"/>
    </row>
    <row r="16" spans="1:14" x14ac:dyDescent="0.3">
      <c r="A16" s="180"/>
      <c r="B16" s="143" t="str">
        <f>'2.Páginas de la muestra'!C18</f>
        <v>ALIAS 11</v>
      </c>
      <c r="C16" s="38"/>
    </row>
    <row r="17" spans="1:5" x14ac:dyDescent="0.3">
      <c r="A17" s="180"/>
      <c r="B17" s="143" t="str">
        <f>'2.Páginas de la muestra'!C19</f>
        <v>ALIAS 12</v>
      </c>
      <c r="C17" s="38"/>
    </row>
    <row r="18" spans="1:5" x14ac:dyDescent="0.3">
      <c r="A18" s="180"/>
      <c r="B18" s="143" t="str">
        <f>'2.Páginas de la muestra'!C20</f>
        <v>ALIAS 13</v>
      </c>
      <c r="C18" s="38"/>
    </row>
    <row r="19" spans="1:5" x14ac:dyDescent="0.3">
      <c r="A19" s="180"/>
      <c r="B19" s="143" t="str">
        <f>'2.Páginas de la muestra'!C21</f>
        <v>ALIAS 14</v>
      </c>
      <c r="C19" s="38"/>
    </row>
    <row r="20" spans="1:5" x14ac:dyDescent="0.3">
      <c r="A20" s="181"/>
      <c r="B20" s="143" t="str">
        <f>'2.Páginas de la muestra'!C22</f>
        <v>ALIAS 15</v>
      </c>
      <c r="C20" s="38"/>
    </row>
    <row r="21" spans="1:5" x14ac:dyDescent="0.3">
      <c r="A21" s="152"/>
      <c r="B21" s="157"/>
      <c r="C21" s="146" t="s">
        <v>11</v>
      </c>
      <c r="D21" s="39"/>
    </row>
    <row r="22" spans="1:5" x14ac:dyDescent="0.3">
      <c r="A22" s="152"/>
      <c r="B22" s="157"/>
    </row>
    <row r="23" spans="1:5" x14ac:dyDescent="0.3">
      <c r="A23" s="149" t="s">
        <v>343</v>
      </c>
      <c r="B23" s="150" t="s">
        <v>252</v>
      </c>
      <c r="C23" s="154">
        <f>COUNTIF(C6:C20,Hoja4!A5)</f>
        <v>0</v>
      </c>
    </row>
    <row r="24" spans="1:5" x14ac:dyDescent="0.3">
      <c r="A24" s="152"/>
      <c r="B24" s="150" t="s">
        <v>253</v>
      </c>
      <c r="C24" s="154">
        <f>COUNTIF(C6:C20,Hoja4!A6)</f>
        <v>0</v>
      </c>
    </row>
    <row r="25" spans="1:5" x14ac:dyDescent="0.3">
      <c r="A25" s="152"/>
      <c r="B25" s="150" t="s">
        <v>209</v>
      </c>
      <c r="C25" s="154">
        <f>COUNTIF(C6:C20,Hoja4!A7)</f>
        <v>7</v>
      </c>
    </row>
    <row r="26" spans="1:5" x14ac:dyDescent="0.3">
      <c r="A26" s="152"/>
      <c r="B26" s="157"/>
    </row>
    <row r="27" spans="1:5" x14ac:dyDescent="0.3">
      <c r="A27" s="178" t="s">
        <v>386</v>
      </c>
      <c r="B27" s="182"/>
      <c r="C27" s="139" t="s">
        <v>191</v>
      </c>
      <c r="E27" s="140" t="s">
        <v>317</v>
      </c>
    </row>
    <row r="28" spans="1:5" ht="18.75" customHeight="1" x14ac:dyDescent="0.3">
      <c r="A28" s="180" t="s">
        <v>375</v>
      </c>
      <c r="B28" s="143" t="str">
        <f>'2.Páginas de la muestra'!C8</f>
        <v>Inicio</v>
      </c>
      <c r="C28" s="38" t="s">
        <v>10</v>
      </c>
      <c r="E28" s="124" t="s">
        <v>318</v>
      </c>
    </row>
    <row r="29" spans="1:5" x14ac:dyDescent="0.3">
      <c r="A29" s="180"/>
      <c r="B29" s="143" t="str">
        <f>'2.Páginas de la muestra'!C9</f>
        <v>login</v>
      </c>
      <c r="C29" s="38" t="s">
        <v>10</v>
      </c>
    </row>
    <row r="30" spans="1:5" x14ac:dyDescent="0.3">
      <c r="A30" s="180"/>
      <c r="B30" s="143" t="str">
        <f>'2.Páginas de la muestra'!C10</f>
        <v>Inicio-Dashboard</v>
      </c>
      <c r="C30" s="38" t="s">
        <v>10</v>
      </c>
    </row>
    <row r="31" spans="1:5" x14ac:dyDescent="0.3">
      <c r="A31" s="180"/>
      <c r="B31" s="143" t="str">
        <f>'2.Páginas de la muestra'!C11</f>
        <v>Dashboard-Usuarios</v>
      </c>
      <c r="C31" s="38" t="s">
        <v>10</v>
      </c>
    </row>
    <row r="32" spans="1:5" x14ac:dyDescent="0.3">
      <c r="A32" s="180"/>
      <c r="B32" s="143" t="str">
        <f>'2.Páginas de la muestra'!C12</f>
        <v>Dashboard-Servicios</v>
      </c>
      <c r="C32" s="38" t="s">
        <v>10</v>
      </c>
    </row>
    <row r="33" spans="1:4" x14ac:dyDescent="0.3">
      <c r="A33" s="180"/>
      <c r="B33" s="143" t="str">
        <f>'2.Páginas de la muestra'!C13</f>
        <v>Dashboard-Reservas</v>
      </c>
      <c r="C33" s="38" t="s">
        <v>10</v>
      </c>
    </row>
    <row r="34" spans="1:4" x14ac:dyDescent="0.3">
      <c r="A34" s="180"/>
      <c r="B34" s="143" t="str">
        <f>'2.Páginas de la muestra'!C14</f>
        <v>Dashboard-Reservas-clientes</v>
      </c>
      <c r="C34" s="38" t="s">
        <v>10</v>
      </c>
    </row>
    <row r="35" spans="1:4" x14ac:dyDescent="0.3">
      <c r="A35" s="180"/>
      <c r="B35" s="143" t="str">
        <f>'2.Páginas de la muestra'!C15</f>
        <v>ALIAS 8</v>
      </c>
      <c r="C35" s="38"/>
    </row>
    <row r="36" spans="1:4" x14ac:dyDescent="0.3">
      <c r="A36" s="180"/>
      <c r="B36" s="143" t="str">
        <f>'2.Páginas de la muestra'!C16</f>
        <v>ALIAS 9</v>
      </c>
      <c r="C36" s="38"/>
    </row>
    <row r="37" spans="1:4" x14ac:dyDescent="0.3">
      <c r="A37" s="180"/>
      <c r="B37" s="143" t="str">
        <f>'2.Páginas de la muestra'!C17</f>
        <v>ALIAS 10</v>
      </c>
      <c r="C37" s="38"/>
    </row>
    <row r="38" spans="1:4" x14ac:dyDescent="0.3">
      <c r="A38" s="180"/>
      <c r="B38" s="143" t="str">
        <f>'2.Páginas de la muestra'!C18</f>
        <v>ALIAS 11</v>
      </c>
      <c r="C38" s="38"/>
    </row>
    <row r="39" spans="1:4" x14ac:dyDescent="0.3">
      <c r="A39" s="180"/>
      <c r="B39" s="143" t="str">
        <f>'2.Páginas de la muestra'!C19</f>
        <v>ALIAS 12</v>
      </c>
      <c r="C39" s="38"/>
    </row>
    <row r="40" spans="1:4" x14ac:dyDescent="0.3">
      <c r="A40" s="180"/>
      <c r="B40" s="143" t="str">
        <f>'2.Páginas de la muestra'!C20</f>
        <v>ALIAS 13</v>
      </c>
      <c r="C40" s="38"/>
    </row>
    <row r="41" spans="1:4" x14ac:dyDescent="0.3">
      <c r="A41" s="180"/>
      <c r="B41" s="143" t="str">
        <f>'2.Páginas de la muestra'!C21</f>
        <v>ALIAS 14</v>
      </c>
      <c r="C41" s="38"/>
    </row>
    <row r="42" spans="1:4" x14ac:dyDescent="0.3">
      <c r="A42" s="181"/>
      <c r="B42" s="143" t="str">
        <f>'2.Páginas de la muestra'!C22</f>
        <v>ALIAS 15</v>
      </c>
      <c r="C42" s="38"/>
    </row>
    <row r="43" spans="1:4" x14ac:dyDescent="0.3">
      <c r="A43" s="152"/>
      <c r="B43" s="157"/>
      <c r="C43" s="146" t="s">
        <v>11</v>
      </c>
      <c r="D43" s="39"/>
    </row>
    <row r="44" spans="1:4" x14ac:dyDescent="0.3">
      <c r="A44" s="152"/>
      <c r="B44" s="157"/>
    </row>
    <row r="45" spans="1:4" x14ac:dyDescent="0.3">
      <c r="A45" s="149" t="s">
        <v>344</v>
      </c>
      <c r="B45" s="150" t="s">
        <v>252</v>
      </c>
      <c r="C45" s="154">
        <f>COUNTIF(C28:C42,Hoja4!A5)</f>
        <v>0</v>
      </c>
    </row>
    <row r="46" spans="1:4" x14ac:dyDescent="0.3">
      <c r="A46" s="152"/>
      <c r="B46" s="150" t="s">
        <v>253</v>
      </c>
      <c r="C46" s="154">
        <f>COUNTIF(C28:C42,Hoja4!A6)</f>
        <v>0</v>
      </c>
    </row>
    <row r="47" spans="1:4" x14ac:dyDescent="0.3">
      <c r="A47" s="152"/>
      <c r="B47" s="150" t="s">
        <v>209</v>
      </c>
      <c r="C47" s="154">
        <f>COUNTIF(C28:C42,Hoja4!A7)</f>
        <v>7</v>
      </c>
    </row>
    <row r="48" spans="1:4" x14ac:dyDescent="0.3">
      <c r="A48" s="152"/>
      <c r="B48" s="157"/>
    </row>
    <row r="49" spans="1:5" x14ac:dyDescent="0.3">
      <c r="A49" s="178" t="s">
        <v>387</v>
      </c>
      <c r="B49" s="182"/>
      <c r="C49" s="139" t="s">
        <v>191</v>
      </c>
      <c r="E49" s="140" t="s">
        <v>322</v>
      </c>
    </row>
    <row r="50" spans="1:5" ht="18.75" customHeight="1" x14ac:dyDescent="0.3">
      <c r="A50" s="180" t="s">
        <v>376</v>
      </c>
      <c r="B50" s="143" t="str">
        <f>'2.Páginas de la muestra'!C8</f>
        <v>Inicio</v>
      </c>
      <c r="C50" s="38" t="s">
        <v>8</v>
      </c>
      <c r="E50" s="124" t="s">
        <v>79</v>
      </c>
    </row>
    <row r="51" spans="1:5" x14ac:dyDescent="0.3">
      <c r="A51" s="180"/>
      <c r="B51" s="143" t="str">
        <f>'2.Páginas de la muestra'!C9</f>
        <v>login</v>
      </c>
      <c r="C51" s="38" t="s">
        <v>8</v>
      </c>
      <c r="E51" s="124" t="s">
        <v>319</v>
      </c>
    </row>
    <row r="52" spans="1:5" x14ac:dyDescent="0.3">
      <c r="A52" s="180"/>
      <c r="B52" s="143" t="str">
        <f>'2.Páginas de la muestra'!C10</f>
        <v>Inicio-Dashboard</v>
      </c>
      <c r="C52" s="38" t="s">
        <v>8</v>
      </c>
      <c r="E52" s="124" t="s">
        <v>320</v>
      </c>
    </row>
    <row r="53" spans="1:5" x14ac:dyDescent="0.3">
      <c r="A53" s="180"/>
      <c r="B53" s="143" t="str">
        <f>'2.Páginas de la muestra'!C11</f>
        <v>Dashboard-Usuarios</v>
      </c>
      <c r="C53" s="38" t="s">
        <v>8</v>
      </c>
      <c r="E53" s="124" t="s">
        <v>321</v>
      </c>
    </row>
    <row r="54" spans="1:5" x14ac:dyDescent="0.3">
      <c r="A54" s="180"/>
      <c r="B54" s="143" t="str">
        <f>'2.Páginas de la muestra'!C12</f>
        <v>Dashboard-Servicios</v>
      </c>
      <c r="C54" s="38" t="s">
        <v>8</v>
      </c>
      <c r="E54" s="124" t="s">
        <v>391</v>
      </c>
    </row>
    <row r="55" spans="1:5" x14ac:dyDescent="0.3">
      <c r="A55" s="180"/>
      <c r="B55" s="143" t="str">
        <f>'2.Páginas de la muestra'!C13</f>
        <v>Dashboard-Reservas</v>
      </c>
      <c r="C55" s="38" t="s">
        <v>8</v>
      </c>
    </row>
    <row r="56" spans="1:5" x14ac:dyDescent="0.3">
      <c r="A56" s="180"/>
      <c r="B56" s="143" t="str">
        <f>'2.Páginas de la muestra'!C14</f>
        <v>Dashboard-Reservas-clientes</v>
      </c>
      <c r="C56" s="38" t="s">
        <v>8</v>
      </c>
    </row>
    <row r="57" spans="1:5" x14ac:dyDescent="0.3">
      <c r="A57" s="180"/>
      <c r="B57" s="143" t="str">
        <f>'2.Páginas de la muestra'!C15</f>
        <v>ALIAS 8</v>
      </c>
      <c r="C57" s="38"/>
    </row>
    <row r="58" spans="1:5" x14ac:dyDescent="0.3">
      <c r="A58" s="180"/>
      <c r="B58" s="143" t="str">
        <f>'2.Páginas de la muestra'!C16</f>
        <v>ALIAS 9</v>
      </c>
      <c r="C58" s="38"/>
    </row>
    <row r="59" spans="1:5" x14ac:dyDescent="0.3">
      <c r="A59" s="180"/>
      <c r="B59" s="143" t="str">
        <f>'2.Páginas de la muestra'!C17</f>
        <v>ALIAS 10</v>
      </c>
      <c r="C59" s="38"/>
    </row>
    <row r="60" spans="1:5" x14ac:dyDescent="0.3">
      <c r="A60" s="180"/>
      <c r="B60" s="143" t="str">
        <f>'2.Páginas de la muestra'!C18</f>
        <v>ALIAS 11</v>
      </c>
      <c r="C60" s="38"/>
    </row>
    <row r="61" spans="1:5" x14ac:dyDescent="0.3">
      <c r="A61" s="180"/>
      <c r="B61" s="143" t="str">
        <f>'2.Páginas de la muestra'!C19</f>
        <v>ALIAS 12</v>
      </c>
      <c r="C61" s="38"/>
    </row>
    <row r="62" spans="1:5" x14ac:dyDescent="0.3">
      <c r="A62" s="180"/>
      <c r="B62" s="143" t="str">
        <f>'2.Páginas de la muestra'!C20</f>
        <v>ALIAS 13</v>
      </c>
      <c r="C62" s="38"/>
    </row>
    <row r="63" spans="1:5" x14ac:dyDescent="0.3">
      <c r="A63" s="180"/>
      <c r="B63" s="143" t="str">
        <f>'2.Páginas de la muestra'!C21</f>
        <v>ALIAS 14</v>
      </c>
      <c r="C63" s="38"/>
    </row>
    <row r="64" spans="1:5" x14ac:dyDescent="0.3">
      <c r="A64" s="181"/>
      <c r="B64" s="143" t="str">
        <f>'2.Páginas de la muestra'!C22</f>
        <v>ALIAS 15</v>
      </c>
      <c r="C64" s="38"/>
    </row>
    <row r="65" spans="1:5" x14ac:dyDescent="0.3">
      <c r="A65" s="158"/>
      <c r="B65" s="157"/>
      <c r="C65" s="146" t="s">
        <v>11</v>
      </c>
      <c r="D65" s="39"/>
    </row>
    <row r="66" spans="1:5" x14ac:dyDescent="0.3">
      <c r="A66" s="152"/>
      <c r="B66" s="157"/>
    </row>
    <row r="67" spans="1:5" x14ac:dyDescent="0.3">
      <c r="A67" s="149" t="s">
        <v>345</v>
      </c>
      <c r="B67" s="150" t="s">
        <v>252</v>
      </c>
      <c r="C67" s="154">
        <f>COUNTIF(C50:C64,Hoja4!A5)</f>
        <v>7</v>
      </c>
    </row>
    <row r="68" spans="1:5" x14ac:dyDescent="0.3">
      <c r="A68" s="152"/>
      <c r="B68" s="150" t="s">
        <v>253</v>
      </c>
      <c r="C68" s="154">
        <f>COUNTIF(C50:C64,Hoja4!A6)</f>
        <v>0</v>
      </c>
    </row>
    <row r="69" spans="1:5" x14ac:dyDescent="0.3">
      <c r="A69" s="152"/>
      <c r="B69" s="150" t="s">
        <v>209</v>
      </c>
      <c r="C69" s="154">
        <f>COUNTIF(C50:C64,Hoja4!A7)</f>
        <v>0</v>
      </c>
    </row>
    <row r="70" spans="1:5" x14ac:dyDescent="0.3">
      <c r="A70" s="152"/>
      <c r="B70" s="157"/>
    </row>
    <row r="71" spans="1:5" x14ac:dyDescent="0.3">
      <c r="A71" s="178" t="s">
        <v>388</v>
      </c>
      <c r="B71" s="182"/>
      <c r="C71" s="139" t="s">
        <v>191</v>
      </c>
      <c r="E71" s="140" t="s">
        <v>323</v>
      </c>
    </row>
    <row r="72" spans="1:5" ht="18.75" customHeight="1" x14ac:dyDescent="0.3">
      <c r="A72" s="180" t="s">
        <v>377</v>
      </c>
      <c r="B72" s="143" t="str">
        <f>'2.Páginas de la muestra'!C8</f>
        <v>Inicio</v>
      </c>
      <c r="C72" s="38" t="s">
        <v>9</v>
      </c>
      <c r="E72" s="124" t="s">
        <v>80</v>
      </c>
    </row>
    <row r="73" spans="1:5" x14ac:dyDescent="0.3">
      <c r="A73" s="180"/>
      <c r="B73" s="143" t="str">
        <f>'2.Páginas de la muestra'!C9</f>
        <v>login</v>
      </c>
      <c r="C73" s="38" t="s">
        <v>9</v>
      </c>
      <c r="E73" s="124" t="s">
        <v>81</v>
      </c>
    </row>
    <row r="74" spans="1:5" x14ac:dyDescent="0.3">
      <c r="A74" s="180"/>
      <c r="B74" s="143" t="str">
        <f>'2.Páginas de la muestra'!C10</f>
        <v>Inicio-Dashboard</v>
      </c>
      <c r="C74" s="38" t="s">
        <v>9</v>
      </c>
    </row>
    <row r="75" spans="1:5" x14ac:dyDescent="0.3">
      <c r="A75" s="180"/>
      <c r="B75" s="143" t="str">
        <f>'2.Páginas de la muestra'!C11</f>
        <v>Dashboard-Usuarios</v>
      </c>
      <c r="C75" s="38" t="s">
        <v>9</v>
      </c>
    </row>
    <row r="76" spans="1:5" x14ac:dyDescent="0.3">
      <c r="A76" s="180"/>
      <c r="B76" s="143" t="str">
        <f>'2.Páginas de la muestra'!C12</f>
        <v>Dashboard-Servicios</v>
      </c>
      <c r="C76" s="38" t="s">
        <v>9</v>
      </c>
    </row>
    <row r="77" spans="1:5" x14ac:dyDescent="0.3">
      <c r="A77" s="180"/>
      <c r="B77" s="143" t="str">
        <f>'2.Páginas de la muestra'!C13</f>
        <v>Dashboard-Reservas</v>
      </c>
      <c r="C77" s="38" t="s">
        <v>9</v>
      </c>
    </row>
    <row r="78" spans="1:5" x14ac:dyDescent="0.3">
      <c r="A78" s="180"/>
      <c r="B78" s="143" t="str">
        <f>'2.Páginas de la muestra'!C14</f>
        <v>Dashboard-Reservas-clientes</v>
      </c>
      <c r="C78" s="38" t="s">
        <v>9</v>
      </c>
    </row>
    <row r="79" spans="1:5" x14ac:dyDescent="0.3">
      <c r="A79" s="180"/>
      <c r="B79" s="143" t="str">
        <f>'2.Páginas de la muestra'!C15</f>
        <v>ALIAS 8</v>
      </c>
      <c r="C79" s="38"/>
    </row>
    <row r="80" spans="1:5" x14ac:dyDescent="0.3">
      <c r="A80" s="180"/>
      <c r="B80" s="143" t="str">
        <f>'2.Páginas de la muestra'!C16</f>
        <v>ALIAS 9</v>
      </c>
      <c r="C80" s="38"/>
    </row>
    <row r="81" spans="1:5" x14ac:dyDescent="0.3">
      <c r="A81" s="180"/>
      <c r="B81" s="143" t="str">
        <f>'2.Páginas de la muestra'!C17</f>
        <v>ALIAS 10</v>
      </c>
      <c r="C81" s="38"/>
    </row>
    <row r="82" spans="1:5" x14ac:dyDescent="0.3">
      <c r="A82" s="180"/>
      <c r="B82" s="143" t="str">
        <f>'2.Páginas de la muestra'!C18</f>
        <v>ALIAS 11</v>
      </c>
      <c r="C82" s="38"/>
    </row>
    <row r="83" spans="1:5" x14ac:dyDescent="0.3">
      <c r="A83" s="180"/>
      <c r="B83" s="143" t="str">
        <f>'2.Páginas de la muestra'!C19</f>
        <v>ALIAS 12</v>
      </c>
      <c r="C83" s="38"/>
    </row>
    <row r="84" spans="1:5" x14ac:dyDescent="0.3">
      <c r="A84" s="180"/>
      <c r="B84" s="143" t="str">
        <f>'2.Páginas de la muestra'!C20</f>
        <v>ALIAS 13</v>
      </c>
      <c r="C84" s="38"/>
    </row>
    <row r="85" spans="1:5" x14ac:dyDescent="0.3">
      <c r="A85" s="180"/>
      <c r="B85" s="143" t="str">
        <f>'2.Páginas de la muestra'!C21</f>
        <v>ALIAS 14</v>
      </c>
      <c r="C85" s="38"/>
    </row>
    <row r="86" spans="1:5" x14ac:dyDescent="0.3">
      <c r="A86" s="181"/>
      <c r="B86" s="143" t="str">
        <f>'2.Páginas de la muestra'!C22</f>
        <v>ALIAS 15</v>
      </c>
      <c r="C86" s="38"/>
    </row>
    <row r="87" spans="1:5" x14ac:dyDescent="0.3">
      <c r="A87" s="152"/>
      <c r="B87" s="157"/>
      <c r="C87" s="146" t="s">
        <v>11</v>
      </c>
      <c r="D87" s="39"/>
    </row>
    <row r="88" spans="1:5" x14ac:dyDescent="0.3">
      <c r="A88" s="152"/>
      <c r="B88" s="157"/>
    </row>
    <row r="89" spans="1:5" x14ac:dyDescent="0.3">
      <c r="A89" s="149" t="s">
        <v>346</v>
      </c>
      <c r="B89" s="150" t="s">
        <v>252</v>
      </c>
      <c r="C89" s="154">
        <f>COUNTIF(C72:C86,Hoja4!A5)</f>
        <v>0</v>
      </c>
    </row>
    <row r="90" spans="1:5" x14ac:dyDescent="0.3">
      <c r="A90" s="152"/>
      <c r="B90" s="150" t="s">
        <v>253</v>
      </c>
      <c r="C90" s="154">
        <f>COUNTIF(C72:C86,Hoja4!A6)</f>
        <v>7</v>
      </c>
    </row>
    <row r="91" spans="1:5" x14ac:dyDescent="0.3">
      <c r="A91" s="152"/>
      <c r="B91" s="150" t="s">
        <v>209</v>
      </c>
      <c r="C91" s="154">
        <f>COUNTIF(C72:C86,Hoja4!A7)</f>
        <v>0</v>
      </c>
    </row>
    <row r="92" spans="1:5" x14ac:dyDescent="0.3">
      <c r="A92" s="152"/>
      <c r="B92" s="157"/>
    </row>
    <row r="93" spans="1:5" x14ac:dyDescent="0.3">
      <c r="A93" s="178" t="s">
        <v>82</v>
      </c>
      <c r="B93" s="182"/>
      <c r="C93" s="139" t="s">
        <v>191</v>
      </c>
      <c r="E93" s="140" t="s">
        <v>324</v>
      </c>
    </row>
    <row r="94" spans="1:5" ht="18.75" customHeight="1" x14ac:dyDescent="0.3">
      <c r="A94" s="180" t="s">
        <v>389</v>
      </c>
      <c r="B94" s="143" t="str">
        <f>'2.Páginas de la muestra'!C8</f>
        <v>Inicio</v>
      </c>
      <c r="C94" s="38" t="s">
        <v>8</v>
      </c>
      <c r="E94" s="124" t="s">
        <v>83</v>
      </c>
    </row>
    <row r="95" spans="1:5" x14ac:dyDescent="0.3">
      <c r="A95" s="180"/>
      <c r="B95" s="143" t="str">
        <f>'2.Páginas de la muestra'!C9</f>
        <v>login</v>
      </c>
      <c r="C95" s="38" t="s">
        <v>8</v>
      </c>
      <c r="E95" s="124" t="s">
        <v>392</v>
      </c>
    </row>
    <row r="96" spans="1:5" x14ac:dyDescent="0.3">
      <c r="A96" s="180"/>
      <c r="B96" s="143" t="str">
        <f>'2.Páginas de la muestra'!C10</f>
        <v>Inicio-Dashboard</v>
      </c>
      <c r="C96" s="38" t="s">
        <v>8</v>
      </c>
    </row>
    <row r="97" spans="1:4" x14ac:dyDescent="0.3">
      <c r="A97" s="180"/>
      <c r="B97" s="143" t="str">
        <f>'2.Páginas de la muestra'!C11</f>
        <v>Dashboard-Usuarios</v>
      </c>
      <c r="C97" s="38" t="s">
        <v>8</v>
      </c>
    </row>
    <row r="98" spans="1:4" x14ac:dyDescent="0.3">
      <c r="A98" s="180"/>
      <c r="B98" s="143" t="str">
        <f>'2.Páginas de la muestra'!C12</f>
        <v>Dashboard-Servicios</v>
      </c>
      <c r="C98" s="38" t="s">
        <v>8</v>
      </c>
    </row>
    <row r="99" spans="1:4" x14ac:dyDescent="0.3">
      <c r="A99" s="180"/>
      <c r="B99" s="143" t="str">
        <f>'2.Páginas de la muestra'!C13</f>
        <v>Dashboard-Reservas</v>
      </c>
      <c r="C99" s="38" t="s">
        <v>8</v>
      </c>
    </row>
    <row r="100" spans="1:4" x14ac:dyDescent="0.3">
      <c r="A100" s="180"/>
      <c r="B100" s="143" t="str">
        <f>'2.Páginas de la muestra'!C14</f>
        <v>Dashboard-Reservas-clientes</v>
      </c>
      <c r="C100" s="38" t="s">
        <v>8</v>
      </c>
    </row>
    <row r="101" spans="1:4" x14ac:dyDescent="0.3">
      <c r="A101" s="180"/>
      <c r="B101" s="143" t="str">
        <f>'2.Páginas de la muestra'!C15</f>
        <v>ALIAS 8</v>
      </c>
      <c r="C101" s="38"/>
    </row>
    <row r="102" spans="1:4" x14ac:dyDescent="0.3">
      <c r="A102" s="180"/>
      <c r="B102" s="143" t="str">
        <f>'2.Páginas de la muestra'!C16</f>
        <v>ALIAS 9</v>
      </c>
      <c r="C102" s="38"/>
    </row>
    <row r="103" spans="1:4" x14ac:dyDescent="0.3">
      <c r="A103" s="180"/>
      <c r="B103" s="143" t="str">
        <f>'2.Páginas de la muestra'!C17</f>
        <v>ALIAS 10</v>
      </c>
      <c r="C103" s="38"/>
    </row>
    <row r="104" spans="1:4" x14ac:dyDescent="0.3">
      <c r="A104" s="180"/>
      <c r="B104" s="143" t="str">
        <f>'2.Páginas de la muestra'!C18</f>
        <v>ALIAS 11</v>
      </c>
      <c r="C104" s="38"/>
    </row>
    <row r="105" spans="1:4" x14ac:dyDescent="0.3">
      <c r="A105" s="180"/>
      <c r="B105" s="143" t="str">
        <f>'2.Páginas de la muestra'!C19</f>
        <v>ALIAS 12</v>
      </c>
      <c r="C105" s="38"/>
    </row>
    <row r="106" spans="1:4" x14ac:dyDescent="0.3">
      <c r="A106" s="180"/>
      <c r="B106" s="143" t="str">
        <f>'2.Páginas de la muestra'!C20</f>
        <v>ALIAS 13</v>
      </c>
      <c r="C106" s="38"/>
    </row>
    <row r="107" spans="1:4" x14ac:dyDescent="0.3">
      <c r="A107" s="180"/>
      <c r="B107" s="143" t="str">
        <f>'2.Páginas de la muestra'!C21</f>
        <v>ALIAS 14</v>
      </c>
      <c r="C107" s="38"/>
    </row>
    <row r="108" spans="1:4" x14ac:dyDescent="0.3">
      <c r="A108" s="181"/>
      <c r="B108" s="143" t="str">
        <f>'2.Páginas de la muestra'!C22</f>
        <v>ALIAS 15</v>
      </c>
      <c r="C108" s="38"/>
    </row>
    <row r="109" spans="1:4" x14ac:dyDescent="0.3">
      <c r="A109" s="152"/>
      <c r="B109" s="157"/>
      <c r="C109" s="146" t="s">
        <v>11</v>
      </c>
      <c r="D109" s="39"/>
    </row>
    <row r="110" spans="1:4" x14ac:dyDescent="0.3">
      <c r="A110" s="152"/>
      <c r="B110" s="157"/>
    </row>
    <row r="111" spans="1:4" x14ac:dyDescent="0.3">
      <c r="A111" s="149" t="s">
        <v>347</v>
      </c>
      <c r="B111" s="150" t="s">
        <v>252</v>
      </c>
      <c r="C111" s="154">
        <f>COUNTIF(C94:C108,Hoja4!A5)</f>
        <v>7</v>
      </c>
    </row>
    <row r="112" spans="1:4" x14ac:dyDescent="0.3">
      <c r="A112" s="152"/>
      <c r="B112" s="150" t="s">
        <v>253</v>
      </c>
      <c r="C112" s="154">
        <f>COUNTIF(C94:C108,Hoja4!A6)</f>
        <v>0</v>
      </c>
    </row>
    <row r="113" spans="1:5" x14ac:dyDescent="0.3">
      <c r="A113" s="152"/>
      <c r="B113" s="150" t="s">
        <v>209</v>
      </c>
      <c r="C113" s="154">
        <f>COUNTIF(C94:C108,Hoja4!A7)</f>
        <v>0</v>
      </c>
    </row>
    <row r="114" spans="1:5" x14ac:dyDescent="0.3">
      <c r="A114" s="152"/>
      <c r="B114" s="157"/>
    </row>
    <row r="115" spans="1:5" x14ac:dyDescent="0.3">
      <c r="A115" s="178" t="s">
        <v>335</v>
      </c>
      <c r="B115" s="182"/>
      <c r="C115" s="139" t="s">
        <v>191</v>
      </c>
      <c r="E115" s="140" t="s">
        <v>325</v>
      </c>
    </row>
    <row r="116" spans="1:5" ht="18.75" customHeight="1" x14ac:dyDescent="0.3">
      <c r="A116" s="180" t="s">
        <v>378</v>
      </c>
      <c r="B116" s="143" t="str">
        <f>'2.Páginas de la muestra'!C8</f>
        <v>Inicio</v>
      </c>
      <c r="C116" s="38" t="s">
        <v>9</v>
      </c>
      <c r="E116" s="124" t="s">
        <v>84</v>
      </c>
    </row>
    <row r="117" spans="1:5" x14ac:dyDescent="0.3">
      <c r="A117" s="180"/>
      <c r="B117" s="143" t="str">
        <f>'2.Páginas de la muestra'!C9</f>
        <v>login</v>
      </c>
      <c r="C117" s="38" t="s">
        <v>9</v>
      </c>
    </row>
    <row r="118" spans="1:5" x14ac:dyDescent="0.3">
      <c r="A118" s="180"/>
      <c r="B118" s="143" t="str">
        <f>'2.Páginas de la muestra'!C10</f>
        <v>Inicio-Dashboard</v>
      </c>
      <c r="C118" s="38" t="s">
        <v>9</v>
      </c>
    </row>
    <row r="119" spans="1:5" x14ac:dyDescent="0.3">
      <c r="A119" s="180"/>
      <c r="B119" s="143" t="str">
        <f>'2.Páginas de la muestra'!C11</f>
        <v>Dashboard-Usuarios</v>
      </c>
      <c r="C119" s="38" t="s">
        <v>9</v>
      </c>
    </row>
    <row r="120" spans="1:5" x14ac:dyDescent="0.3">
      <c r="A120" s="180"/>
      <c r="B120" s="143" t="str">
        <f>'2.Páginas de la muestra'!C12</f>
        <v>Dashboard-Servicios</v>
      </c>
      <c r="C120" s="38" t="s">
        <v>9</v>
      </c>
    </row>
    <row r="121" spans="1:5" x14ac:dyDescent="0.3">
      <c r="A121" s="180"/>
      <c r="B121" s="143" t="str">
        <f>'2.Páginas de la muestra'!C13</f>
        <v>Dashboard-Reservas</v>
      </c>
      <c r="C121" s="38" t="s">
        <v>9</v>
      </c>
    </row>
    <row r="122" spans="1:5" x14ac:dyDescent="0.3">
      <c r="A122" s="180"/>
      <c r="B122" s="143" t="str">
        <f>'2.Páginas de la muestra'!C14</f>
        <v>Dashboard-Reservas-clientes</v>
      </c>
      <c r="C122" s="38" t="s">
        <v>9</v>
      </c>
    </row>
    <row r="123" spans="1:5" x14ac:dyDescent="0.3">
      <c r="A123" s="180"/>
      <c r="B123" s="143" t="str">
        <f>'2.Páginas de la muestra'!C15</f>
        <v>ALIAS 8</v>
      </c>
      <c r="C123" s="38"/>
    </row>
    <row r="124" spans="1:5" x14ac:dyDescent="0.3">
      <c r="A124" s="180"/>
      <c r="B124" s="143" t="str">
        <f>'2.Páginas de la muestra'!C16</f>
        <v>ALIAS 9</v>
      </c>
      <c r="C124" s="38"/>
    </row>
    <row r="125" spans="1:5" x14ac:dyDescent="0.3">
      <c r="A125" s="180"/>
      <c r="B125" s="143" t="str">
        <f>'2.Páginas de la muestra'!C17</f>
        <v>ALIAS 10</v>
      </c>
      <c r="C125" s="38"/>
    </row>
    <row r="126" spans="1:5" x14ac:dyDescent="0.3">
      <c r="A126" s="180"/>
      <c r="B126" s="143" t="str">
        <f>'2.Páginas de la muestra'!C18</f>
        <v>ALIAS 11</v>
      </c>
      <c r="C126" s="38"/>
    </row>
    <row r="127" spans="1:5" x14ac:dyDescent="0.3">
      <c r="A127" s="180"/>
      <c r="B127" s="143" t="str">
        <f>'2.Páginas de la muestra'!C19</f>
        <v>ALIAS 12</v>
      </c>
      <c r="C127" s="38"/>
    </row>
    <row r="128" spans="1:5" x14ac:dyDescent="0.3">
      <c r="A128" s="180"/>
      <c r="B128" s="143" t="str">
        <f>'2.Páginas de la muestra'!C20</f>
        <v>ALIAS 13</v>
      </c>
      <c r="C128" s="38"/>
    </row>
    <row r="129" spans="1:5" x14ac:dyDescent="0.3">
      <c r="A129" s="180"/>
      <c r="B129" s="143" t="str">
        <f>'2.Páginas de la muestra'!C21</f>
        <v>ALIAS 14</v>
      </c>
      <c r="C129" s="38"/>
    </row>
    <row r="130" spans="1:5" x14ac:dyDescent="0.3">
      <c r="A130" s="181"/>
      <c r="B130" s="143" t="str">
        <f>'2.Páginas de la muestra'!C22</f>
        <v>ALIAS 15</v>
      </c>
      <c r="C130" s="38"/>
    </row>
    <row r="131" spans="1:5" x14ac:dyDescent="0.3">
      <c r="A131" s="152"/>
      <c r="B131" s="157"/>
      <c r="C131" s="146" t="s">
        <v>11</v>
      </c>
      <c r="D131" s="39"/>
    </row>
    <row r="132" spans="1:5" x14ac:dyDescent="0.3">
      <c r="A132" s="152"/>
      <c r="B132" s="157"/>
    </row>
    <row r="133" spans="1:5" x14ac:dyDescent="0.3">
      <c r="A133" s="149" t="s">
        <v>348</v>
      </c>
      <c r="B133" s="150" t="s">
        <v>252</v>
      </c>
      <c r="C133" s="154">
        <f>COUNTIF(C116:C130,Hoja4!A5)</f>
        <v>0</v>
      </c>
    </row>
    <row r="134" spans="1:5" x14ac:dyDescent="0.3">
      <c r="A134" s="152"/>
      <c r="B134" s="150" t="s">
        <v>253</v>
      </c>
      <c r="C134" s="154">
        <f>COUNTIF(C116:C130,Hoja4!A6)</f>
        <v>7</v>
      </c>
    </row>
    <row r="135" spans="1:5" x14ac:dyDescent="0.3">
      <c r="A135" s="152"/>
      <c r="B135" s="150" t="s">
        <v>209</v>
      </c>
      <c r="C135" s="154">
        <f>COUNTIF(C116:C130,Hoja4!A7)</f>
        <v>0</v>
      </c>
    </row>
    <row r="136" spans="1:5" x14ac:dyDescent="0.3">
      <c r="A136" s="152"/>
      <c r="B136" s="157"/>
    </row>
    <row r="137" spans="1:5" x14ac:dyDescent="0.3">
      <c r="A137" s="178" t="s">
        <v>336</v>
      </c>
      <c r="B137" s="182"/>
      <c r="C137" s="139" t="s">
        <v>191</v>
      </c>
      <c r="E137" s="140" t="s">
        <v>326</v>
      </c>
    </row>
    <row r="138" spans="1:5" ht="18.75" customHeight="1" x14ac:dyDescent="0.3">
      <c r="A138" s="180" t="s">
        <v>379</v>
      </c>
      <c r="B138" s="143" t="str">
        <f>'2.Páginas de la muestra'!C8</f>
        <v>Inicio</v>
      </c>
      <c r="C138" s="38" t="s">
        <v>8</v>
      </c>
      <c r="E138" s="124" t="s">
        <v>327</v>
      </c>
    </row>
    <row r="139" spans="1:5" x14ac:dyDescent="0.3">
      <c r="A139" s="180"/>
      <c r="B139" s="143" t="str">
        <f>'2.Páginas de la muestra'!C9</f>
        <v>login</v>
      </c>
      <c r="C139" s="38" t="s">
        <v>8</v>
      </c>
    </row>
    <row r="140" spans="1:5" x14ac:dyDescent="0.3">
      <c r="A140" s="180"/>
      <c r="B140" s="143" t="str">
        <f>'2.Páginas de la muestra'!C10</f>
        <v>Inicio-Dashboard</v>
      </c>
      <c r="C140" s="38" t="s">
        <v>8</v>
      </c>
    </row>
    <row r="141" spans="1:5" x14ac:dyDescent="0.3">
      <c r="A141" s="180"/>
      <c r="B141" s="143" t="str">
        <f>'2.Páginas de la muestra'!C11</f>
        <v>Dashboard-Usuarios</v>
      </c>
      <c r="C141" s="38" t="s">
        <v>8</v>
      </c>
    </row>
    <row r="142" spans="1:5" x14ac:dyDescent="0.3">
      <c r="A142" s="180"/>
      <c r="B142" s="143" t="str">
        <f>'2.Páginas de la muestra'!C12</f>
        <v>Dashboard-Servicios</v>
      </c>
      <c r="C142" s="38" t="s">
        <v>8</v>
      </c>
    </row>
    <row r="143" spans="1:5" x14ac:dyDescent="0.3">
      <c r="A143" s="180"/>
      <c r="B143" s="143" t="str">
        <f>'2.Páginas de la muestra'!C13</f>
        <v>Dashboard-Reservas</v>
      </c>
      <c r="C143" s="38" t="s">
        <v>8</v>
      </c>
    </row>
    <row r="144" spans="1:5" x14ac:dyDescent="0.3">
      <c r="A144" s="180"/>
      <c r="B144" s="143" t="str">
        <f>'2.Páginas de la muestra'!C14</f>
        <v>Dashboard-Reservas-clientes</v>
      </c>
      <c r="C144" s="38" t="s">
        <v>8</v>
      </c>
    </row>
    <row r="145" spans="1:5" x14ac:dyDescent="0.3">
      <c r="A145" s="180"/>
      <c r="B145" s="143" t="str">
        <f>'2.Páginas de la muestra'!C15</f>
        <v>ALIAS 8</v>
      </c>
      <c r="C145" s="38"/>
    </row>
    <row r="146" spans="1:5" x14ac:dyDescent="0.3">
      <c r="A146" s="180"/>
      <c r="B146" s="143" t="str">
        <f>'2.Páginas de la muestra'!C16</f>
        <v>ALIAS 9</v>
      </c>
      <c r="C146" s="38"/>
    </row>
    <row r="147" spans="1:5" x14ac:dyDescent="0.3">
      <c r="A147" s="180"/>
      <c r="B147" s="143" t="str">
        <f>'2.Páginas de la muestra'!C17</f>
        <v>ALIAS 10</v>
      </c>
      <c r="C147" s="38"/>
    </row>
    <row r="148" spans="1:5" x14ac:dyDescent="0.3">
      <c r="A148" s="180"/>
      <c r="B148" s="143" t="str">
        <f>'2.Páginas de la muestra'!C18</f>
        <v>ALIAS 11</v>
      </c>
      <c r="C148" s="38"/>
    </row>
    <row r="149" spans="1:5" x14ac:dyDescent="0.3">
      <c r="A149" s="180"/>
      <c r="B149" s="143" t="str">
        <f>'2.Páginas de la muestra'!C19</f>
        <v>ALIAS 12</v>
      </c>
      <c r="C149" s="38"/>
    </row>
    <row r="150" spans="1:5" x14ac:dyDescent="0.3">
      <c r="A150" s="180"/>
      <c r="B150" s="143" t="str">
        <f>'2.Páginas de la muestra'!C20</f>
        <v>ALIAS 13</v>
      </c>
      <c r="C150" s="38"/>
    </row>
    <row r="151" spans="1:5" x14ac:dyDescent="0.3">
      <c r="A151" s="180"/>
      <c r="B151" s="143" t="str">
        <f>'2.Páginas de la muestra'!C21</f>
        <v>ALIAS 14</v>
      </c>
      <c r="C151" s="38"/>
    </row>
    <row r="152" spans="1:5" x14ac:dyDescent="0.3">
      <c r="A152" s="181"/>
      <c r="B152" s="143" t="str">
        <f>'2.Páginas de la muestra'!C22</f>
        <v>ALIAS 15</v>
      </c>
      <c r="C152" s="38"/>
    </row>
    <row r="153" spans="1:5" x14ac:dyDescent="0.3">
      <c r="A153" s="152"/>
      <c r="B153" s="157"/>
      <c r="C153" s="146" t="s">
        <v>11</v>
      </c>
      <c r="D153" s="39"/>
    </row>
    <row r="154" spans="1:5" x14ac:dyDescent="0.3">
      <c r="A154" s="152"/>
      <c r="B154" s="157"/>
    </row>
    <row r="155" spans="1:5" x14ac:dyDescent="0.3">
      <c r="A155" s="149" t="s">
        <v>349</v>
      </c>
      <c r="B155" s="150" t="s">
        <v>252</v>
      </c>
      <c r="C155" s="154">
        <f>COUNTIF(C138:C152,Hoja4!A5)</f>
        <v>7</v>
      </c>
    </row>
    <row r="156" spans="1:5" x14ac:dyDescent="0.3">
      <c r="A156" s="152"/>
      <c r="B156" s="150" t="s">
        <v>253</v>
      </c>
      <c r="C156" s="154">
        <f>COUNTIF(C138:C152,Hoja4!A6)</f>
        <v>0</v>
      </c>
    </row>
    <row r="157" spans="1:5" x14ac:dyDescent="0.3">
      <c r="A157" s="152"/>
      <c r="B157" s="150" t="s">
        <v>209</v>
      </c>
      <c r="C157" s="154">
        <f>COUNTIF(C138:C152,Hoja4!A7)</f>
        <v>0</v>
      </c>
    </row>
    <row r="158" spans="1:5" x14ac:dyDescent="0.3">
      <c r="A158" s="152"/>
      <c r="B158" s="157"/>
    </row>
    <row r="159" spans="1:5" x14ac:dyDescent="0.3">
      <c r="A159" s="178" t="s">
        <v>337</v>
      </c>
      <c r="B159" s="182"/>
      <c r="C159" s="139" t="s">
        <v>191</v>
      </c>
      <c r="E159" s="140" t="s">
        <v>328</v>
      </c>
    </row>
    <row r="160" spans="1:5" ht="18.75" customHeight="1" x14ac:dyDescent="0.3">
      <c r="A160" s="180" t="s">
        <v>381</v>
      </c>
      <c r="B160" s="143" t="str">
        <f>'2.Páginas de la muestra'!C8</f>
        <v>Inicio</v>
      </c>
      <c r="C160" s="38" t="s">
        <v>8</v>
      </c>
      <c r="E160" s="124" t="s">
        <v>85</v>
      </c>
    </row>
    <row r="161" spans="1:4" x14ac:dyDescent="0.3">
      <c r="A161" s="180"/>
      <c r="B161" s="143" t="str">
        <f>'2.Páginas de la muestra'!C9</f>
        <v>login</v>
      </c>
      <c r="C161" s="38" t="s">
        <v>8</v>
      </c>
    </row>
    <row r="162" spans="1:4" x14ac:dyDescent="0.3">
      <c r="A162" s="180"/>
      <c r="B162" s="143" t="str">
        <f>'2.Páginas de la muestra'!C10</f>
        <v>Inicio-Dashboard</v>
      </c>
      <c r="C162" s="38" t="s">
        <v>8</v>
      </c>
    </row>
    <row r="163" spans="1:4" x14ac:dyDescent="0.3">
      <c r="A163" s="180"/>
      <c r="B163" s="143" t="str">
        <f>'2.Páginas de la muestra'!C11</f>
        <v>Dashboard-Usuarios</v>
      </c>
      <c r="C163" s="38" t="s">
        <v>8</v>
      </c>
    </row>
    <row r="164" spans="1:4" x14ac:dyDescent="0.3">
      <c r="A164" s="180"/>
      <c r="B164" s="143" t="str">
        <f>'2.Páginas de la muestra'!C12</f>
        <v>Dashboard-Servicios</v>
      </c>
      <c r="C164" s="38" t="s">
        <v>8</v>
      </c>
    </row>
    <row r="165" spans="1:4" x14ac:dyDescent="0.3">
      <c r="A165" s="180"/>
      <c r="B165" s="143" t="str">
        <f>'2.Páginas de la muestra'!C13</f>
        <v>Dashboard-Reservas</v>
      </c>
      <c r="C165" s="38" t="s">
        <v>8</v>
      </c>
    </row>
    <row r="166" spans="1:4" x14ac:dyDescent="0.3">
      <c r="A166" s="180"/>
      <c r="B166" s="143" t="str">
        <f>'2.Páginas de la muestra'!C14</f>
        <v>Dashboard-Reservas-clientes</v>
      </c>
      <c r="C166" s="38" t="s">
        <v>8</v>
      </c>
    </row>
    <row r="167" spans="1:4" x14ac:dyDescent="0.3">
      <c r="A167" s="180"/>
      <c r="B167" s="143" t="str">
        <f>'2.Páginas de la muestra'!C15</f>
        <v>ALIAS 8</v>
      </c>
      <c r="C167" s="38"/>
    </row>
    <row r="168" spans="1:4" x14ac:dyDescent="0.3">
      <c r="A168" s="180"/>
      <c r="B168" s="143" t="str">
        <f>'2.Páginas de la muestra'!C16</f>
        <v>ALIAS 9</v>
      </c>
      <c r="C168" s="38"/>
    </row>
    <row r="169" spans="1:4" x14ac:dyDescent="0.3">
      <c r="A169" s="180"/>
      <c r="B169" s="143" t="str">
        <f>'2.Páginas de la muestra'!C17</f>
        <v>ALIAS 10</v>
      </c>
      <c r="C169" s="38"/>
    </row>
    <row r="170" spans="1:4" x14ac:dyDescent="0.3">
      <c r="A170" s="180"/>
      <c r="B170" s="143" t="str">
        <f>'2.Páginas de la muestra'!C18</f>
        <v>ALIAS 11</v>
      </c>
      <c r="C170" s="38"/>
    </row>
    <row r="171" spans="1:4" x14ac:dyDescent="0.3">
      <c r="A171" s="180"/>
      <c r="B171" s="143" t="str">
        <f>'2.Páginas de la muestra'!C19</f>
        <v>ALIAS 12</v>
      </c>
      <c r="C171" s="38"/>
    </row>
    <row r="172" spans="1:4" x14ac:dyDescent="0.3">
      <c r="A172" s="180"/>
      <c r="B172" s="143" t="str">
        <f>'2.Páginas de la muestra'!C20</f>
        <v>ALIAS 13</v>
      </c>
      <c r="C172" s="38"/>
    </row>
    <row r="173" spans="1:4" x14ac:dyDescent="0.3">
      <c r="A173" s="180"/>
      <c r="B173" s="143" t="str">
        <f>'2.Páginas de la muestra'!C21</f>
        <v>ALIAS 14</v>
      </c>
      <c r="C173" s="38"/>
    </row>
    <row r="174" spans="1:4" x14ac:dyDescent="0.3">
      <c r="A174" s="181"/>
      <c r="B174" s="143" t="str">
        <f>'2.Páginas de la muestra'!C22</f>
        <v>ALIAS 15</v>
      </c>
      <c r="C174" s="38"/>
    </row>
    <row r="175" spans="1:4" x14ac:dyDescent="0.3">
      <c r="A175" s="152"/>
      <c r="B175" s="157"/>
      <c r="C175" s="146" t="s">
        <v>11</v>
      </c>
      <c r="D175" s="39"/>
    </row>
    <row r="176" spans="1:4" x14ac:dyDescent="0.3">
      <c r="A176" s="152"/>
      <c r="B176" s="157"/>
    </row>
    <row r="177" spans="1:5" x14ac:dyDescent="0.3">
      <c r="A177" s="149" t="s">
        <v>350</v>
      </c>
      <c r="B177" s="150" t="s">
        <v>252</v>
      </c>
      <c r="C177" s="154">
        <f>COUNTIF(C160:C174,Hoja4!A5)</f>
        <v>7</v>
      </c>
    </row>
    <row r="178" spans="1:5" x14ac:dyDescent="0.3">
      <c r="A178" s="152"/>
      <c r="B178" s="150" t="s">
        <v>253</v>
      </c>
      <c r="C178" s="154">
        <f>COUNTIF(C160:C174,Hoja4!A6)</f>
        <v>0</v>
      </c>
    </row>
    <row r="179" spans="1:5" x14ac:dyDescent="0.3">
      <c r="A179" s="152"/>
      <c r="B179" s="150" t="s">
        <v>209</v>
      </c>
      <c r="C179" s="154">
        <f>COUNTIF(C160:C174,Hoja4!A7)</f>
        <v>0</v>
      </c>
    </row>
    <row r="180" spans="1:5" x14ac:dyDescent="0.3">
      <c r="A180" s="152"/>
      <c r="B180" s="157"/>
    </row>
    <row r="181" spans="1:5" x14ac:dyDescent="0.3">
      <c r="A181" s="178" t="s">
        <v>338</v>
      </c>
      <c r="B181" s="182"/>
      <c r="C181" s="139" t="s">
        <v>191</v>
      </c>
      <c r="E181" s="140" t="s">
        <v>329</v>
      </c>
    </row>
    <row r="182" spans="1:5" ht="18.75" customHeight="1" x14ac:dyDescent="0.3">
      <c r="A182" s="180" t="s">
        <v>380</v>
      </c>
      <c r="B182" s="143" t="str">
        <f>'2.Páginas de la muestra'!C8</f>
        <v>Inicio</v>
      </c>
      <c r="C182" s="38" t="s">
        <v>10</v>
      </c>
      <c r="E182" s="124" t="s">
        <v>330</v>
      </c>
    </row>
    <row r="183" spans="1:5" x14ac:dyDescent="0.3">
      <c r="A183" s="180"/>
      <c r="B183" s="143" t="str">
        <f>'2.Páginas de la muestra'!C9</f>
        <v>login</v>
      </c>
      <c r="C183" s="38" t="s">
        <v>10</v>
      </c>
      <c r="E183" s="124" t="s">
        <v>86</v>
      </c>
    </row>
    <row r="184" spans="1:5" x14ac:dyDescent="0.3">
      <c r="A184" s="180"/>
      <c r="B184" s="143" t="str">
        <f>'2.Páginas de la muestra'!C10</f>
        <v>Inicio-Dashboard</v>
      </c>
      <c r="C184" s="38" t="s">
        <v>10</v>
      </c>
    </row>
    <row r="185" spans="1:5" x14ac:dyDescent="0.3">
      <c r="A185" s="180"/>
      <c r="B185" s="143" t="str">
        <f>'2.Páginas de la muestra'!C11</f>
        <v>Dashboard-Usuarios</v>
      </c>
      <c r="C185" s="38" t="s">
        <v>10</v>
      </c>
    </row>
    <row r="186" spans="1:5" x14ac:dyDescent="0.3">
      <c r="A186" s="180"/>
      <c r="B186" s="143" t="str">
        <f>'2.Páginas de la muestra'!C12</f>
        <v>Dashboard-Servicios</v>
      </c>
      <c r="C186" s="38" t="s">
        <v>10</v>
      </c>
    </row>
    <row r="187" spans="1:5" x14ac:dyDescent="0.3">
      <c r="A187" s="180"/>
      <c r="B187" s="143" t="str">
        <f>'2.Páginas de la muestra'!C13</f>
        <v>Dashboard-Reservas</v>
      </c>
      <c r="C187" s="38" t="s">
        <v>10</v>
      </c>
    </row>
    <row r="188" spans="1:5" x14ac:dyDescent="0.3">
      <c r="A188" s="180"/>
      <c r="B188" s="143" t="str">
        <f>'2.Páginas de la muestra'!C14</f>
        <v>Dashboard-Reservas-clientes</v>
      </c>
      <c r="C188" s="38" t="s">
        <v>10</v>
      </c>
    </row>
    <row r="189" spans="1:5" x14ac:dyDescent="0.3">
      <c r="A189" s="180"/>
      <c r="B189" s="143" t="str">
        <f>'2.Páginas de la muestra'!C15</f>
        <v>ALIAS 8</v>
      </c>
      <c r="C189" s="38"/>
    </row>
    <row r="190" spans="1:5" x14ac:dyDescent="0.3">
      <c r="A190" s="180"/>
      <c r="B190" s="143" t="str">
        <f>'2.Páginas de la muestra'!C16</f>
        <v>ALIAS 9</v>
      </c>
      <c r="C190" s="38"/>
    </row>
    <row r="191" spans="1:5" x14ac:dyDescent="0.3">
      <c r="A191" s="180"/>
      <c r="B191" s="143" t="str">
        <f>'2.Páginas de la muestra'!C17</f>
        <v>ALIAS 10</v>
      </c>
      <c r="C191" s="38"/>
    </row>
    <row r="192" spans="1:5" x14ac:dyDescent="0.3">
      <c r="A192" s="180"/>
      <c r="B192" s="143" t="str">
        <f>'2.Páginas de la muestra'!C18</f>
        <v>ALIAS 11</v>
      </c>
      <c r="C192" s="38"/>
    </row>
    <row r="193" spans="1:5" x14ac:dyDescent="0.3">
      <c r="A193" s="180"/>
      <c r="B193" s="143" t="str">
        <f>'2.Páginas de la muestra'!C19</f>
        <v>ALIAS 12</v>
      </c>
      <c r="C193" s="38"/>
    </row>
    <row r="194" spans="1:5" x14ac:dyDescent="0.3">
      <c r="A194" s="180"/>
      <c r="B194" s="143" t="str">
        <f>'2.Páginas de la muestra'!C20</f>
        <v>ALIAS 13</v>
      </c>
      <c r="C194" s="38"/>
    </row>
    <row r="195" spans="1:5" x14ac:dyDescent="0.3">
      <c r="A195" s="180"/>
      <c r="B195" s="143" t="str">
        <f>'2.Páginas de la muestra'!C21</f>
        <v>ALIAS 14</v>
      </c>
      <c r="C195" s="38"/>
    </row>
    <row r="196" spans="1:5" x14ac:dyDescent="0.3">
      <c r="A196" s="181"/>
      <c r="B196" s="143" t="str">
        <f>'2.Páginas de la muestra'!C22</f>
        <v>ALIAS 15</v>
      </c>
      <c r="C196" s="38"/>
    </row>
    <row r="197" spans="1:5" x14ac:dyDescent="0.3">
      <c r="A197" s="152"/>
      <c r="B197" s="157"/>
      <c r="C197" s="146" t="s">
        <v>11</v>
      </c>
      <c r="D197" s="39"/>
    </row>
    <row r="198" spans="1:5" x14ac:dyDescent="0.3">
      <c r="A198" s="152"/>
      <c r="B198" s="157"/>
    </row>
    <row r="199" spans="1:5" x14ac:dyDescent="0.3">
      <c r="A199" s="159" t="s">
        <v>351</v>
      </c>
      <c r="B199" s="150" t="s">
        <v>252</v>
      </c>
      <c r="C199" s="154">
        <f>COUNTIF(C182:C196,Hoja4!A5)</f>
        <v>0</v>
      </c>
    </row>
    <row r="200" spans="1:5" x14ac:dyDescent="0.3">
      <c r="A200" s="152"/>
      <c r="B200" s="150" t="s">
        <v>253</v>
      </c>
      <c r="C200" s="154">
        <f>COUNTIF(C182:C196,Hoja4!A6)</f>
        <v>0</v>
      </c>
    </row>
    <row r="201" spans="1:5" x14ac:dyDescent="0.3">
      <c r="A201" s="152"/>
      <c r="B201" s="150" t="s">
        <v>209</v>
      </c>
      <c r="C201" s="154">
        <f>COUNTIF(C182:C196,Hoja4!A7)</f>
        <v>7</v>
      </c>
    </row>
    <row r="202" spans="1:5" x14ac:dyDescent="0.3">
      <c r="A202" s="152"/>
      <c r="B202" s="157"/>
    </row>
    <row r="203" spans="1:5" x14ac:dyDescent="0.3">
      <c r="A203" s="178" t="s">
        <v>339</v>
      </c>
      <c r="B203" s="182"/>
      <c r="C203" s="139" t="s">
        <v>191</v>
      </c>
      <c r="E203" s="140" t="s">
        <v>331</v>
      </c>
    </row>
    <row r="204" spans="1:5" ht="18.75" customHeight="1" x14ac:dyDescent="0.3">
      <c r="A204" s="180" t="s">
        <v>382</v>
      </c>
      <c r="B204" s="143" t="str">
        <f>'2.Páginas de la muestra'!C8</f>
        <v>Inicio</v>
      </c>
      <c r="C204" s="38" t="s">
        <v>8</v>
      </c>
      <c r="E204" s="124" t="s">
        <v>87</v>
      </c>
    </row>
    <row r="205" spans="1:5" x14ac:dyDescent="0.3">
      <c r="A205" s="180"/>
      <c r="B205" s="143" t="str">
        <f>'2.Páginas de la muestra'!C9</f>
        <v>login</v>
      </c>
      <c r="C205" s="38" t="s">
        <v>8</v>
      </c>
    </row>
    <row r="206" spans="1:5" x14ac:dyDescent="0.3">
      <c r="A206" s="180"/>
      <c r="B206" s="143" t="str">
        <f>'2.Páginas de la muestra'!C10</f>
        <v>Inicio-Dashboard</v>
      </c>
      <c r="C206" s="38" t="s">
        <v>8</v>
      </c>
    </row>
    <row r="207" spans="1:5" x14ac:dyDescent="0.3">
      <c r="A207" s="180"/>
      <c r="B207" s="143" t="str">
        <f>'2.Páginas de la muestra'!C11</f>
        <v>Dashboard-Usuarios</v>
      </c>
      <c r="C207" s="38" t="s">
        <v>8</v>
      </c>
    </row>
    <row r="208" spans="1:5" x14ac:dyDescent="0.3">
      <c r="A208" s="180"/>
      <c r="B208" s="143" t="str">
        <f>'2.Páginas de la muestra'!C12</f>
        <v>Dashboard-Servicios</v>
      </c>
      <c r="C208" s="38" t="s">
        <v>8</v>
      </c>
    </row>
    <row r="209" spans="1:4" x14ac:dyDescent="0.3">
      <c r="A209" s="180"/>
      <c r="B209" s="143" t="str">
        <f>'2.Páginas de la muestra'!C13</f>
        <v>Dashboard-Reservas</v>
      </c>
      <c r="C209" s="38" t="s">
        <v>8</v>
      </c>
    </row>
    <row r="210" spans="1:4" x14ac:dyDescent="0.3">
      <c r="A210" s="180"/>
      <c r="B210" s="143" t="str">
        <f>'2.Páginas de la muestra'!C14</f>
        <v>Dashboard-Reservas-clientes</v>
      </c>
      <c r="C210" s="38" t="s">
        <v>8</v>
      </c>
    </row>
    <row r="211" spans="1:4" x14ac:dyDescent="0.3">
      <c r="A211" s="180"/>
      <c r="B211" s="143" t="str">
        <f>'2.Páginas de la muestra'!C15</f>
        <v>ALIAS 8</v>
      </c>
      <c r="C211" s="38"/>
    </row>
    <row r="212" spans="1:4" x14ac:dyDescent="0.3">
      <c r="A212" s="180"/>
      <c r="B212" s="143" t="str">
        <f>'2.Páginas de la muestra'!C16</f>
        <v>ALIAS 9</v>
      </c>
      <c r="C212" s="38"/>
    </row>
    <row r="213" spans="1:4" x14ac:dyDescent="0.3">
      <c r="A213" s="180"/>
      <c r="B213" s="143" t="str">
        <f>'2.Páginas de la muestra'!C17</f>
        <v>ALIAS 10</v>
      </c>
      <c r="C213" s="38"/>
    </row>
    <row r="214" spans="1:4" x14ac:dyDescent="0.3">
      <c r="A214" s="180"/>
      <c r="B214" s="143" t="str">
        <f>'2.Páginas de la muestra'!C18</f>
        <v>ALIAS 11</v>
      </c>
      <c r="C214" s="38"/>
    </row>
    <row r="215" spans="1:4" x14ac:dyDescent="0.3">
      <c r="A215" s="180"/>
      <c r="B215" s="143" t="str">
        <f>'2.Páginas de la muestra'!C19</f>
        <v>ALIAS 12</v>
      </c>
      <c r="C215" s="38"/>
    </row>
    <row r="216" spans="1:4" x14ac:dyDescent="0.3">
      <c r="A216" s="180"/>
      <c r="B216" s="143" t="str">
        <f>'2.Páginas de la muestra'!C20</f>
        <v>ALIAS 13</v>
      </c>
      <c r="C216" s="38"/>
    </row>
    <row r="217" spans="1:4" x14ac:dyDescent="0.3">
      <c r="A217" s="180"/>
      <c r="B217" s="143" t="str">
        <f>'2.Páginas de la muestra'!C21</f>
        <v>ALIAS 14</v>
      </c>
      <c r="C217" s="38"/>
    </row>
    <row r="218" spans="1:4" x14ac:dyDescent="0.3">
      <c r="A218" s="181"/>
      <c r="B218" s="143" t="str">
        <f>'2.Páginas de la muestra'!C22</f>
        <v>ALIAS 15</v>
      </c>
      <c r="C218" s="38"/>
    </row>
    <row r="219" spans="1:4" x14ac:dyDescent="0.3">
      <c r="A219" s="152"/>
      <c r="B219" s="157"/>
      <c r="C219" s="146" t="s">
        <v>11</v>
      </c>
      <c r="D219" s="39"/>
    </row>
    <row r="220" spans="1:4" x14ac:dyDescent="0.3">
      <c r="A220" s="152"/>
      <c r="B220" s="157"/>
    </row>
    <row r="221" spans="1:4" x14ac:dyDescent="0.3">
      <c r="A221" s="159" t="s">
        <v>352</v>
      </c>
      <c r="B221" s="150" t="s">
        <v>252</v>
      </c>
      <c r="C221" s="154">
        <f>COUNTIF(C204:C218,Hoja4!A5)</f>
        <v>7</v>
      </c>
    </row>
    <row r="222" spans="1:4" x14ac:dyDescent="0.3">
      <c r="A222" s="152"/>
      <c r="B222" s="150" t="s">
        <v>253</v>
      </c>
      <c r="C222" s="154">
        <f>COUNTIF(C204:C218,Hoja4!A6)</f>
        <v>0</v>
      </c>
    </row>
    <row r="223" spans="1:4" x14ac:dyDescent="0.3">
      <c r="A223" s="152"/>
      <c r="B223" s="150" t="s">
        <v>209</v>
      </c>
      <c r="C223" s="154">
        <f>COUNTIF(C204:C218,Hoja4!A7)</f>
        <v>0</v>
      </c>
    </row>
    <row r="224" spans="1:4" x14ac:dyDescent="0.3">
      <c r="A224" s="152"/>
      <c r="B224" s="157"/>
    </row>
    <row r="225" spans="1:5" x14ac:dyDescent="0.3">
      <c r="A225" s="178" t="s">
        <v>340</v>
      </c>
      <c r="B225" s="182"/>
      <c r="C225" s="139" t="s">
        <v>191</v>
      </c>
      <c r="E225" s="140" t="s">
        <v>332</v>
      </c>
    </row>
    <row r="226" spans="1:5" ht="18.75" customHeight="1" x14ac:dyDescent="0.3">
      <c r="A226" s="180" t="s">
        <v>383</v>
      </c>
      <c r="B226" s="143" t="str">
        <f>'2.Páginas de la muestra'!C8</f>
        <v>Inicio</v>
      </c>
      <c r="C226" s="38" t="s">
        <v>8</v>
      </c>
      <c r="E226" s="124" t="s">
        <v>88</v>
      </c>
    </row>
    <row r="227" spans="1:5" x14ac:dyDescent="0.3">
      <c r="A227" s="180"/>
      <c r="B227" s="143" t="str">
        <f>'2.Páginas de la muestra'!C9</f>
        <v>login</v>
      </c>
      <c r="C227" s="38" t="s">
        <v>8</v>
      </c>
    </row>
    <row r="228" spans="1:5" x14ac:dyDescent="0.3">
      <c r="A228" s="180"/>
      <c r="B228" s="143" t="str">
        <f>'2.Páginas de la muestra'!C10</f>
        <v>Inicio-Dashboard</v>
      </c>
      <c r="C228" s="38" t="s">
        <v>8</v>
      </c>
    </row>
    <row r="229" spans="1:5" x14ac:dyDescent="0.3">
      <c r="A229" s="180"/>
      <c r="B229" s="143" t="str">
        <f>'2.Páginas de la muestra'!C11</f>
        <v>Dashboard-Usuarios</v>
      </c>
      <c r="C229" s="38" t="s">
        <v>8</v>
      </c>
    </row>
    <row r="230" spans="1:5" x14ac:dyDescent="0.3">
      <c r="A230" s="180"/>
      <c r="B230" s="143" t="str">
        <f>'2.Páginas de la muestra'!C12</f>
        <v>Dashboard-Servicios</v>
      </c>
      <c r="C230" s="38" t="s">
        <v>8</v>
      </c>
    </row>
    <row r="231" spans="1:5" x14ac:dyDescent="0.3">
      <c r="A231" s="180"/>
      <c r="B231" s="143" t="str">
        <f>'2.Páginas de la muestra'!C13</f>
        <v>Dashboard-Reservas</v>
      </c>
      <c r="C231" s="38" t="s">
        <v>8</v>
      </c>
    </row>
    <row r="232" spans="1:5" x14ac:dyDescent="0.3">
      <c r="A232" s="180"/>
      <c r="B232" s="143" t="str">
        <f>'2.Páginas de la muestra'!C14</f>
        <v>Dashboard-Reservas-clientes</v>
      </c>
      <c r="C232" s="38" t="s">
        <v>8</v>
      </c>
    </row>
    <row r="233" spans="1:5" x14ac:dyDescent="0.3">
      <c r="A233" s="180"/>
      <c r="B233" s="143" t="str">
        <f>'2.Páginas de la muestra'!C15</f>
        <v>ALIAS 8</v>
      </c>
      <c r="C233" s="38"/>
    </row>
    <row r="234" spans="1:5" x14ac:dyDescent="0.3">
      <c r="A234" s="180"/>
      <c r="B234" s="143" t="str">
        <f>'2.Páginas de la muestra'!C16</f>
        <v>ALIAS 9</v>
      </c>
      <c r="C234" s="38"/>
    </row>
    <row r="235" spans="1:5" x14ac:dyDescent="0.3">
      <c r="A235" s="180"/>
      <c r="B235" s="143" t="str">
        <f>'2.Páginas de la muestra'!C17</f>
        <v>ALIAS 10</v>
      </c>
      <c r="C235" s="38"/>
    </row>
    <row r="236" spans="1:5" x14ac:dyDescent="0.3">
      <c r="A236" s="180"/>
      <c r="B236" s="143" t="str">
        <f>'2.Páginas de la muestra'!C18</f>
        <v>ALIAS 11</v>
      </c>
      <c r="C236" s="38"/>
    </row>
    <row r="237" spans="1:5" x14ac:dyDescent="0.3">
      <c r="A237" s="180"/>
      <c r="B237" s="143" t="str">
        <f>'2.Páginas de la muestra'!C19</f>
        <v>ALIAS 12</v>
      </c>
      <c r="C237" s="38"/>
    </row>
    <row r="238" spans="1:5" x14ac:dyDescent="0.3">
      <c r="A238" s="180"/>
      <c r="B238" s="143" t="str">
        <f>'2.Páginas de la muestra'!C20</f>
        <v>ALIAS 13</v>
      </c>
      <c r="C238" s="38"/>
    </row>
    <row r="239" spans="1:5" x14ac:dyDescent="0.3">
      <c r="A239" s="180"/>
      <c r="B239" s="143" t="str">
        <f>'2.Páginas de la muestra'!C21</f>
        <v>ALIAS 14</v>
      </c>
      <c r="C239" s="38"/>
    </row>
    <row r="240" spans="1:5" x14ac:dyDescent="0.3">
      <c r="A240" s="181"/>
      <c r="B240" s="143" t="str">
        <f>'2.Páginas de la muestra'!C22</f>
        <v>ALIAS 15</v>
      </c>
      <c r="C240" s="38"/>
    </row>
    <row r="241" spans="1:5" x14ac:dyDescent="0.3">
      <c r="A241" s="152"/>
      <c r="B241" s="157"/>
      <c r="C241" s="146" t="s">
        <v>11</v>
      </c>
      <c r="D241" s="39"/>
    </row>
    <row r="242" spans="1:5" x14ac:dyDescent="0.3">
      <c r="A242" s="152"/>
      <c r="B242" s="157"/>
    </row>
    <row r="243" spans="1:5" x14ac:dyDescent="0.3">
      <c r="A243" s="159" t="s">
        <v>353</v>
      </c>
      <c r="B243" s="150" t="s">
        <v>252</v>
      </c>
      <c r="C243" s="154">
        <f>COUNTIF(C226:C240,Hoja4!A5)</f>
        <v>7</v>
      </c>
    </row>
    <row r="244" spans="1:5" x14ac:dyDescent="0.3">
      <c r="A244" s="152"/>
      <c r="B244" s="150" t="s">
        <v>253</v>
      </c>
      <c r="C244" s="154">
        <f>COUNTIF(C226:C240,Hoja4!A6)</f>
        <v>0</v>
      </c>
    </row>
    <row r="245" spans="1:5" x14ac:dyDescent="0.3">
      <c r="A245" s="152"/>
      <c r="B245" s="150" t="s">
        <v>209</v>
      </c>
      <c r="C245" s="154">
        <f>COUNTIF(C226:C240,Hoja4!A7)</f>
        <v>0</v>
      </c>
    </row>
    <row r="246" spans="1:5" x14ac:dyDescent="0.3">
      <c r="A246" s="152"/>
      <c r="B246" s="157"/>
    </row>
    <row r="247" spans="1:5" x14ac:dyDescent="0.3">
      <c r="A247" s="178" t="s">
        <v>341</v>
      </c>
      <c r="B247" s="182"/>
      <c r="C247" s="139" t="s">
        <v>191</v>
      </c>
      <c r="E247" s="140" t="s">
        <v>333</v>
      </c>
    </row>
    <row r="248" spans="1:5" ht="18.75" customHeight="1" x14ac:dyDescent="0.3">
      <c r="A248" s="180" t="s">
        <v>384</v>
      </c>
      <c r="B248" s="143" t="str">
        <f>'2.Páginas de la muestra'!C8</f>
        <v>Inicio</v>
      </c>
      <c r="C248" s="38" t="s">
        <v>8</v>
      </c>
      <c r="E248" s="124" t="s">
        <v>89</v>
      </c>
    </row>
    <row r="249" spans="1:5" x14ac:dyDescent="0.3">
      <c r="A249" s="180"/>
      <c r="B249" s="143" t="str">
        <f>'2.Páginas de la muestra'!C9</f>
        <v>login</v>
      </c>
      <c r="C249" s="38" t="s">
        <v>8</v>
      </c>
    </row>
    <row r="250" spans="1:5" x14ac:dyDescent="0.3">
      <c r="A250" s="180"/>
      <c r="B250" s="143" t="str">
        <f>'2.Páginas de la muestra'!C10</f>
        <v>Inicio-Dashboard</v>
      </c>
      <c r="C250" s="38" t="s">
        <v>8</v>
      </c>
    </row>
    <row r="251" spans="1:5" x14ac:dyDescent="0.3">
      <c r="A251" s="180"/>
      <c r="B251" s="143" t="str">
        <f>'2.Páginas de la muestra'!C11</f>
        <v>Dashboard-Usuarios</v>
      </c>
      <c r="C251" s="38" t="s">
        <v>8</v>
      </c>
    </row>
    <row r="252" spans="1:5" x14ac:dyDescent="0.3">
      <c r="A252" s="180"/>
      <c r="B252" s="143" t="str">
        <f>'2.Páginas de la muestra'!C12</f>
        <v>Dashboard-Servicios</v>
      </c>
      <c r="C252" s="38" t="s">
        <v>8</v>
      </c>
    </row>
    <row r="253" spans="1:5" x14ac:dyDescent="0.3">
      <c r="A253" s="180"/>
      <c r="B253" s="143" t="str">
        <f>'2.Páginas de la muestra'!C13</f>
        <v>Dashboard-Reservas</v>
      </c>
      <c r="C253" s="38" t="s">
        <v>8</v>
      </c>
    </row>
    <row r="254" spans="1:5" x14ac:dyDescent="0.3">
      <c r="A254" s="180"/>
      <c r="B254" s="143" t="str">
        <f>'2.Páginas de la muestra'!C14</f>
        <v>Dashboard-Reservas-clientes</v>
      </c>
      <c r="C254" s="38" t="s">
        <v>8</v>
      </c>
    </row>
    <row r="255" spans="1:5" x14ac:dyDescent="0.3">
      <c r="A255" s="180"/>
      <c r="B255" s="143" t="str">
        <f>'2.Páginas de la muestra'!C15</f>
        <v>ALIAS 8</v>
      </c>
      <c r="C255" s="38"/>
    </row>
    <row r="256" spans="1:5" x14ac:dyDescent="0.3">
      <c r="A256" s="180"/>
      <c r="B256" s="143" t="str">
        <f>'2.Páginas de la muestra'!C16</f>
        <v>ALIAS 9</v>
      </c>
      <c r="C256" s="38"/>
    </row>
    <row r="257" spans="1:5" x14ac:dyDescent="0.3">
      <c r="A257" s="180"/>
      <c r="B257" s="143" t="str">
        <f>'2.Páginas de la muestra'!C17</f>
        <v>ALIAS 10</v>
      </c>
      <c r="C257" s="38"/>
    </row>
    <row r="258" spans="1:5" x14ac:dyDescent="0.3">
      <c r="A258" s="180"/>
      <c r="B258" s="143" t="str">
        <f>'2.Páginas de la muestra'!C18</f>
        <v>ALIAS 11</v>
      </c>
      <c r="C258" s="38"/>
    </row>
    <row r="259" spans="1:5" x14ac:dyDescent="0.3">
      <c r="A259" s="180"/>
      <c r="B259" s="143" t="str">
        <f>'2.Páginas de la muestra'!C19</f>
        <v>ALIAS 12</v>
      </c>
      <c r="C259" s="38"/>
    </row>
    <row r="260" spans="1:5" x14ac:dyDescent="0.3">
      <c r="A260" s="180"/>
      <c r="B260" s="143" t="str">
        <f>'2.Páginas de la muestra'!C20</f>
        <v>ALIAS 13</v>
      </c>
      <c r="C260" s="38"/>
    </row>
    <row r="261" spans="1:5" x14ac:dyDescent="0.3">
      <c r="A261" s="180"/>
      <c r="B261" s="143" t="str">
        <f>'2.Páginas de la muestra'!C21</f>
        <v>ALIAS 14</v>
      </c>
      <c r="C261" s="38"/>
    </row>
    <row r="262" spans="1:5" x14ac:dyDescent="0.3">
      <c r="A262" s="181"/>
      <c r="B262" s="143" t="str">
        <f>'2.Páginas de la muestra'!C22</f>
        <v>ALIAS 15</v>
      </c>
      <c r="C262" s="38"/>
    </row>
    <row r="263" spans="1:5" x14ac:dyDescent="0.3">
      <c r="A263" s="152"/>
      <c r="B263" s="157"/>
      <c r="C263" s="146" t="s">
        <v>11</v>
      </c>
      <c r="D263" s="39"/>
    </row>
    <row r="264" spans="1:5" x14ac:dyDescent="0.3">
      <c r="A264" s="152"/>
      <c r="B264" s="157"/>
    </row>
    <row r="265" spans="1:5" x14ac:dyDescent="0.3">
      <c r="A265" s="159" t="s">
        <v>354</v>
      </c>
      <c r="B265" s="150" t="s">
        <v>252</v>
      </c>
      <c r="C265" s="154">
        <f>COUNTIF(C248:C262,Hoja4!A5)</f>
        <v>7</v>
      </c>
    </row>
    <row r="266" spans="1:5" x14ac:dyDescent="0.3">
      <c r="A266" s="152"/>
      <c r="B266" s="150" t="s">
        <v>253</v>
      </c>
      <c r="C266" s="154">
        <f>COUNTIF(C248:C262,Hoja4!A6)</f>
        <v>0</v>
      </c>
    </row>
    <row r="267" spans="1:5" x14ac:dyDescent="0.3">
      <c r="A267" s="152"/>
      <c r="B267" s="150" t="s">
        <v>209</v>
      </c>
      <c r="C267" s="154">
        <f>COUNTIF(C248:C262,Hoja4!A7)</f>
        <v>0</v>
      </c>
    </row>
    <row r="268" spans="1:5" x14ac:dyDescent="0.3">
      <c r="A268" s="152"/>
      <c r="B268" s="157"/>
    </row>
    <row r="269" spans="1:5" x14ac:dyDescent="0.3">
      <c r="A269" s="178" t="s">
        <v>342</v>
      </c>
      <c r="B269" s="182"/>
      <c r="C269" s="139" t="s">
        <v>191</v>
      </c>
      <c r="E269" s="140" t="s">
        <v>334</v>
      </c>
    </row>
    <row r="270" spans="1:5" ht="18.75" customHeight="1" x14ac:dyDescent="0.3">
      <c r="A270" s="180" t="s">
        <v>390</v>
      </c>
      <c r="B270" s="143" t="str">
        <f>'2.Páginas de la muestra'!C8</f>
        <v>Inicio</v>
      </c>
      <c r="C270" s="38" t="s">
        <v>8</v>
      </c>
      <c r="E270" s="124" t="s">
        <v>125</v>
      </c>
    </row>
    <row r="271" spans="1:5" x14ac:dyDescent="0.3">
      <c r="A271" s="180"/>
      <c r="B271" s="143" t="str">
        <f>'2.Páginas de la muestra'!C9</f>
        <v>login</v>
      </c>
      <c r="C271" s="38" t="s">
        <v>8</v>
      </c>
    </row>
    <row r="272" spans="1:5" x14ac:dyDescent="0.3">
      <c r="A272" s="180"/>
      <c r="B272" s="143" t="str">
        <f>'2.Páginas de la muestra'!C10</f>
        <v>Inicio-Dashboard</v>
      </c>
      <c r="C272" s="38" t="s">
        <v>8</v>
      </c>
    </row>
    <row r="273" spans="1:4" x14ac:dyDescent="0.3">
      <c r="A273" s="180"/>
      <c r="B273" s="143" t="str">
        <f>'2.Páginas de la muestra'!C11</f>
        <v>Dashboard-Usuarios</v>
      </c>
      <c r="C273" s="38" t="s">
        <v>8</v>
      </c>
    </row>
    <row r="274" spans="1:4" x14ac:dyDescent="0.3">
      <c r="A274" s="180"/>
      <c r="B274" s="143" t="str">
        <f>'2.Páginas de la muestra'!C12</f>
        <v>Dashboard-Servicios</v>
      </c>
      <c r="C274" s="38" t="s">
        <v>8</v>
      </c>
    </row>
    <row r="275" spans="1:4" x14ac:dyDescent="0.3">
      <c r="A275" s="180"/>
      <c r="B275" s="143" t="str">
        <f>'2.Páginas de la muestra'!C13</f>
        <v>Dashboard-Reservas</v>
      </c>
      <c r="C275" s="38" t="s">
        <v>8</v>
      </c>
    </row>
    <row r="276" spans="1:4" x14ac:dyDescent="0.3">
      <c r="A276" s="180"/>
      <c r="B276" s="143" t="str">
        <f>'2.Páginas de la muestra'!C14</f>
        <v>Dashboard-Reservas-clientes</v>
      </c>
      <c r="C276" s="38" t="s">
        <v>8</v>
      </c>
    </row>
    <row r="277" spans="1:4" x14ac:dyDescent="0.3">
      <c r="A277" s="180"/>
      <c r="B277" s="143" t="str">
        <f>'2.Páginas de la muestra'!C15</f>
        <v>ALIAS 8</v>
      </c>
      <c r="C277" s="38"/>
    </row>
    <row r="278" spans="1:4" x14ac:dyDescent="0.3">
      <c r="A278" s="180"/>
      <c r="B278" s="143" t="str">
        <f>'2.Páginas de la muestra'!C16</f>
        <v>ALIAS 9</v>
      </c>
      <c r="C278" s="38"/>
    </row>
    <row r="279" spans="1:4" x14ac:dyDescent="0.3">
      <c r="A279" s="180"/>
      <c r="B279" s="143" t="str">
        <f>'2.Páginas de la muestra'!C17</f>
        <v>ALIAS 10</v>
      </c>
      <c r="C279" s="38"/>
    </row>
    <row r="280" spans="1:4" x14ac:dyDescent="0.3">
      <c r="A280" s="180"/>
      <c r="B280" s="143" t="str">
        <f>'2.Páginas de la muestra'!C18</f>
        <v>ALIAS 11</v>
      </c>
      <c r="C280" s="38"/>
    </row>
    <row r="281" spans="1:4" x14ac:dyDescent="0.3">
      <c r="A281" s="180"/>
      <c r="B281" s="143" t="str">
        <f>'2.Páginas de la muestra'!C19</f>
        <v>ALIAS 12</v>
      </c>
      <c r="C281" s="38"/>
    </row>
    <row r="282" spans="1:4" x14ac:dyDescent="0.3">
      <c r="A282" s="180"/>
      <c r="B282" s="143" t="str">
        <f>'2.Páginas de la muestra'!C20</f>
        <v>ALIAS 13</v>
      </c>
      <c r="C282" s="38"/>
    </row>
    <row r="283" spans="1:4" x14ac:dyDescent="0.3">
      <c r="A283" s="180"/>
      <c r="B283" s="143" t="str">
        <f>'2.Páginas de la muestra'!C21</f>
        <v>ALIAS 14</v>
      </c>
      <c r="C283" s="38"/>
    </row>
    <row r="284" spans="1:4" x14ac:dyDescent="0.3">
      <c r="A284" s="181"/>
      <c r="B284" s="143" t="str">
        <f>'2.Páginas de la muestra'!C22</f>
        <v>ALIAS 15</v>
      </c>
      <c r="C284" s="38"/>
    </row>
    <row r="285" spans="1:4" x14ac:dyDescent="0.3">
      <c r="C285" s="146" t="s">
        <v>11</v>
      </c>
      <c r="D285" s="39"/>
    </row>
    <row r="287" spans="1:4" x14ac:dyDescent="0.3">
      <c r="A287" s="159" t="s">
        <v>355</v>
      </c>
      <c r="B287" s="150" t="s">
        <v>252</v>
      </c>
      <c r="C287" s="154">
        <f>COUNTIF(C270:C284,Hoja4!A5)</f>
        <v>7</v>
      </c>
    </row>
    <row r="288" spans="1:4" x14ac:dyDescent="0.3">
      <c r="B288" s="150" t="s">
        <v>253</v>
      </c>
      <c r="C288" s="154">
        <f>COUNTIF(C270:C284,Hoja4!A6)</f>
        <v>0</v>
      </c>
    </row>
    <row r="289" spans="1:10" x14ac:dyDescent="0.3">
      <c r="B289" s="150" t="s">
        <v>209</v>
      </c>
      <c r="C289" s="154">
        <f>COUNTIF(C270:C284,Hoja4!A7)</f>
        <v>0</v>
      </c>
    </row>
    <row r="291" spans="1:10" ht="19.5" thickBot="1" x14ac:dyDescent="0.35"/>
    <row r="292" spans="1:10" ht="15.75" thickTop="1" x14ac:dyDescent="0.25">
      <c r="A292" s="172"/>
      <c r="B292" s="172"/>
      <c r="C292" s="172"/>
      <c r="D292" s="172"/>
      <c r="E292" s="172"/>
      <c r="F292" s="172"/>
      <c r="G292" s="172"/>
    </row>
    <row r="293" spans="1:10" ht="15" x14ac:dyDescent="0.25">
      <c r="A293" s="131" t="s">
        <v>44</v>
      </c>
      <c r="B293" s="174" t="s">
        <v>2</v>
      </c>
      <c r="C293" s="174"/>
      <c r="D293" s="174"/>
      <c r="E293" s="174"/>
      <c r="F293" s="174"/>
      <c r="G293" s="174"/>
      <c r="H293" s="174"/>
      <c r="I293" s="174"/>
      <c r="J293" s="174"/>
    </row>
    <row r="294" spans="1:10" ht="15" x14ac:dyDescent="0.25">
      <c r="A294" s="134" t="s">
        <v>173</v>
      </c>
      <c r="B294" s="175" t="s">
        <v>47</v>
      </c>
      <c r="C294" s="176"/>
      <c r="D294" s="176"/>
      <c r="E294" s="176"/>
      <c r="F294" s="176"/>
      <c r="G294" s="176"/>
      <c r="H294" s="176"/>
      <c r="I294" s="176"/>
      <c r="J294" s="176"/>
    </row>
    <row r="295" spans="1:10" ht="15" x14ac:dyDescent="0.25">
      <c r="A295" s="134" t="s">
        <v>45</v>
      </c>
      <c r="B295" s="176" t="s">
        <v>46</v>
      </c>
      <c r="C295" s="176"/>
      <c r="D295" s="176"/>
      <c r="E295" s="176"/>
      <c r="F295" s="176"/>
      <c r="G295" s="176"/>
      <c r="H295" s="176"/>
      <c r="I295" s="176"/>
      <c r="J295" s="176"/>
    </row>
    <row r="296" spans="1:10" ht="15" x14ac:dyDescent="0.25">
      <c r="A296" s="135" t="s">
        <v>171</v>
      </c>
      <c r="B296" s="177" t="s">
        <v>437</v>
      </c>
      <c r="C296" s="177"/>
      <c r="D296" s="177"/>
      <c r="E296" s="177"/>
      <c r="F296" s="177"/>
      <c r="G296" s="177"/>
      <c r="H296" s="177"/>
      <c r="I296" s="177"/>
      <c r="J296" s="177"/>
    </row>
    <row r="297" spans="1:10" ht="15" x14ac:dyDescent="0.25">
      <c r="A297" s="134" t="s">
        <v>172</v>
      </c>
      <c r="B297" s="171" t="s">
        <v>52</v>
      </c>
      <c r="C297" s="171"/>
      <c r="D297" s="171"/>
      <c r="E297" s="171"/>
      <c r="F297" s="171"/>
      <c r="G297" s="171"/>
      <c r="H297" s="171"/>
      <c r="I297" s="171"/>
      <c r="J297" s="171"/>
    </row>
    <row r="298" spans="1:10" x14ac:dyDescent="0.3">
      <c r="A298" s="130"/>
      <c r="B298" s="130"/>
      <c r="C298" s="160"/>
      <c r="D298" s="130"/>
      <c r="E298" s="130"/>
      <c r="F298" s="130"/>
      <c r="G298" s="130"/>
    </row>
  </sheetData>
  <sheetProtection password="BD42" sheet="1" objects="1" scenarios="1"/>
  <mergeCells count="33">
    <mergeCell ref="B296:J296"/>
    <mergeCell ref="B297:J297"/>
    <mergeCell ref="A6:A20"/>
    <mergeCell ref="A5:B5"/>
    <mergeCell ref="A28:A42"/>
    <mergeCell ref="A27:B27"/>
    <mergeCell ref="A49:B49"/>
    <mergeCell ref="A72:A86"/>
    <mergeCell ref="A71:B71"/>
    <mergeCell ref="A94:A108"/>
    <mergeCell ref="A93:B93"/>
    <mergeCell ref="A116:A130"/>
    <mergeCell ref="A115:B115"/>
    <mergeCell ref="A138:A152"/>
    <mergeCell ref="A137:B137"/>
    <mergeCell ref="A160:A174"/>
    <mergeCell ref="B295:J295"/>
    <mergeCell ref="A159:B159"/>
    <mergeCell ref="A182:A196"/>
    <mergeCell ref="A181:B181"/>
    <mergeCell ref="A204:A218"/>
    <mergeCell ref="A203:B203"/>
    <mergeCell ref="A226:A240"/>
    <mergeCell ref="A225:B225"/>
    <mergeCell ref="A248:A262"/>
    <mergeCell ref="A247:B247"/>
    <mergeCell ref="A270:A284"/>
    <mergeCell ref="A269:B269"/>
    <mergeCell ref="A50:A64"/>
    <mergeCell ref="A1:C2"/>
    <mergeCell ref="A292:G292"/>
    <mergeCell ref="B293:J293"/>
    <mergeCell ref="B294:J294"/>
  </mergeCells>
  <dataValidations count="1">
    <dataValidation type="list" allowBlank="1" showInputMessage="1" showErrorMessage="1" sqref="D21 D43 C72:C86 D65 C204:C218 D87 C248:C262 D109 C226:C240 D131 C6:C20 D153 C50:C64 D175 C28:C42 D197 C116:C130 D219 D241 C138:C152 D263 C160:C174 D285 C94:C108 C182:C196 C270:C284">
      <formula1>Cumple</formula1>
    </dataValidation>
  </dataValidations>
  <hyperlinks>
    <hyperlink ref="B295" r:id="rId1"/>
    <hyperlink ref="B294" r:id="rId2"/>
    <hyperlink ref="E4" r:id="rId3"/>
    <hyperlink ref="A6:A20" r:id="rId4" display="http://www.w3.org/TR/UNDERSTANDING-WCAG20/media-equiv-real-time-captions.html"/>
    <hyperlink ref="A28:A42" r:id="rId5" display="http://www.w3.org/TR/UNDERSTANDING-WCAG20/media-equiv-audio-desc-only.html"/>
    <hyperlink ref="A50:A64" r:id="rId6" display="http://www.w3.org/TR/UNDERSTANDING-WCAG20/visual-audio-contrast-contrast.html"/>
    <hyperlink ref="A72:A86" r:id="rId7" display="http://www.w3.org/TR/UNDERSTANDING-WCAG20/visual-audio-contrast-scale.html"/>
    <hyperlink ref="A94:A108" r:id="rId8" display="http://www.w3.org/TR/UNDERSTANDING-WCAG20/visual-audio-contrast-text-presentation.html"/>
    <hyperlink ref="A116:A130" r:id="rId9" display="http://www.w3.org/TR/UNDERSTANDING-WCAG20/navigation-mechanisms-mult-loc.html"/>
    <hyperlink ref="A138:A152" r:id="rId10" display="http://www.w3.org/TR/UNDERSTANDING-WCAG20/navigation-mechanisms-descriptive.html"/>
    <hyperlink ref="A160:A174" r:id="rId11" display="http://www.w3.org/TR/UNDERSTANDING-WCAG20/navigation-mechanisms-focus-visible.html"/>
    <hyperlink ref="A182:A196" r:id="rId12" display="http://www.w3.org/TR/UNDERSTANDING-WCAG20/meaning-other-lang-id.html"/>
    <hyperlink ref="A204:A218" r:id="rId13" display="http://www.w3.org/TR/UNDERSTANDING-WCAG20/consistent-behavior-consistent-locations.html"/>
    <hyperlink ref="A226:A240" r:id="rId14" display="http://www.w3.org/TR/UNDERSTANDING-WCAG20/consistent-behavior-consistent-functionality.html"/>
    <hyperlink ref="A248:A262" r:id="rId15" display="http://www.w3.org/TR/UNDERSTANDING-WCAG20/minimize-error-suggestions.html"/>
    <hyperlink ref="A270:A284" r:id="rId16" display="http://www.w3.org/TR/UNDERSTANDING-WCAG20/minimize-error-reversible.html"/>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28" operator="equal" id="{1142E8B9-5BE3-4617-AC06-29C459098B1E}">
            <xm:f>Hoja4!$A$7</xm:f>
            <x14:dxf>
              <fill>
                <patternFill>
                  <bgColor rgb="FFFFFF00"/>
                </patternFill>
              </fill>
            </x14:dxf>
          </x14:cfRule>
          <x14:cfRule type="cellIs" priority="329" operator="equal" id="{E4BA175A-EBD5-4023-80F1-27F92EAA974B}">
            <xm:f>Hoja4!$A$6</xm:f>
            <x14:dxf>
              <fill>
                <patternFill>
                  <bgColor rgb="FFFF0000"/>
                </patternFill>
              </fill>
            </x14:dxf>
          </x14:cfRule>
          <x14:cfRule type="containsText" priority="330" operator="containsText" id="{C141391C-2B52-49BC-973A-CC5DB883B9EC}">
            <xm:f>NOT(ISERROR(SEARCH(Hoja4!$A$5,C6)))</xm:f>
            <xm:f>Hoja4!$A$5</xm:f>
            <x14:dxf>
              <fill>
                <patternFill>
                  <bgColor rgb="FF92D050"/>
                </patternFill>
              </fill>
            </x14:dxf>
          </x14:cfRule>
          <xm:sqref>D274:E284 C6:E6 D10:E20 C28:E28 D32:E42 C50:E50 D54:E64 E67:E69 D70:E70 C72:E72 C94:E94 C116:E116 C138:E138 C160:E160 C182:E182 C204:E204 C226:E226 D230:E240 C248:E248 C270:E270 E52:E53 D264:E268 D242:E246 D220:E224 D198:E202 D176:E180 D154:E158 D132:E136 D110:E114 D88:E92 D66:E66 D44:E48 D22:E26 E21 E43 E65 E87 E109 E131 E153 E175 E197 E219 E241 E263 D76:E86 D98:E108 D120:E130 D142:E152 D164:E174 D186:E196 D208:E218 D252:E262 C7:C20 C51:C64 C117:C130 C139:C152 C161:C174 C29:C42 C73:C86 C95:C108 C183:C196 C205:C218 C227:C240 C249:C262 C271:C284</xm:sqref>
        </x14:conditionalFormatting>
        <x14:conditionalFormatting xmlns:xm="http://schemas.microsoft.com/office/excel/2006/main">
          <x14:cfRule type="cellIs" priority="232" operator="equal" id="{F23213F6-7A33-44CC-9848-2EC0F2383D1E}">
            <xm:f>Hoja4!$A$5</xm:f>
            <x14:dxf>
              <fill>
                <patternFill>
                  <bgColor rgb="FF92D050"/>
                </patternFill>
              </fill>
            </x14:dxf>
          </x14:cfRule>
          <x14:cfRule type="cellIs" priority="233" operator="equal" id="{818E197D-E237-4A9D-BD29-E9BAE4131653}">
            <xm:f>Hoja4!$A$6</xm:f>
            <x14:dxf>
              <fill>
                <patternFill>
                  <bgColor rgb="FFFF0000"/>
                </patternFill>
              </fill>
            </x14:dxf>
          </x14:cfRule>
          <x14:cfRule type="cellIs" priority="234" operator="equal" id="{8F92863F-312C-4E9C-8B17-1DB45C4E04CC}">
            <xm:f>Hoja4!$A$7</xm:f>
            <x14:dxf>
              <fill>
                <patternFill>
                  <bgColor rgb="FFFFFF00"/>
                </patternFill>
              </fill>
            </x14:dxf>
          </x14:cfRule>
          <xm:sqref>A23</xm:sqref>
        </x14:conditionalFormatting>
        <x14:conditionalFormatting xmlns:xm="http://schemas.microsoft.com/office/excel/2006/main">
          <x14:cfRule type="cellIs" priority="229" operator="equal" id="{ADB91A5D-E470-49CC-BE50-3E52E248D4CA}">
            <xm:f>Hoja4!$A$5</xm:f>
            <x14:dxf>
              <fill>
                <patternFill>
                  <bgColor rgb="FF92D050"/>
                </patternFill>
              </fill>
            </x14:dxf>
          </x14:cfRule>
          <x14:cfRule type="cellIs" priority="230" operator="equal" id="{7EE93517-8C85-4FDD-BCA3-EAF0C39560CF}">
            <xm:f>Hoja4!$A$6</xm:f>
            <x14:dxf>
              <fill>
                <patternFill>
                  <bgColor rgb="FFFF0000"/>
                </patternFill>
              </fill>
            </x14:dxf>
          </x14:cfRule>
          <x14:cfRule type="cellIs" priority="231" operator="equal" id="{DC3A0397-2598-4C8A-BBC3-33890E0372D3}">
            <xm:f>Hoja4!$A$7</xm:f>
            <x14:dxf>
              <fill>
                <patternFill>
                  <bgColor rgb="FFFFFF00"/>
                </patternFill>
              </fill>
            </x14:dxf>
          </x14:cfRule>
          <xm:sqref>A45</xm:sqref>
        </x14:conditionalFormatting>
        <x14:conditionalFormatting xmlns:xm="http://schemas.microsoft.com/office/excel/2006/main">
          <x14:cfRule type="cellIs" priority="226" operator="equal" id="{617E0B7D-171B-4A4F-B5C7-7DBBEDDC6B1E}">
            <xm:f>Hoja4!$A$5</xm:f>
            <x14:dxf>
              <fill>
                <patternFill>
                  <bgColor rgb="FF92D050"/>
                </patternFill>
              </fill>
            </x14:dxf>
          </x14:cfRule>
          <x14:cfRule type="cellIs" priority="227" operator="equal" id="{F9AA52B3-F491-4A30-BF92-D5D94F61FF75}">
            <xm:f>Hoja4!$A$6</xm:f>
            <x14:dxf>
              <fill>
                <patternFill>
                  <bgColor rgb="FFFF0000"/>
                </patternFill>
              </fill>
            </x14:dxf>
          </x14:cfRule>
          <x14:cfRule type="cellIs" priority="228" operator="equal" id="{AEE861E9-E26D-4035-A036-409542B987C7}">
            <xm:f>Hoja4!$A$7</xm:f>
            <x14:dxf>
              <fill>
                <patternFill>
                  <bgColor rgb="FFFFFF00"/>
                </patternFill>
              </fill>
            </x14:dxf>
          </x14:cfRule>
          <xm:sqref>A67</xm:sqref>
        </x14:conditionalFormatting>
        <x14:conditionalFormatting xmlns:xm="http://schemas.microsoft.com/office/excel/2006/main">
          <x14:cfRule type="cellIs" priority="223" operator="equal" id="{2D5AF4E6-56C4-42AB-AB0C-B392E4B390E4}">
            <xm:f>Hoja4!$A$5</xm:f>
            <x14:dxf>
              <fill>
                <patternFill>
                  <bgColor rgb="FF92D050"/>
                </patternFill>
              </fill>
            </x14:dxf>
          </x14:cfRule>
          <x14:cfRule type="cellIs" priority="224" operator="equal" id="{EC5B59D9-8DB3-4B2B-A6D1-4BD60F241AB7}">
            <xm:f>Hoja4!$A$6</xm:f>
            <x14:dxf>
              <fill>
                <patternFill>
                  <bgColor rgb="FFFF0000"/>
                </patternFill>
              </fill>
            </x14:dxf>
          </x14:cfRule>
          <x14:cfRule type="cellIs" priority="225" operator="equal" id="{2C585E8E-FDF4-4D72-9900-F5EEA67534D9}">
            <xm:f>Hoja4!$A$7</xm:f>
            <x14:dxf>
              <fill>
                <patternFill>
                  <bgColor rgb="FFFFFF00"/>
                </patternFill>
              </fill>
            </x14:dxf>
          </x14:cfRule>
          <xm:sqref>A89</xm:sqref>
        </x14:conditionalFormatting>
        <x14:conditionalFormatting xmlns:xm="http://schemas.microsoft.com/office/excel/2006/main">
          <x14:cfRule type="cellIs" priority="220" operator="equal" id="{7ECAC385-E123-4800-8EA7-A0E24FF6B07B}">
            <xm:f>Hoja4!$A$5</xm:f>
            <x14:dxf>
              <fill>
                <patternFill>
                  <bgColor rgb="FF92D050"/>
                </patternFill>
              </fill>
            </x14:dxf>
          </x14:cfRule>
          <x14:cfRule type="cellIs" priority="221" operator="equal" id="{1DD0B290-E3D6-4BA3-8CE6-C1406015638F}">
            <xm:f>Hoja4!$A$6</xm:f>
            <x14:dxf>
              <fill>
                <patternFill>
                  <bgColor rgb="FFFF0000"/>
                </patternFill>
              </fill>
            </x14:dxf>
          </x14:cfRule>
          <x14:cfRule type="cellIs" priority="222" operator="equal" id="{A066C9F1-E2E1-4FF7-B2DD-371FEB512873}">
            <xm:f>Hoja4!$A$7</xm:f>
            <x14:dxf>
              <fill>
                <patternFill>
                  <bgColor rgb="FFFFFF00"/>
                </patternFill>
              </fill>
            </x14:dxf>
          </x14:cfRule>
          <xm:sqref>A111</xm:sqref>
        </x14:conditionalFormatting>
        <x14:conditionalFormatting xmlns:xm="http://schemas.microsoft.com/office/excel/2006/main">
          <x14:cfRule type="cellIs" priority="217" operator="equal" id="{237DE224-2B0E-48BA-8F2E-E45770265074}">
            <xm:f>Hoja4!$A$5</xm:f>
            <x14:dxf>
              <fill>
                <patternFill>
                  <bgColor rgb="FF92D050"/>
                </patternFill>
              </fill>
            </x14:dxf>
          </x14:cfRule>
          <x14:cfRule type="cellIs" priority="218" operator="equal" id="{4BD05965-77E8-4948-AD3B-89BFBC89BFEE}">
            <xm:f>Hoja4!$A$6</xm:f>
            <x14:dxf>
              <fill>
                <patternFill>
                  <bgColor rgb="FFFF0000"/>
                </patternFill>
              </fill>
            </x14:dxf>
          </x14:cfRule>
          <x14:cfRule type="cellIs" priority="219" operator="equal" id="{8115FC14-37D3-4855-8E3F-EB47B1B42600}">
            <xm:f>Hoja4!$A$7</xm:f>
            <x14:dxf>
              <fill>
                <patternFill>
                  <bgColor rgb="FFFFFF00"/>
                </patternFill>
              </fill>
            </x14:dxf>
          </x14:cfRule>
          <xm:sqref>A133</xm:sqref>
        </x14:conditionalFormatting>
        <x14:conditionalFormatting xmlns:xm="http://schemas.microsoft.com/office/excel/2006/main">
          <x14:cfRule type="cellIs" priority="214" operator="equal" id="{17568AB9-9C8D-4806-A89D-D5EA68DFD13B}">
            <xm:f>Hoja4!$A$5</xm:f>
            <x14:dxf>
              <fill>
                <patternFill>
                  <bgColor rgb="FF92D050"/>
                </patternFill>
              </fill>
            </x14:dxf>
          </x14:cfRule>
          <x14:cfRule type="cellIs" priority="215" operator="equal" id="{FFDC15E3-D108-45A0-8F8A-4AD6DED46138}">
            <xm:f>Hoja4!$A$6</xm:f>
            <x14:dxf>
              <fill>
                <patternFill>
                  <bgColor rgb="FFFF0000"/>
                </patternFill>
              </fill>
            </x14:dxf>
          </x14:cfRule>
          <x14:cfRule type="cellIs" priority="216" operator="equal" id="{423537E1-9F3A-4AEE-BF59-0B23209045E5}">
            <xm:f>Hoja4!$A$7</xm:f>
            <x14:dxf>
              <fill>
                <patternFill>
                  <bgColor rgb="FFFFFF00"/>
                </patternFill>
              </fill>
            </x14:dxf>
          </x14:cfRule>
          <xm:sqref>A155</xm:sqref>
        </x14:conditionalFormatting>
        <x14:conditionalFormatting xmlns:xm="http://schemas.microsoft.com/office/excel/2006/main">
          <x14:cfRule type="cellIs" priority="211" operator="equal" id="{BA102FA0-97C6-4334-B9DD-86A79566EE9E}">
            <xm:f>Hoja4!$A$5</xm:f>
            <x14:dxf>
              <fill>
                <patternFill>
                  <bgColor rgb="FF92D050"/>
                </patternFill>
              </fill>
            </x14:dxf>
          </x14:cfRule>
          <x14:cfRule type="cellIs" priority="212" operator="equal" id="{F381C039-6CD4-4BD3-9F36-183241379222}">
            <xm:f>Hoja4!$A$6</xm:f>
            <x14:dxf>
              <fill>
                <patternFill>
                  <bgColor rgb="FFFF0000"/>
                </patternFill>
              </fill>
            </x14:dxf>
          </x14:cfRule>
          <x14:cfRule type="cellIs" priority="213" operator="equal" id="{041D7633-D822-4789-8F22-5B6B3310FFC0}">
            <xm:f>Hoja4!$A$7</xm:f>
            <x14:dxf>
              <fill>
                <patternFill>
                  <bgColor rgb="FFFFFF00"/>
                </patternFill>
              </fill>
            </x14:dxf>
          </x14:cfRule>
          <xm:sqref>A177</xm:sqref>
        </x14:conditionalFormatting>
        <x14:conditionalFormatting xmlns:xm="http://schemas.microsoft.com/office/excel/2006/main">
          <x14:cfRule type="cellIs" priority="208" operator="equal" id="{B7F28271-AA31-498D-8899-DBC7D7920B8A}">
            <xm:f>Hoja4!$A$5</xm:f>
            <x14:dxf>
              <fill>
                <patternFill>
                  <bgColor rgb="FF92D050"/>
                </patternFill>
              </fill>
            </x14:dxf>
          </x14:cfRule>
          <x14:cfRule type="cellIs" priority="209" operator="equal" id="{74CDF9B3-7823-4153-A3CB-AE09E5A3EB9D}">
            <xm:f>Hoja4!$A$6</xm:f>
            <x14:dxf>
              <fill>
                <patternFill>
                  <bgColor rgb="FFFF0000"/>
                </patternFill>
              </fill>
            </x14:dxf>
          </x14:cfRule>
          <x14:cfRule type="cellIs" priority="210" operator="equal" id="{1B433E96-09B6-463B-9C24-F638FE6B9196}">
            <xm:f>Hoja4!$A$7</xm:f>
            <x14:dxf>
              <fill>
                <patternFill>
                  <bgColor rgb="FFFFFF00"/>
                </patternFill>
              </fill>
            </x14:dxf>
          </x14:cfRule>
          <xm:sqref>A199</xm:sqref>
        </x14:conditionalFormatting>
        <x14:conditionalFormatting xmlns:xm="http://schemas.microsoft.com/office/excel/2006/main">
          <x14:cfRule type="cellIs" priority="205" operator="equal" id="{84F6A994-80B2-4066-99B1-09EE7C1C422D}">
            <xm:f>Hoja4!$A$5</xm:f>
            <x14:dxf>
              <fill>
                <patternFill>
                  <bgColor rgb="FF92D050"/>
                </patternFill>
              </fill>
            </x14:dxf>
          </x14:cfRule>
          <x14:cfRule type="cellIs" priority="206" operator="equal" id="{70A5EDCD-C905-46C0-888C-FE0D38B88BC4}">
            <xm:f>Hoja4!$A$6</xm:f>
            <x14:dxf>
              <fill>
                <patternFill>
                  <bgColor rgb="FFFF0000"/>
                </patternFill>
              </fill>
            </x14:dxf>
          </x14:cfRule>
          <x14:cfRule type="cellIs" priority="207" operator="equal" id="{D2D77277-0F61-46F1-9152-A434073A12D2}">
            <xm:f>Hoja4!$A$7</xm:f>
            <x14:dxf>
              <fill>
                <patternFill>
                  <bgColor rgb="FFFFFF00"/>
                </patternFill>
              </fill>
            </x14:dxf>
          </x14:cfRule>
          <xm:sqref>A221</xm:sqref>
        </x14:conditionalFormatting>
        <x14:conditionalFormatting xmlns:xm="http://schemas.microsoft.com/office/excel/2006/main">
          <x14:cfRule type="cellIs" priority="202" operator="equal" id="{59872F65-0508-42A2-BC0F-467F3611E8DE}">
            <xm:f>Hoja4!$A$5</xm:f>
            <x14:dxf>
              <fill>
                <patternFill>
                  <bgColor rgb="FF92D050"/>
                </patternFill>
              </fill>
            </x14:dxf>
          </x14:cfRule>
          <x14:cfRule type="cellIs" priority="203" operator="equal" id="{40EFE622-9292-447E-8E68-2635FA1CE3FC}">
            <xm:f>Hoja4!$A$6</xm:f>
            <x14:dxf>
              <fill>
                <patternFill>
                  <bgColor rgb="FFFF0000"/>
                </patternFill>
              </fill>
            </x14:dxf>
          </x14:cfRule>
          <x14:cfRule type="cellIs" priority="204" operator="equal" id="{B857B94C-68AA-4944-AD5C-A5424C94F64B}">
            <xm:f>Hoja4!$A$7</xm:f>
            <x14:dxf>
              <fill>
                <patternFill>
                  <bgColor rgb="FFFFFF00"/>
                </patternFill>
              </fill>
            </x14:dxf>
          </x14:cfRule>
          <xm:sqref>A243</xm:sqref>
        </x14:conditionalFormatting>
        <x14:conditionalFormatting xmlns:xm="http://schemas.microsoft.com/office/excel/2006/main">
          <x14:cfRule type="cellIs" priority="199" operator="equal" id="{DE20BF46-8D7F-4706-87F9-E8ACD03678E4}">
            <xm:f>Hoja4!$A$5</xm:f>
            <x14:dxf>
              <fill>
                <patternFill>
                  <bgColor rgb="FF92D050"/>
                </patternFill>
              </fill>
            </x14:dxf>
          </x14:cfRule>
          <x14:cfRule type="cellIs" priority="200" operator="equal" id="{7C30A1C9-2751-4D2C-B861-30F36D3A2973}">
            <xm:f>Hoja4!$A$6</xm:f>
            <x14:dxf>
              <fill>
                <patternFill>
                  <bgColor rgb="FFFF0000"/>
                </patternFill>
              </fill>
            </x14:dxf>
          </x14:cfRule>
          <x14:cfRule type="cellIs" priority="201" operator="equal" id="{68E65CCD-E766-4313-8741-032FFFB4DD17}">
            <xm:f>Hoja4!$A$7</xm:f>
            <x14:dxf>
              <fill>
                <patternFill>
                  <bgColor rgb="FFFFFF00"/>
                </patternFill>
              </fill>
            </x14:dxf>
          </x14:cfRule>
          <xm:sqref>A265</xm:sqref>
        </x14:conditionalFormatting>
        <x14:conditionalFormatting xmlns:xm="http://schemas.microsoft.com/office/excel/2006/main">
          <x14:cfRule type="cellIs" priority="196" operator="equal" id="{04E7AB06-276C-441A-9A10-73CE95041DD1}">
            <xm:f>Hoja4!$A$5</xm:f>
            <x14:dxf>
              <fill>
                <patternFill>
                  <bgColor rgb="FF92D050"/>
                </patternFill>
              </fill>
            </x14:dxf>
          </x14:cfRule>
          <x14:cfRule type="cellIs" priority="197" operator="equal" id="{6B51B1DE-9EC2-45F2-BC5C-5337FFCAEEF1}">
            <xm:f>Hoja4!$A$6</xm:f>
            <x14:dxf>
              <fill>
                <patternFill>
                  <bgColor rgb="FFFF0000"/>
                </patternFill>
              </fill>
            </x14:dxf>
          </x14:cfRule>
          <x14:cfRule type="cellIs" priority="198" operator="equal" id="{C4AB14E9-3253-462C-AE53-0E46AEF04F1D}">
            <xm:f>Hoja4!$A$7</xm:f>
            <x14:dxf>
              <fill>
                <patternFill>
                  <bgColor rgb="FFFFFF00"/>
                </patternFill>
              </fill>
            </x14:dxf>
          </x14:cfRule>
          <xm:sqref>A287</xm:sqref>
        </x14:conditionalFormatting>
        <x14:conditionalFormatting xmlns:xm="http://schemas.microsoft.com/office/excel/2006/main">
          <x14:cfRule type="cellIs" priority="193" operator="equal" id="{87C1047F-CF79-48E0-B08A-548A5EA03D55}">
            <xm:f>Hoja4!$A$5</xm:f>
            <x14:dxf>
              <fill>
                <patternFill>
                  <bgColor rgb="FF92D050"/>
                </patternFill>
              </fill>
            </x14:dxf>
          </x14:cfRule>
          <x14:cfRule type="cellIs" priority="194" operator="equal" id="{63B3EEDD-DD5E-4F9B-8D65-C168E1D333BD}">
            <xm:f>Hoja4!$A$6</xm:f>
            <x14:dxf>
              <fill>
                <patternFill>
                  <bgColor rgb="FFFF0000"/>
                </patternFill>
              </fill>
            </x14:dxf>
          </x14:cfRule>
          <x14:cfRule type="cellIs" priority="195" operator="equal" id="{0D0672B4-4B8A-47CF-96B5-9ED4F08852BD}">
            <xm:f>Hoja4!$A$7</xm:f>
            <x14:dxf>
              <fill>
                <patternFill>
                  <bgColor rgb="FFFFFF00"/>
                </patternFill>
              </fill>
            </x14:dxf>
          </x14:cfRule>
          <xm:sqref>B23</xm:sqref>
        </x14:conditionalFormatting>
        <x14:conditionalFormatting xmlns:xm="http://schemas.microsoft.com/office/excel/2006/main">
          <x14:cfRule type="cellIs" priority="190" operator="equal" id="{3F1CEFA7-4D29-4621-834C-DA6D22A1EA3C}">
            <xm:f>Hoja4!$A$5</xm:f>
            <x14:dxf>
              <fill>
                <patternFill>
                  <bgColor rgb="FF92D050"/>
                </patternFill>
              </fill>
            </x14:dxf>
          </x14:cfRule>
          <x14:cfRule type="cellIs" priority="191" operator="equal" id="{9CA543EA-2F74-4D9F-8B0F-CE9528F0C8C4}">
            <xm:f>Hoja4!$A$6</xm:f>
            <x14:dxf>
              <fill>
                <patternFill>
                  <bgColor rgb="FFFF0000"/>
                </patternFill>
              </fill>
            </x14:dxf>
          </x14:cfRule>
          <x14:cfRule type="cellIs" priority="192" operator="equal" id="{D3985B52-9803-4A76-B6D1-635A30A6630C}">
            <xm:f>Hoja4!$A$7</xm:f>
            <x14:dxf>
              <fill>
                <patternFill>
                  <bgColor rgb="FFFFFF00"/>
                </patternFill>
              </fill>
            </x14:dxf>
          </x14:cfRule>
          <xm:sqref>B45</xm:sqref>
        </x14:conditionalFormatting>
        <x14:conditionalFormatting xmlns:xm="http://schemas.microsoft.com/office/excel/2006/main">
          <x14:cfRule type="cellIs" priority="187" operator="equal" id="{2F6500EE-2706-4D37-8E34-58C7BB5E7826}">
            <xm:f>Hoja4!$A$5</xm:f>
            <x14:dxf>
              <fill>
                <patternFill>
                  <bgColor rgb="FF92D050"/>
                </patternFill>
              </fill>
            </x14:dxf>
          </x14:cfRule>
          <x14:cfRule type="cellIs" priority="188" operator="equal" id="{167BABE6-1D86-4EE5-A7BC-C48282C61286}">
            <xm:f>Hoja4!$A$6</xm:f>
            <x14:dxf>
              <fill>
                <patternFill>
                  <bgColor rgb="FFFF0000"/>
                </patternFill>
              </fill>
            </x14:dxf>
          </x14:cfRule>
          <x14:cfRule type="cellIs" priority="189" operator="equal" id="{0B330071-9F01-4E51-A05D-2FBA7792ACC9}">
            <xm:f>Hoja4!$A$7</xm:f>
            <x14:dxf>
              <fill>
                <patternFill>
                  <bgColor rgb="FFFFFF00"/>
                </patternFill>
              </fill>
            </x14:dxf>
          </x14:cfRule>
          <xm:sqref>B67</xm:sqref>
        </x14:conditionalFormatting>
        <x14:conditionalFormatting xmlns:xm="http://schemas.microsoft.com/office/excel/2006/main">
          <x14:cfRule type="cellIs" priority="184" operator="equal" id="{CC3676F0-C207-464D-AA07-9EC4095E8483}">
            <xm:f>Hoja4!$A$5</xm:f>
            <x14:dxf>
              <fill>
                <patternFill>
                  <bgColor rgb="FF92D050"/>
                </patternFill>
              </fill>
            </x14:dxf>
          </x14:cfRule>
          <x14:cfRule type="cellIs" priority="185" operator="equal" id="{C686AE24-BBED-4FAB-977B-02FDDFF371D6}">
            <xm:f>Hoja4!$A$6</xm:f>
            <x14:dxf>
              <fill>
                <patternFill>
                  <bgColor rgb="FFFF0000"/>
                </patternFill>
              </fill>
            </x14:dxf>
          </x14:cfRule>
          <x14:cfRule type="cellIs" priority="186" operator="equal" id="{53887317-D81C-4F4F-ADCF-C0E408D26BE7}">
            <xm:f>Hoja4!$A$7</xm:f>
            <x14:dxf>
              <fill>
                <patternFill>
                  <bgColor rgb="FFFFFF00"/>
                </patternFill>
              </fill>
            </x14:dxf>
          </x14:cfRule>
          <xm:sqref>B89</xm:sqref>
        </x14:conditionalFormatting>
        <x14:conditionalFormatting xmlns:xm="http://schemas.microsoft.com/office/excel/2006/main">
          <x14:cfRule type="cellIs" priority="181" operator="equal" id="{E10E703E-57EC-493D-8121-68FC9EBE6C77}">
            <xm:f>Hoja4!$A$5</xm:f>
            <x14:dxf>
              <fill>
                <patternFill>
                  <bgColor rgb="FF92D050"/>
                </patternFill>
              </fill>
            </x14:dxf>
          </x14:cfRule>
          <x14:cfRule type="cellIs" priority="182" operator="equal" id="{67500F12-AE06-4EBB-98A5-7C84D7C9941E}">
            <xm:f>Hoja4!$A$6</xm:f>
            <x14:dxf>
              <fill>
                <patternFill>
                  <bgColor rgb="FFFF0000"/>
                </patternFill>
              </fill>
            </x14:dxf>
          </x14:cfRule>
          <x14:cfRule type="cellIs" priority="183" operator="equal" id="{A936DCE0-739E-4DC9-894F-2C50F70B2C46}">
            <xm:f>Hoja4!$A$7</xm:f>
            <x14:dxf>
              <fill>
                <patternFill>
                  <bgColor rgb="FFFFFF00"/>
                </patternFill>
              </fill>
            </x14:dxf>
          </x14:cfRule>
          <xm:sqref>B111</xm:sqref>
        </x14:conditionalFormatting>
        <x14:conditionalFormatting xmlns:xm="http://schemas.microsoft.com/office/excel/2006/main">
          <x14:cfRule type="cellIs" priority="178" operator="equal" id="{166233FF-88FF-47EF-BDDE-2A397FD4BFD1}">
            <xm:f>Hoja4!$A$5</xm:f>
            <x14:dxf>
              <fill>
                <patternFill>
                  <bgColor rgb="FF92D050"/>
                </patternFill>
              </fill>
            </x14:dxf>
          </x14:cfRule>
          <x14:cfRule type="cellIs" priority="179" operator="equal" id="{671B776A-4146-485F-825C-ED28CA5DE60F}">
            <xm:f>Hoja4!$A$6</xm:f>
            <x14:dxf>
              <fill>
                <patternFill>
                  <bgColor rgb="FFFF0000"/>
                </patternFill>
              </fill>
            </x14:dxf>
          </x14:cfRule>
          <x14:cfRule type="cellIs" priority="180" operator="equal" id="{06C91171-5C32-4B08-957D-FF900082950F}">
            <xm:f>Hoja4!$A$7</xm:f>
            <x14:dxf>
              <fill>
                <patternFill>
                  <bgColor rgb="FFFFFF00"/>
                </patternFill>
              </fill>
            </x14:dxf>
          </x14:cfRule>
          <xm:sqref>B133</xm:sqref>
        </x14:conditionalFormatting>
        <x14:conditionalFormatting xmlns:xm="http://schemas.microsoft.com/office/excel/2006/main">
          <x14:cfRule type="cellIs" priority="175" operator="equal" id="{40A21506-2FBC-4236-939B-079835EEF4B8}">
            <xm:f>Hoja4!$A$5</xm:f>
            <x14:dxf>
              <fill>
                <patternFill>
                  <bgColor rgb="FF92D050"/>
                </patternFill>
              </fill>
            </x14:dxf>
          </x14:cfRule>
          <x14:cfRule type="cellIs" priority="176" operator="equal" id="{57E47DCB-2213-43FB-8CC1-F5190A4BDCE2}">
            <xm:f>Hoja4!$A$6</xm:f>
            <x14:dxf>
              <fill>
                <patternFill>
                  <bgColor rgb="FFFF0000"/>
                </patternFill>
              </fill>
            </x14:dxf>
          </x14:cfRule>
          <x14:cfRule type="cellIs" priority="177" operator="equal" id="{BF55D8A5-83F8-4440-850E-7A41EEAE2A2A}">
            <xm:f>Hoja4!$A$7</xm:f>
            <x14:dxf>
              <fill>
                <patternFill>
                  <bgColor rgb="FFFFFF00"/>
                </patternFill>
              </fill>
            </x14:dxf>
          </x14:cfRule>
          <xm:sqref>B155</xm:sqref>
        </x14:conditionalFormatting>
        <x14:conditionalFormatting xmlns:xm="http://schemas.microsoft.com/office/excel/2006/main">
          <x14:cfRule type="cellIs" priority="172" operator="equal" id="{100A4101-9953-4BBE-98B5-096606EE0373}">
            <xm:f>Hoja4!$A$5</xm:f>
            <x14:dxf>
              <fill>
                <patternFill>
                  <bgColor rgb="FF92D050"/>
                </patternFill>
              </fill>
            </x14:dxf>
          </x14:cfRule>
          <x14:cfRule type="cellIs" priority="173" operator="equal" id="{4ABB9EFF-D653-40D1-B416-2E72D3232D0F}">
            <xm:f>Hoja4!$A$6</xm:f>
            <x14:dxf>
              <fill>
                <patternFill>
                  <bgColor rgb="FFFF0000"/>
                </patternFill>
              </fill>
            </x14:dxf>
          </x14:cfRule>
          <x14:cfRule type="cellIs" priority="174" operator="equal" id="{10B97757-D880-412B-8590-6F4C858532BC}">
            <xm:f>Hoja4!$A$7</xm:f>
            <x14:dxf>
              <fill>
                <patternFill>
                  <bgColor rgb="FFFFFF00"/>
                </patternFill>
              </fill>
            </x14:dxf>
          </x14:cfRule>
          <xm:sqref>B177</xm:sqref>
        </x14:conditionalFormatting>
        <x14:conditionalFormatting xmlns:xm="http://schemas.microsoft.com/office/excel/2006/main">
          <x14:cfRule type="cellIs" priority="169" operator="equal" id="{766707E0-2EA9-488A-A4C8-1FD27D217562}">
            <xm:f>Hoja4!$A$5</xm:f>
            <x14:dxf>
              <fill>
                <patternFill>
                  <bgColor rgb="FF92D050"/>
                </patternFill>
              </fill>
            </x14:dxf>
          </x14:cfRule>
          <x14:cfRule type="cellIs" priority="170" operator="equal" id="{DAAFBAEF-06C2-4BC0-9D80-209690721E42}">
            <xm:f>Hoja4!$A$6</xm:f>
            <x14:dxf>
              <fill>
                <patternFill>
                  <bgColor rgb="FFFF0000"/>
                </patternFill>
              </fill>
            </x14:dxf>
          </x14:cfRule>
          <x14:cfRule type="cellIs" priority="171" operator="equal" id="{F68F8238-A55E-45CF-A512-45776CB2F7FA}">
            <xm:f>Hoja4!$A$7</xm:f>
            <x14:dxf>
              <fill>
                <patternFill>
                  <bgColor rgb="FFFFFF00"/>
                </patternFill>
              </fill>
            </x14:dxf>
          </x14:cfRule>
          <xm:sqref>B199</xm:sqref>
        </x14:conditionalFormatting>
        <x14:conditionalFormatting xmlns:xm="http://schemas.microsoft.com/office/excel/2006/main">
          <x14:cfRule type="cellIs" priority="166" operator="equal" id="{2490618E-DF79-432C-980E-D428219BF122}">
            <xm:f>Hoja4!$A$5</xm:f>
            <x14:dxf>
              <fill>
                <patternFill>
                  <bgColor rgb="FF92D050"/>
                </patternFill>
              </fill>
            </x14:dxf>
          </x14:cfRule>
          <x14:cfRule type="cellIs" priority="167" operator="equal" id="{D0A04383-A08F-4DD8-A663-1606C140FA70}">
            <xm:f>Hoja4!$A$6</xm:f>
            <x14:dxf>
              <fill>
                <patternFill>
                  <bgColor rgb="FFFF0000"/>
                </patternFill>
              </fill>
            </x14:dxf>
          </x14:cfRule>
          <x14:cfRule type="cellIs" priority="168" operator="equal" id="{B1901F28-40D7-4CEC-8240-BBB615B91A46}">
            <xm:f>Hoja4!$A$7</xm:f>
            <x14:dxf>
              <fill>
                <patternFill>
                  <bgColor rgb="FFFFFF00"/>
                </patternFill>
              </fill>
            </x14:dxf>
          </x14:cfRule>
          <xm:sqref>B221</xm:sqref>
        </x14:conditionalFormatting>
        <x14:conditionalFormatting xmlns:xm="http://schemas.microsoft.com/office/excel/2006/main">
          <x14:cfRule type="cellIs" priority="163" operator="equal" id="{9D46475A-7A0A-4253-8E38-2F9717280C17}">
            <xm:f>Hoja4!$A$5</xm:f>
            <x14:dxf>
              <fill>
                <patternFill>
                  <bgColor rgb="FF92D050"/>
                </patternFill>
              </fill>
            </x14:dxf>
          </x14:cfRule>
          <x14:cfRule type="cellIs" priority="164" operator="equal" id="{6EED8B40-7F21-4396-8BDA-8DFA305DCD4A}">
            <xm:f>Hoja4!$A$6</xm:f>
            <x14:dxf>
              <fill>
                <patternFill>
                  <bgColor rgb="FFFF0000"/>
                </patternFill>
              </fill>
            </x14:dxf>
          </x14:cfRule>
          <x14:cfRule type="cellIs" priority="165" operator="equal" id="{0CF1BAB2-089D-42FC-9722-2A5905547ABA}">
            <xm:f>Hoja4!$A$7</xm:f>
            <x14:dxf>
              <fill>
                <patternFill>
                  <bgColor rgb="FFFFFF00"/>
                </patternFill>
              </fill>
            </x14:dxf>
          </x14:cfRule>
          <xm:sqref>B243</xm:sqref>
        </x14:conditionalFormatting>
        <x14:conditionalFormatting xmlns:xm="http://schemas.microsoft.com/office/excel/2006/main">
          <x14:cfRule type="cellIs" priority="160" operator="equal" id="{651B71B0-DF64-4299-8880-C689FAEE541A}">
            <xm:f>Hoja4!$A$5</xm:f>
            <x14:dxf>
              <fill>
                <patternFill>
                  <bgColor rgb="FF92D050"/>
                </patternFill>
              </fill>
            </x14:dxf>
          </x14:cfRule>
          <x14:cfRule type="cellIs" priority="161" operator="equal" id="{579321A0-7098-43EB-AAAA-B30BE09F5145}">
            <xm:f>Hoja4!$A$6</xm:f>
            <x14:dxf>
              <fill>
                <patternFill>
                  <bgColor rgb="FFFF0000"/>
                </patternFill>
              </fill>
            </x14:dxf>
          </x14:cfRule>
          <x14:cfRule type="cellIs" priority="162" operator="equal" id="{9328377F-73EB-46E0-9090-B0B0277E6B3E}">
            <xm:f>Hoja4!$A$7</xm:f>
            <x14:dxf>
              <fill>
                <patternFill>
                  <bgColor rgb="FFFFFF00"/>
                </patternFill>
              </fill>
            </x14:dxf>
          </x14:cfRule>
          <xm:sqref>B265</xm:sqref>
        </x14:conditionalFormatting>
        <x14:conditionalFormatting xmlns:xm="http://schemas.microsoft.com/office/excel/2006/main">
          <x14:cfRule type="cellIs" priority="157" operator="equal" id="{A4AD9EE7-18CC-406A-B435-B78488E8C20F}">
            <xm:f>Hoja4!$A$5</xm:f>
            <x14:dxf>
              <fill>
                <patternFill>
                  <bgColor rgb="FF92D050"/>
                </patternFill>
              </fill>
            </x14:dxf>
          </x14:cfRule>
          <x14:cfRule type="cellIs" priority="158" operator="equal" id="{F7E1F879-2CFB-4743-82CE-5A72CCF78D45}">
            <xm:f>Hoja4!$A$6</xm:f>
            <x14:dxf>
              <fill>
                <patternFill>
                  <bgColor rgb="FFFF0000"/>
                </patternFill>
              </fill>
            </x14:dxf>
          </x14:cfRule>
          <x14:cfRule type="cellIs" priority="159" operator="equal" id="{B3C182D0-7BC0-4E33-A579-9A885EBDA5FA}">
            <xm:f>Hoja4!$A$7</xm:f>
            <x14:dxf>
              <fill>
                <patternFill>
                  <bgColor rgb="FFFFFF00"/>
                </patternFill>
              </fill>
            </x14:dxf>
          </x14:cfRule>
          <xm:sqref>B287</xm:sqref>
        </x14:conditionalFormatting>
        <x14:conditionalFormatting xmlns:xm="http://schemas.microsoft.com/office/excel/2006/main">
          <x14:cfRule type="cellIs" priority="154" operator="equal" id="{8758BE22-3173-4807-9184-356967A7FB75}">
            <xm:f>Hoja4!$A$5</xm:f>
            <x14:dxf>
              <fill>
                <patternFill>
                  <bgColor rgb="FF92D050"/>
                </patternFill>
              </fill>
            </x14:dxf>
          </x14:cfRule>
          <x14:cfRule type="cellIs" priority="155" operator="equal" id="{9480A51A-C759-4109-86E6-DF028AA5543D}">
            <xm:f>Hoja4!$A$6</xm:f>
            <x14:dxf>
              <fill>
                <patternFill>
                  <bgColor rgb="FFFF0000"/>
                </patternFill>
              </fill>
            </x14:dxf>
          </x14:cfRule>
          <x14:cfRule type="cellIs" priority="156" operator="equal" id="{3A7FE257-C7F1-42CE-AB1A-F0475B7A3314}">
            <xm:f>Hoja4!$A$7</xm:f>
            <x14:dxf>
              <fill>
                <patternFill>
                  <bgColor rgb="FFFFFF00"/>
                </patternFill>
              </fill>
            </x14:dxf>
          </x14:cfRule>
          <xm:sqref>B288</xm:sqref>
        </x14:conditionalFormatting>
        <x14:conditionalFormatting xmlns:xm="http://schemas.microsoft.com/office/excel/2006/main">
          <x14:cfRule type="cellIs" priority="151" operator="equal" id="{AF177879-29EE-44A1-95E6-03DC6F65A032}">
            <xm:f>Hoja4!$A$5</xm:f>
            <x14:dxf>
              <fill>
                <patternFill>
                  <bgColor rgb="FF92D050"/>
                </patternFill>
              </fill>
            </x14:dxf>
          </x14:cfRule>
          <x14:cfRule type="cellIs" priority="152" operator="equal" id="{70F8C4D7-0455-47DB-84A6-59200CFFB76D}">
            <xm:f>Hoja4!$A$6</xm:f>
            <x14:dxf>
              <fill>
                <patternFill>
                  <bgColor rgb="FFFF0000"/>
                </patternFill>
              </fill>
            </x14:dxf>
          </x14:cfRule>
          <x14:cfRule type="cellIs" priority="153" operator="equal" id="{4FF386F7-CEC6-43D1-91C6-235CCEC37477}">
            <xm:f>Hoja4!$A$7</xm:f>
            <x14:dxf>
              <fill>
                <patternFill>
                  <bgColor rgb="FFFFFF00"/>
                </patternFill>
              </fill>
            </x14:dxf>
          </x14:cfRule>
          <xm:sqref>B266</xm:sqref>
        </x14:conditionalFormatting>
        <x14:conditionalFormatting xmlns:xm="http://schemas.microsoft.com/office/excel/2006/main">
          <x14:cfRule type="cellIs" priority="148" operator="equal" id="{0F146E0F-E0D5-4E8F-8C3D-524EDFC7F168}">
            <xm:f>Hoja4!$A$5</xm:f>
            <x14:dxf>
              <fill>
                <patternFill>
                  <bgColor rgb="FF92D050"/>
                </patternFill>
              </fill>
            </x14:dxf>
          </x14:cfRule>
          <x14:cfRule type="cellIs" priority="149" operator="equal" id="{AC4A453C-ECCF-43D8-AC2E-95761705A8BA}">
            <xm:f>Hoja4!$A$6</xm:f>
            <x14:dxf>
              <fill>
                <patternFill>
                  <bgColor rgb="FFFF0000"/>
                </patternFill>
              </fill>
            </x14:dxf>
          </x14:cfRule>
          <x14:cfRule type="cellIs" priority="150" operator="equal" id="{3ADB14AE-E9A9-4C55-BFEA-06AFF589045F}">
            <xm:f>Hoja4!$A$7</xm:f>
            <x14:dxf>
              <fill>
                <patternFill>
                  <bgColor rgb="FFFFFF00"/>
                </patternFill>
              </fill>
            </x14:dxf>
          </x14:cfRule>
          <xm:sqref>B244</xm:sqref>
        </x14:conditionalFormatting>
        <x14:conditionalFormatting xmlns:xm="http://schemas.microsoft.com/office/excel/2006/main">
          <x14:cfRule type="cellIs" priority="145" operator="equal" id="{2DA54A04-06F4-4C7D-8283-0C0E80AE1206}">
            <xm:f>Hoja4!$A$5</xm:f>
            <x14:dxf>
              <fill>
                <patternFill>
                  <bgColor rgb="FF92D050"/>
                </patternFill>
              </fill>
            </x14:dxf>
          </x14:cfRule>
          <x14:cfRule type="cellIs" priority="146" operator="equal" id="{B245FAFC-20A4-4225-BD25-0AE8FE122687}">
            <xm:f>Hoja4!$A$6</xm:f>
            <x14:dxf>
              <fill>
                <patternFill>
                  <bgColor rgb="FFFF0000"/>
                </patternFill>
              </fill>
            </x14:dxf>
          </x14:cfRule>
          <x14:cfRule type="cellIs" priority="147" operator="equal" id="{0C410EC6-5F82-4476-89F8-D425EDEF9CD3}">
            <xm:f>Hoja4!$A$7</xm:f>
            <x14:dxf>
              <fill>
                <patternFill>
                  <bgColor rgb="FFFFFF00"/>
                </patternFill>
              </fill>
            </x14:dxf>
          </x14:cfRule>
          <xm:sqref>B222</xm:sqref>
        </x14:conditionalFormatting>
        <x14:conditionalFormatting xmlns:xm="http://schemas.microsoft.com/office/excel/2006/main">
          <x14:cfRule type="cellIs" priority="142" operator="equal" id="{288142E5-0662-425D-BB13-FDA145DA90F0}">
            <xm:f>Hoja4!$A$5</xm:f>
            <x14:dxf>
              <fill>
                <patternFill>
                  <bgColor rgb="FF92D050"/>
                </patternFill>
              </fill>
            </x14:dxf>
          </x14:cfRule>
          <x14:cfRule type="cellIs" priority="143" operator="equal" id="{2BC59915-9EC8-4541-BBB1-BC77370A8044}">
            <xm:f>Hoja4!$A$6</xm:f>
            <x14:dxf>
              <fill>
                <patternFill>
                  <bgColor rgb="FFFF0000"/>
                </patternFill>
              </fill>
            </x14:dxf>
          </x14:cfRule>
          <x14:cfRule type="cellIs" priority="144" operator="equal" id="{133E5F94-492D-42CE-AB03-5FABDE37ED3D}">
            <xm:f>Hoja4!$A$7</xm:f>
            <x14:dxf>
              <fill>
                <patternFill>
                  <bgColor rgb="FFFFFF00"/>
                </patternFill>
              </fill>
            </x14:dxf>
          </x14:cfRule>
          <xm:sqref>B200</xm:sqref>
        </x14:conditionalFormatting>
        <x14:conditionalFormatting xmlns:xm="http://schemas.microsoft.com/office/excel/2006/main">
          <x14:cfRule type="cellIs" priority="139" operator="equal" id="{9D9D0B9D-41CC-4BC6-A0A7-F1898F5521AD}">
            <xm:f>Hoja4!$A$5</xm:f>
            <x14:dxf>
              <fill>
                <patternFill>
                  <bgColor rgb="FF92D050"/>
                </patternFill>
              </fill>
            </x14:dxf>
          </x14:cfRule>
          <x14:cfRule type="cellIs" priority="140" operator="equal" id="{1EABF8E6-40F4-43B4-9893-1AC2B43E2431}">
            <xm:f>Hoja4!$A$6</xm:f>
            <x14:dxf>
              <fill>
                <patternFill>
                  <bgColor rgb="FFFF0000"/>
                </patternFill>
              </fill>
            </x14:dxf>
          </x14:cfRule>
          <x14:cfRule type="cellIs" priority="141" operator="equal" id="{1223FC7D-69C1-4AEE-B8D8-1B3C48D53F85}">
            <xm:f>Hoja4!$A$7</xm:f>
            <x14:dxf>
              <fill>
                <patternFill>
                  <bgColor rgb="FFFFFF00"/>
                </patternFill>
              </fill>
            </x14:dxf>
          </x14:cfRule>
          <xm:sqref>B178</xm:sqref>
        </x14:conditionalFormatting>
        <x14:conditionalFormatting xmlns:xm="http://schemas.microsoft.com/office/excel/2006/main">
          <x14:cfRule type="cellIs" priority="136" operator="equal" id="{ADB8036C-D0BA-409D-997F-9835CB3FFC9B}">
            <xm:f>Hoja4!$A$5</xm:f>
            <x14:dxf>
              <fill>
                <patternFill>
                  <bgColor rgb="FF92D050"/>
                </patternFill>
              </fill>
            </x14:dxf>
          </x14:cfRule>
          <x14:cfRule type="cellIs" priority="137" operator="equal" id="{070FB8F2-0BD7-4B91-AB32-CDA7D29056B0}">
            <xm:f>Hoja4!$A$6</xm:f>
            <x14:dxf>
              <fill>
                <patternFill>
                  <bgColor rgb="FFFF0000"/>
                </patternFill>
              </fill>
            </x14:dxf>
          </x14:cfRule>
          <x14:cfRule type="cellIs" priority="138" operator="equal" id="{FEDF652F-0FF8-479B-B857-F1485037653F}">
            <xm:f>Hoja4!$A$7</xm:f>
            <x14:dxf>
              <fill>
                <patternFill>
                  <bgColor rgb="FFFFFF00"/>
                </patternFill>
              </fill>
            </x14:dxf>
          </x14:cfRule>
          <xm:sqref>B156</xm:sqref>
        </x14:conditionalFormatting>
        <x14:conditionalFormatting xmlns:xm="http://schemas.microsoft.com/office/excel/2006/main">
          <x14:cfRule type="cellIs" priority="133" operator="equal" id="{49EA1692-8610-4262-BAB0-5A29B056E187}">
            <xm:f>Hoja4!$A$5</xm:f>
            <x14:dxf>
              <fill>
                <patternFill>
                  <bgColor rgb="FF92D050"/>
                </patternFill>
              </fill>
            </x14:dxf>
          </x14:cfRule>
          <x14:cfRule type="cellIs" priority="134" operator="equal" id="{8BE07EF8-2EC3-4C0B-BC81-43EC2137A2AC}">
            <xm:f>Hoja4!$A$6</xm:f>
            <x14:dxf>
              <fill>
                <patternFill>
                  <bgColor rgb="FFFF0000"/>
                </patternFill>
              </fill>
            </x14:dxf>
          </x14:cfRule>
          <x14:cfRule type="cellIs" priority="135" operator="equal" id="{C4FE3568-3029-47D3-AB7F-871543089CD5}">
            <xm:f>Hoja4!$A$7</xm:f>
            <x14:dxf>
              <fill>
                <patternFill>
                  <bgColor rgb="FFFFFF00"/>
                </patternFill>
              </fill>
            </x14:dxf>
          </x14:cfRule>
          <xm:sqref>B134</xm:sqref>
        </x14:conditionalFormatting>
        <x14:conditionalFormatting xmlns:xm="http://schemas.microsoft.com/office/excel/2006/main">
          <x14:cfRule type="cellIs" priority="130" operator="equal" id="{4151DBA2-F18B-4892-8061-73B192111063}">
            <xm:f>Hoja4!$A$5</xm:f>
            <x14:dxf>
              <fill>
                <patternFill>
                  <bgColor rgb="FF92D050"/>
                </patternFill>
              </fill>
            </x14:dxf>
          </x14:cfRule>
          <x14:cfRule type="cellIs" priority="131" operator="equal" id="{7443F339-04D4-45D1-98FC-B530FB0246B8}">
            <xm:f>Hoja4!$A$6</xm:f>
            <x14:dxf>
              <fill>
                <patternFill>
                  <bgColor rgb="FFFF0000"/>
                </patternFill>
              </fill>
            </x14:dxf>
          </x14:cfRule>
          <x14:cfRule type="cellIs" priority="132" operator="equal" id="{E2E0D982-A91E-44D3-B278-F1BCD523EBDB}">
            <xm:f>Hoja4!$A$7</xm:f>
            <x14:dxf>
              <fill>
                <patternFill>
                  <bgColor rgb="FFFFFF00"/>
                </patternFill>
              </fill>
            </x14:dxf>
          </x14:cfRule>
          <xm:sqref>B112</xm:sqref>
        </x14:conditionalFormatting>
        <x14:conditionalFormatting xmlns:xm="http://schemas.microsoft.com/office/excel/2006/main">
          <x14:cfRule type="cellIs" priority="127" operator="equal" id="{B66D9C54-688F-4865-954F-30F9A0F81320}">
            <xm:f>Hoja4!$A$5</xm:f>
            <x14:dxf>
              <fill>
                <patternFill>
                  <bgColor rgb="FF92D050"/>
                </patternFill>
              </fill>
            </x14:dxf>
          </x14:cfRule>
          <x14:cfRule type="cellIs" priority="128" operator="equal" id="{396E6BDD-D2A0-4154-9428-F9AC944E0E46}">
            <xm:f>Hoja4!$A$6</xm:f>
            <x14:dxf>
              <fill>
                <patternFill>
                  <bgColor rgb="FFFF0000"/>
                </patternFill>
              </fill>
            </x14:dxf>
          </x14:cfRule>
          <x14:cfRule type="cellIs" priority="129" operator="equal" id="{191DFD30-CAEC-405B-9D8E-2AF3397C6296}">
            <xm:f>Hoja4!$A$7</xm:f>
            <x14:dxf>
              <fill>
                <patternFill>
                  <bgColor rgb="FFFFFF00"/>
                </patternFill>
              </fill>
            </x14:dxf>
          </x14:cfRule>
          <xm:sqref>B90</xm:sqref>
        </x14:conditionalFormatting>
        <x14:conditionalFormatting xmlns:xm="http://schemas.microsoft.com/office/excel/2006/main">
          <x14:cfRule type="cellIs" priority="124" operator="equal" id="{83733BF7-E2A8-4804-89E6-5F1C1A770203}">
            <xm:f>Hoja4!$A$5</xm:f>
            <x14:dxf>
              <fill>
                <patternFill>
                  <bgColor rgb="FF92D050"/>
                </patternFill>
              </fill>
            </x14:dxf>
          </x14:cfRule>
          <x14:cfRule type="cellIs" priority="125" operator="equal" id="{C6E6F505-C7D1-47F1-B248-8BCFE7EF302B}">
            <xm:f>Hoja4!$A$6</xm:f>
            <x14:dxf>
              <fill>
                <patternFill>
                  <bgColor rgb="FFFF0000"/>
                </patternFill>
              </fill>
            </x14:dxf>
          </x14:cfRule>
          <x14:cfRule type="cellIs" priority="126" operator="equal" id="{F4116543-49B4-4C39-A6AA-6DFFB1D2CDC7}">
            <xm:f>Hoja4!$A$7</xm:f>
            <x14:dxf>
              <fill>
                <patternFill>
                  <bgColor rgb="FFFFFF00"/>
                </patternFill>
              </fill>
            </x14:dxf>
          </x14:cfRule>
          <xm:sqref>B68</xm:sqref>
        </x14:conditionalFormatting>
        <x14:conditionalFormatting xmlns:xm="http://schemas.microsoft.com/office/excel/2006/main">
          <x14:cfRule type="cellIs" priority="121" operator="equal" id="{8EF3CC56-CADD-4261-AFED-FEDCBBDD9E73}">
            <xm:f>Hoja4!$A$5</xm:f>
            <x14:dxf>
              <fill>
                <patternFill>
                  <bgColor rgb="FF92D050"/>
                </patternFill>
              </fill>
            </x14:dxf>
          </x14:cfRule>
          <x14:cfRule type="cellIs" priority="122" operator="equal" id="{BD5DC2FC-E4FF-4C73-A236-A0CCC090A90D}">
            <xm:f>Hoja4!$A$6</xm:f>
            <x14:dxf>
              <fill>
                <patternFill>
                  <bgColor rgb="FFFF0000"/>
                </patternFill>
              </fill>
            </x14:dxf>
          </x14:cfRule>
          <x14:cfRule type="cellIs" priority="123" operator="equal" id="{DFFFD559-44F5-4ADB-933D-44C5114F8799}">
            <xm:f>Hoja4!$A$7</xm:f>
            <x14:dxf>
              <fill>
                <patternFill>
                  <bgColor rgb="FFFFFF00"/>
                </patternFill>
              </fill>
            </x14:dxf>
          </x14:cfRule>
          <xm:sqref>B46</xm:sqref>
        </x14:conditionalFormatting>
        <x14:conditionalFormatting xmlns:xm="http://schemas.microsoft.com/office/excel/2006/main">
          <x14:cfRule type="cellIs" priority="118" operator="equal" id="{A9E348AC-E7E0-45E5-B856-62E9BB93D67E}">
            <xm:f>Hoja4!$A$5</xm:f>
            <x14:dxf>
              <fill>
                <patternFill>
                  <bgColor rgb="FF92D050"/>
                </patternFill>
              </fill>
            </x14:dxf>
          </x14:cfRule>
          <x14:cfRule type="cellIs" priority="119" operator="equal" id="{87BF08AA-E1B7-475A-82D2-418FF98A3936}">
            <xm:f>Hoja4!$A$6</xm:f>
            <x14:dxf>
              <fill>
                <patternFill>
                  <bgColor rgb="FFFF0000"/>
                </patternFill>
              </fill>
            </x14:dxf>
          </x14:cfRule>
          <x14:cfRule type="cellIs" priority="120" operator="equal" id="{E467A6DB-E192-4374-A0E2-D3D1C8F0BEF3}">
            <xm:f>Hoja4!$A$7</xm:f>
            <x14:dxf>
              <fill>
                <patternFill>
                  <bgColor rgb="FFFFFF00"/>
                </patternFill>
              </fill>
            </x14:dxf>
          </x14:cfRule>
          <xm:sqref>B24</xm:sqref>
        </x14:conditionalFormatting>
        <x14:conditionalFormatting xmlns:xm="http://schemas.microsoft.com/office/excel/2006/main">
          <x14:cfRule type="cellIs" priority="115" operator="equal" id="{57404B7E-50D6-40E7-9490-F3B52428E40A}">
            <xm:f>Hoja4!$A$5</xm:f>
            <x14:dxf>
              <fill>
                <patternFill>
                  <bgColor rgb="FF92D050"/>
                </patternFill>
              </fill>
            </x14:dxf>
          </x14:cfRule>
          <x14:cfRule type="cellIs" priority="116" operator="equal" id="{E8672707-50FF-461C-AFBE-F6B22230D06A}">
            <xm:f>Hoja4!$A$6</xm:f>
            <x14:dxf>
              <fill>
                <patternFill>
                  <bgColor rgb="FFFF0000"/>
                </patternFill>
              </fill>
            </x14:dxf>
          </x14:cfRule>
          <x14:cfRule type="cellIs" priority="117" operator="equal" id="{A79F435B-73D7-4ED5-91D0-209B00A71918}">
            <xm:f>Hoja4!$A$7</xm:f>
            <x14:dxf>
              <fill>
                <patternFill>
                  <bgColor rgb="FFFFFF00"/>
                </patternFill>
              </fill>
            </x14:dxf>
          </x14:cfRule>
          <xm:sqref>B25</xm:sqref>
        </x14:conditionalFormatting>
        <x14:conditionalFormatting xmlns:xm="http://schemas.microsoft.com/office/excel/2006/main">
          <x14:cfRule type="cellIs" priority="112" operator="equal" id="{E1724B99-8689-4A9B-9EBA-B96A4EA7E226}">
            <xm:f>Hoja4!$A$5</xm:f>
            <x14:dxf>
              <fill>
                <patternFill>
                  <bgColor rgb="FF92D050"/>
                </patternFill>
              </fill>
            </x14:dxf>
          </x14:cfRule>
          <x14:cfRule type="cellIs" priority="113" operator="equal" id="{9F062998-AEBD-45CA-B452-4974A58B6E60}">
            <xm:f>Hoja4!$A$6</xm:f>
            <x14:dxf>
              <fill>
                <patternFill>
                  <bgColor rgb="FFFF0000"/>
                </patternFill>
              </fill>
            </x14:dxf>
          </x14:cfRule>
          <x14:cfRule type="cellIs" priority="114" operator="equal" id="{A682A175-9E75-4876-821C-6FE6E5DED92A}">
            <xm:f>Hoja4!$A$7</xm:f>
            <x14:dxf>
              <fill>
                <patternFill>
                  <bgColor rgb="FFFFFF00"/>
                </patternFill>
              </fill>
            </x14:dxf>
          </x14:cfRule>
          <xm:sqref>B47</xm:sqref>
        </x14:conditionalFormatting>
        <x14:conditionalFormatting xmlns:xm="http://schemas.microsoft.com/office/excel/2006/main">
          <x14:cfRule type="cellIs" priority="109" operator="equal" id="{87005E8B-1B34-4552-AE95-B286CCB9C3B4}">
            <xm:f>Hoja4!$A$5</xm:f>
            <x14:dxf>
              <fill>
                <patternFill>
                  <bgColor rgb="FF92D050"/>
                </patternFill>
              </fill>
            </x14:dxf>
          </x14:cfRule>
          <x14:cfRule type="cellIs" priority="110" operator="equal" id="{75332E3E-AFCB-454D-A007-676DA204C214}">
            <xm:f>Hoja4!$A$6</xm:f>
            <x14:dxf>
              <fill>
                <patternFill>
                  <bgColor rgb="FFFF0000"/>
                </patternFill>
              </fill>
            </x14:dxf>
          </x14:cfRule>
          <x14:cfRule type="cellIs" priority="111" operator="equal" id="{3A980F91-5CAE-4D1B-A265-BCAEFE94EC8A}">
            <xm:f>Hoja4!$A$7</xm:f>
            <x14:dxf>
              <fill>
                <patternFill>
                  <bgColor rgb="FFFFFF00"/>
                </patternFill>
              </fill>
            </x14:dxf>
          </x14:cfRule>
          <xm:sqref>B69</xm:sqref>
        </x14:conditionalFormatting>
        <x14:conditionalFormatting xmlns:xm="http://schemas.microsoft.com/office/excel/2006/main">
          <x14:cfRule type="cellIs" priority="106" operator="equal" id="{775987B2-4CCF-4080-8482-9385B1C4BA0F}">
            <xm:f>Hoja4!$A$5</xm:f>
            <x14:dxf>
              <fill>
                <patternFill>
                  <bgColor rgb="FF92D050"/>
                </patternFill>
              </fill>
            </x14:dxf>
          </x14:cfRule>
          <x14:cfRule type="cellIs" priority="107" operator="equal" id="{C91D3D38-7CC8-4B13-8845-10B48D14E0E6}">
            <xm:f>Hoja4!$A$6</xm:f>
            <x14:dxf>
              <fill>
                <patternFill>
                  <bgColor rgb="FFFF0000"/>
                </patternFill>
              </fill>
            </x14:dxf>
          </x14:cfRule>
          <x14:cfRule type="cellIs" priority="108" operator="equal" id="{28AFF10B-FCE3-4124-8C71-A2CA3A1E4D9B}">
            <xm:f>Hoja4!$A$7</xm:f>
            <x14:dxf>
              <fill>
                <patternFill>
                  <bgColor rgb="FFFFFF00"/>
                </patternFill>
              </fill>
            </x14:dxf>
          </x14:cfRule>
          <xm:sqref>B91</xm:sqref>
        </x14:conditionalFormatting>
        <x14:conditionalFormatting xmlns:xm="http://schemas.microsoft.com/office/excel/2006/main">
          <x14:cfRule type="cellIs" priority="103" operator="equal" id="{16DD763A-E385-433D-8690-BCCCCA3F9073}">
            <xm:f>Hoja4!$A$5</xm:f>
            <x14:dxf>
              <fill>
                <patternFill>
                  <bgColor rgb="FF92D050"/>
                </patternFill>
              </fill>
            </x14:dxf>
          </x14:cfRule>
          <x14:cfRule type="cellIs" priority="104" operator="equal" id="{668F90F2-3414-4ECF-BF1E-32D86DF2E753}">
            <xm:f>Hoja4!$A$6</xm:f>
            <x14:dxf>
              <fill>
                <patternFill>
                  <bgColor rgb="FFFF0000"/>
                </patternFill>
              </fill>
            </x14:dxf>
          </x14:cfRule>
          <x14:cfRule type="cellIs" priority="105" operator="equal" id="{E1320A20-437B-4DEB-8487-4B2106D0CF3A}">
            <xm:f>Hoja4!$A$7</xm:f>
            <x14:dxf>
              <fill>
                <patternFill>
                  <bgColor rgb="FFFFFF00"/>
                </patternFill>
              </fill>
            </x14:dxf>
          </x14:cfRule>
          <xm:sqref>B113</xm:sqref>
        </x14:conditionalFormatting>
        <x14:conditionalFormatting xmlns:xm="http://schemas.microsoft.com/office/excel/2006/main">
          <x14:cfRule type="cellIs" priority="100" operator="equal" id="{619E5C28-925E-465A-8EA2-8909CEBC0BD7}">
            <xm:f>Hoja4!$A$5</xm:f>
            <x14:dxf>
              <fill>
                <patternFill>
                  <bgColor rgb="FF92D050"/>
                </patternFill>
              </fill>
            </x14:dxf>
          </x14:cfRule>
          <x14:cfRule type="cellIs" priority="101" operator="equal" id="{5FACADCB-AF37-4346-91EF-30E12719AEF4}">
            <xm:f>Hoja4!$A$6</xm:f>
            <x14:dxf>
              <fill>
                <patternFill>
                  <bgColor rgb="FFFF0000"/>
                </patternFill>
              </fill>
            </x14:dxf>
          </x14:cfRule>
          <x14:cfRule type="cellIs" priority="102" operator="equal" id="{DF2367D2-DBE9-43FA-AD59-DBFA12E198E2}">
            <xm:f>Hoja4!$A$7</xm:f>
            <x14:dxf>
              <fill>
                <patternFill>
                  <bgColor rgb="FFFFFF00"/>
                </patternFill>
              </fill>
            </x14:dxf>
          </x14:cfRule>
          <xm:sqref>B135</xm:sqref>
        </x14:conditionalFormatting>
        <x14:conditionalFormatting xmlns:xm="http://schemas.microsoft.com/office/excel/2006/main">
          <x14:cfRule type="cellIs" priority="97" operator="equal" id="{FD5BA07A-6A31-4039-8E90-998B640D6EB7}">
            <xm:f>Hoja4!$A$5</xm:f>
            <x14:dxf>
              <fill>
                <patternFill>
                  <bgColor rgb="FF92D050"/>
                </patternFill>
              </fill>
            </x14:dxf>
          </x14:cfRule>
          <x14:cfRule type="cellIs" priority="98" operator="equal" id="{05B7989A-8DD3-47C9-A234-3C3981D19C0A}">
            <xm:f>Hoja4!$A$6</xm:f>
            <x14:dxf>
              <fill>
                <patternFill>
                  <bgColor rgb="FFFF0000"/>
                </patternFill>
              </fill>
            </x14:dxf>
          </x14:cfRule>
          <x14:cfRule type="cellIs" priority="99" operator="equal" id="{C4DEA7DC-8496-4D67-B4CC-D67EDD930193}">
            <xm:f>Hoja4!$A$7</xm:f>
            <x14:dxf>
              <fill>
                <patternFill>
                  <bgColor rgb="FFFFFF00"/>
                </patternFill>
              </fill>
            </x14:dxf>
          </x14:cfRule>
          <xm:sqref>B157</xm:sqref>
        </x14:conditionalFormatting>
        <x14:conditionalFormatting xmlns:xm="http://schemas.microsoft.com/office/excel/2006/main">
          <x14:cfRule type="cellIs" priority="94" operator="equal" id="{84E8689A-0829-4E75-A942-2670FB42EFE0}">
            <xm:f>Hoja4!$A$5</xm:f>
            <x14:dxf>
              <fill>
                <patternFill>
                  <bgColor rgb="FF92D050"/>
                </patternFill>
              </fill>
            </x14:dxf>
          </x14:cfRule>
          <x14:cfRule type="cellIs" priority="95" operator="equal" id="{0ACA4005-F335-446F-8941-BB1F02DCECAD}">
            <xm:f>Hoja4!$A$6</xm:f>
            <x14:dxf>
              <fill>
                <patternFill>
                  <bgColor rgb="FFFF0000"/>
                </patternFill>
              </fill>
            </x14:dxf>
          </x14:cfRule>
          <x14:cfRule type="cellIs" priority="96" operator="equal" id="{AA1BDC5E-4392-4779-9110-460AB1C75DF7}">
            <xm:f>Hoja4!$A$7</xm:f>
            <x14:dxf>
              <fill>
                <patternFill>
                  <bgColor rgb="FFFFFF00"/>
                </patternFill>
              </fill>
            </x14:dxf>
          </x14:cfRule>
          <xm:sqref>B179</xm:sqref>
        </x14:conditionalFormatting>
        <x14:conditionalFormatting xmlns:xm="http://schemas.microsoft.com/office/excel/2006/main">
          <x14:cfRule type="cellIs" priority="91" operator="equal" id="{7C5FC1F2-06BC-424B-BB88-A6782C4AB653}">
            <xm:f>Hoja4!$A$5</xm:f>
            <x14:dxf>
              <fill>
                <patternFill>
                  <bgColor rgb="FF92D050"/>
                </patternFill>
              </fill>
            </x14:dxf>
          </x14:cfRule>
          <x14:cfRule type="cellIs" priority="92" operator="equal" id="{AD18846A-E50A-4E2E-85F7-846440054805}">
            <xm:f>Hoja4!$A$6</xm:f>
            <x14:dxf>
              <fill>
                <patternFill>
                  <bgColor rgb="FFFF0000"/>
                </patternFill>
              </fill>
            </x14:dxf>
          </x14:cfRule>
          <x14:cfRule type="cellIs" priority="93" operator="equal" id="{5549CC3B-195E-4DF0-9A11-CDCECF2F3864}">
            <xm:f>Hoja4!$A$7</xm:f>
            <x14:dxf>
              <fill>
                <patternFill>
                  <bgColor rgb="FFFFFF00"/>
                </patternFill>
              </fill>
            </x14:dxf>
          </x14:cfRule>
          <xm:sqref>B201</xm:sqref>
        </x14:conditionalFormatting>
        <x14:conditionalFormatting xmlns:xm="http://schemas.microsoft.com/office/excel/2006/main">
          <x14:cfRule type="cellIs" priority="88" operator="equal" id="{8AA0ED8A-4084-4989-A712-980E7E87C582}">
            <xm:f>Hoja4!$A$5</xm:f>
            <x14:dxf>
              <fill>
                <patternFill>
                  <bgColor rgb="FF92D050"/>
                </patternFill>
              </fill>
            </x14:dxf>
          </x14:cfRule>
          <x14:cfRule type="cellIs" priority="89" operator="equal" id="{F04FE1C4-B762-4158-B613-860D694F9F3C}">
            <xm:f>Hoja4!$A$6</xm:f>
            <x14:dxf>
              <fill>
                <patternFill>
                  <bgColor rgb="FFFF0000"/>
                </patternFill>
              </fill>
            </x14:dxf>
          </x14:cfRule>
          <x14:cfRule type="cellIs" priority="90" operator="equal" id="{87BB9DE7-E219-414D-B2C9-54A77E294EE9}">
            <xm:f>Hoja4!$A$7</xm:f>
            <x14:dxf>
              <fill>
                <patternFill>
                  <bgColor rgb="FFFFFF00"/>
                </patternFill>
              </fill>
            </x14:dxf>
          </x14:cfRule>
          <xm:sqref>B223</xm:sqref>
        </x14:conditionalFormatting>
        <x14:conditionalFormatting xmlns:xm="http://schemas.microsoft.com/office/excel/2006/main">
          <x14:cfRule type="cellIs" priority="85" operator="equal" id="{9885F63E-D369-4ED8-9BD4-E04D11BEE7E8}">
            <xm:f>Hoja4!$A$5</xm:f>
            <x14:dxf>
              <fill>
                <patternFill>
                  <bgColor rgb="FF92D050"/>
                </patternFill>
              </fill>
            </x14:dxf>
          </x14:cfRule>
          <x14:cfRule type="cellIs" priority="86" operator="equal" id="{4C168426-79CD-421D-B01C-7AC7EDCBF700}">
            <xm:f>Hoja4!$A$6</xm:f>
            <x14:dxf>
              <fill>
                <patternFill>
                  <bgColor rgb="FFFF0000"/>
                </patternFill>
              </fill>
            </x14:dxf>
          </x14:cfRule>
          <x14:cfRule type="cellIs" priority="87" operator="equal" id="{72BF95F5-EDBA-42E7-838B-E87E289B2BA8}">
            <xm:f>Hoja4!$A$7</xm:f>
            <x14:dxf>
              <fill>
                <patternFill>
                  <bgColor rgb="FFFFFF00"/>
                </patternFill>
              </fill>
            </x14:dxf>
          </x14:cfRule>
          <xm:sqref>B245</xm:sqref>
        </x14:conditionalFormatting>
        <x14:conditionalFormatting xmlns:xm="http://schemas.microsoft.com/office/excel/2006/main">
          <x14:cfRule type="cellIs" priority="82" operator="equal" id="{DE968177-4B08-43CF-B968-254FD0B39CF9}">
            <xm:f>Hoja4!$A$5</xm:f>
            <x14:dxf>
              <fill>
                <patternFill>
                  <bgColor rgb="FF92D050"/>
                </patternFill>
              </fill>
            </x14:dxf>
          </x14:cfRule>
          <x14:cfRule type="cellIs" priority="83" operator="equal" id="{FBE9B288-66BE-4CB7-8E10-38490760813C}">
            <xm:f>Hoja4!$A$6</xm:f>
            <x14:dxf>
              <fill>
                <patternFill>
                  <bgColor rgb="FFFF0000"/>
                </patternFill>
              </fill>
            </x14:dxf>
          </x14:cfRule>
          <x14:cfRule type="cellIs" priority="84" operator="equal" id="{FC11D104-02DA-41ED-8CA3-8D02242179C8}">
            <xm:f>Hoja4!$A$7</xm:f>
            <x14:dxf>
              <fill>
                <patternFill>
                  <bgColor rgb="FFFFFF00"/>
                </patternFill>
              </fill>
            </x14:dxf>
          </x14:cfRule>
          <xm:sqref>B267</xm:sqref>
        </x14:conditionalFormatting>
        <x14:conditionalFormatting xmlns:xm="http://schemas.microsoft.com/office/excel/2006/main">
          <x14:cfRule type="cellIs" priority="79" operator="equal" id="{0202B3C8-0488-43DF-BEB2-0C2C0C177241}">
            <xm:f>Hoja4!$A$5</xm:f>
            <x14:dxf>
              <fill>
                <patternFill>
                  <bgColor rgb="FF92D050"/>
                </patternFill>
              </fill>
            </x14:dxf>
          </x14:cfRule>
          <x14:cfRule type="cellIs" priority="80" operator="equal" id="{B0E0B498-F30C-4084-831D-4CAA7358EC60}">
            <xm:f>Hoja4!$A$6</xm:f>
            <x14:dxf>
              <fill>
                <patternFill>
                  <bgColor rgb="FFFF0000"/>
                </patternFill>
              </fill>
            </x14:dxf>
          </x14:cfRule>
          <x14:cfRule type="cellIs" priority="81" operator="equal" id="{F4508A68-F9B5-46C8-9BED-0E1E86FAAEEF}">
            <xm:f>Hoja4!$A$7</xm:f>
            <x14:dxf>
              <fill>
                <patternFill>
                  <bgColor rgb="FFFFFF00"/>
                </patternFill>
              </fill>
            </x14:dxf>
          </x14:cfRule>
          <xm:sqref>B289</xm:sqref>
        </x14:conditionalFormatting>
        <x14:conditionalFormatting xmlns:xm="http://schemas.microsoft.com/office/excel/2006/main">
          <x14:cfRule type="cellIs" priority="76" operator="equal" id="{A7E1208D-CFA8-4214-BA8E-6A2E2454422E}">
            <xm:f>Hoja4!$A$5</xm:f>
            <x14:dxf>
              <fill>
                <patternFill>
                  <bgColor rgb="FF92D050"/>
                </patternFill>
              </fill>
            </x14:dxf>
          </x14:cfRule>
          <x14:cfRule type="cellIs" priority="77" operator="equal" id="{50323A91-B5A2-4B8B-B90D-57836AC1D8F0}">
            <xm:f>Hoja4!$A$6</xm:f>
            <x14:dxf>
              <fill>
                <patternFill>
                  <bgColor rgb="FFFF0000"/>
                </patternFill>
              </fill>
            </x14:dxf>
          </x14:cfRule>
          <x14:cfRule type="cellIs" priority="78" operator="equal" id="{64883756-20E4-4D31-B81A-6F791297CE10}">
            <xm:f>Hoja4!$A$7</xm:f>
            <x14:dxf>
              <fill>
                <patternFill>
                  <bgColor rgb="FFFFFF00"/>
                </patternFill>
              </fill>
            </x14:dxf>
          </x14:cfRule>
          <xm:sqref>C287:C289</xm:sqref>
        </x14:conditionalFormatting>
        <x14:conditionalFormatting xmlns:xm="http://schemas.microsoft.com/office/excel/2006/main">
          <x14:cfRule type="cellIs" priority="73" operator="equal" id="{17CA7181-DD22-4F63-BDAA-41A05E1DA973}">
            <xm:f>Hoja4!$A$5</xm:f>
            <x14:dxf>
              <fill>
                <patternFill>
                  <bgColor rgb="FF92D050"/>
                </patternFill>
              </fill>
            </x14:dxf>
          </x14:cfRule>
          <x14:cfRule type="cellIs" priority="74" operator="equal" id="{4BC38D91-A8FE-41FD-A134-26BBA01A7333}">
            <xm:f>Hoja4!$A$6</xm:f>
            <x14:dxf>
              <fill>
                <patternFill>
                  <bgColor rgb="FFFF0000"/>
                </patternFill>
              </fill>
            </x14:dxf>
          </x14:cfRule>
          <x14:cfRule type="cellIs" priority="75" operator="equal" id="{865B8794-192A-45C6-8ACB-5877C75079BF}">
            <xm:f>Hoja4!$A$7</xm:f>
            <x14:dxf>
              <fill>
                <patternFill>
                  <bgColor rgb="FFFFFF00"/>
                </patternFill>
              </fill>
            </x14:dxf>
          </x14:cfRule>
          <xm:sqref>C265:C267</xm:sqref>
        </x14:conditionalFormatting>
        <x14:conditionalFormatting xmlns:xm="http://schemas.microsoft.com/office/excel/2006/main">
          <x14:cfRule type="cellIs" priority="70" operator="equal" id="{7E3B1BC0-7FEF-4522-AE48-CBA4E421C662}">
            <xm:f>Hoja4!$A$5</xm:f>
            <x14:dxf>
              <fill>
                <patternFill>
                  <bgColor rgb="FF92D050"/>
                </patternFill>
              </fill>
            </x14:dxf>
          </x14:cfRule>
          <x14:cfRule type="cellIs" priority="71" operator="equal" id="{4DE9BA67-9B06-4A71-8B16-BE6E47A24C65}">
            <xm:f>Hoja4!$A$6</xm:f>
            <x14:dxf>
              <fill>
                <patternFill>
                  <bgColor rgb="FFFF0000"/>
                </patternFill>
              </fill>
            </x14:dxf>
          </x14:cfRule>
          <x14:cfRule type="cellIs" priority="72" operator="equal" id="{F0E66946-1DF0-43D4-BD42-6AA7E25B89D7}">
            <xm:f>Hoja4!$A$7</xm:f>
            <x14:dxf>
              <fill>
                <patternFill>
                  <bgColor rgb="FFFFFF00"/>
                </patternFill>
              </fill>
            </x14:dxf>
          </x14:cfRule>
          <xm:sqref>C243:C245</xm:sqref>
        </x14:conditionalFormatting>
        <x14:conditionalFormatting xmlns:xm="http://schemas.microsoft.com/office/excel/2006/main">
          <x14:cfRule type="cellIs" priority="67" operator="equal" id="{723647A2-00E6-4697-9C4D-0562E9FD23BE}">
            <xm:f>Hoja4!$A$5</xm:f>
            <x14:dxf>
              <fill>
                <patternFill>
                  <bgColor rgb="FF92D050"/>
                </patternFill>
              </fill>
            </x14:dxf>
          </x14:cfRule>
          <x14:cfRule type="cellIs" priority="68" operator="equal" id="{420A4CCA-9F56-4338-A097-BE6282BC3783}">
            <xm:f>Hoja4!$A$6</xm:f>
            <x14:dxf>
              <fill>
                <patternFill>
                  <bgColor rgb="FFFF0000"/>
                </patternFill>
              </fill>
            </x14:dxf>
          </x14:cfRule>
          <x14:cfRule type="cellIs" priority="69" operator="equal" id="{9AE50A24-5B42-4EBA-BE92-088298F3A687}">
            <xm:f>Hoja4!$A$7</xm:f>
            <x14:dxf>
              <fill>
                <patternFill>
                  <bgColor rgb="FFFFFF00"/>
                </patternFill>
              </fill>
            </x14:dxf>
          </x14:cfRule>
          <xm:sqref>C221:C223</xm:sqref>
        </x14:conditionalFormatting>
        <x14:conditionalFormatting xmlns:xm="http://schemas.microsoft.com/office/excel/2006/main">
          <x14:cfRule type="cellIs" priority="64" operator="equal" id="{486592C2-7CD4-406A-A22D-9F3E2D58C7B0}">
            <xm:f>Hoja4!$A$5</xm:f>
            <x14:dxf>
              <fill>
                <patternFill>
                  <bgColor rgb="FF92D050"/>
                </patternFill>
              </fill>
            </x14:dxf>
          </x14:cfRule>
          <x14:cfRule type="cellIs" priority="65" operator="equal" id="{78CA35BC-8ECB-4E11-AE0F-E4AFF9162F24}">
            <xm:f>Hoja4!$A$6</xm:f>
            <x14:dxf>
              <fill>
                <patternFill>
                  <bgColor rgb="FFFF0000"/>
                </patternFill>
              </fill>
            </x14:dxf>
          </x14:cfRule>
          <x14:cfRule type="cellIs" priority="66" operator="equal" id="{F2DA2940-4D97-4ACB-A130-BEA42BB75F29}">
            <xm:f>Hoja4!$A$7</xm:f>
            <x14:dxf>
              <fill>
                <patternFill>
                  <bgColor rgb="FFFFFF00"/>
                </patternFill>
              </fill>
            </x14:dxf>
          </x14:cfRule>
          <xm:sqref>C199:C201</xm:sqref>
        </x14:conditionalFormatting>
        <x14:conditionalFormatting xmlns:xm="http://schemas.microsoft.com/office/excel/2006/main">
          <x14:cfRule type="cellIs" priority="61" operator="equal" id="{4FE48661-2505-4C31-A889-3ED747413927}">
            <xm:f>Hoja4!$A$5</xm:f>
            <x14:dxf>
              <fill>
                <patternFill>
                  <bgColor rgb="FF92D050"/>
                </patternFill>
              </fill>
            </x14:dxf>
          </x14:cfRule>
          <x14:cfRule type="cellIs" priority="62" operator="equal" id="{BE1CB8ED-C6D0-4BC0-9C70-61E3D00E58B6}">
            <xm:f>Hoja4!$A$6</xm:f>
            <x14:dxf>
              <fill>
                <patternFill>
                  <bgColor rgb="FFFF0000"/>
                </patternFill>
              </fill>
            </x14:dxf>
          </x14:cfRule>
          <x14:cfRule type="cellIs" priority="63" operator="equal" id="{176289FB-80B9-4F6D-876F-C2554B2EA308}">
            <xm:f>Hoja4!$A$7</xm:f>
            <x14:dxf>
              <fill>
                <patternFill>
                  <bgColor rgb="FFFFFF00"/>
                </patternFill>
              </fill>
            </x14:dxf>
          </x14:cfRule>
          <xm:sqref>C177:C179</xm:sqref>
        </x14:conditionalFormatting>
        <x14:conditionalFormatting xmlns:xm="http://schemas.microsoft.com/office/excel/2006/main">
          <x14:cfRule type="cellIs" priority="58" operator="equal" id="{3B8F651B-D986-446F-8063-E4A47B13D3F7}">
            <xm:f>Hoja4!$A$5</xm:f>
            <x14:dxf>
              <fill>
                <patternFill>
                  <bgColor rgb="FF92D050"/>
                </patternFill>
              </fill>
            </x14:dxf>
          </x14:cfRule>
          <x14:cfRule type="cellIs" priority="59" operator="equal" id="{8907AD9E-D67F-42A0-9531-DD6708794316}">
            <xm:f>Hoja4!$A$6</xm:f>
            <x14:dxf>
              <fill>
                <patternFill>
                  <bgColor rgb="FFFF0000"/>
                </patternFill>
              </fill>
            </x14:dxf>
          </x14:cfRule>
          <x14:cfRule type="cellIs" priority="60" operator="equal" id="{7FEDD4B1-CD12-4C55-8564-35581968E4D1}">
            <xm:f>Hoja4!$A$7</xm:f>
            <x14:dxf>
              <fill>
                <patternFill>
                  <bgColor rgb="FFFFFF00"/>
                </patternFill>
              </fill>
            </x14:dxf>
          </x14:cfRule>
          <xm:sqref>C155:C157</xm:sqref>
        </x14:conditionalFormatting>
        <x14:conditionalFormatting xmlns:xm="http://schemas.microsoft.com/office/excel/2006/main">
          <x14:cfRule type="cellIs" priority="55" operator="equal" id="{BBBD9411-A49C-4932-98B4-A1B1CCE6C34A}">
            <xm:f>Hoja4!$A$5</xm:f>
            <x14:dxf>
              <fill>
                <patternFill>
                  <bgColor rgb="FF92D050"/>
                </patternFill>
              </fill>
            </x14:dxf>
          </x14:cfRule>
          <x14:cfRule type="cellIs" priority="56" operator="equal" id="{CE4C0D5E-99D7-4420-BA25-863E110E203D}">
            <xm:f>Hoja4!$A$6</xm:f>
            <x14:dxf>
              <fill>
                <patternFill>
                  <bgColor rgb="FFFF0000"/>
                </patternFill>
              </fill>
            </x14:dxf>
          </x14:cfRule>
          <x14:cfRule type="cellIs" priority="57" operator="equal" id="{37212526-1E0C-4A4C-9A66-69AFEE42B20C}">
            <xm:f>Hoja4!$A$7</xm:f>
            <x14:dxf>
              <fill>
                <patternFill>
                  <bgColor rgb="FFFFFF00"/>
                </patternFill>
              </fill>
            </x14:dxf>
          </x14:cfRule>
          <xm:sqref>C133:C135</xm:sqref>
        </x14:conditionalFormatting>
        <x14:conditionalFormatting xmlns:xm="http://schemas.microsoft.com/office/excel/2006/main">
          <x14:cfRule type="cellIs" priority="52" operator="equal" id="{B461127D-1277-4994-8937-FC4F76CC9787}">
            <xm:f>Hoja4!$A$5</xm:f>
            <x14:dxf>
              <fill>
                <patternFill>
                  <bgColor rgb="FF92D050"/>
                </patternFill>
              </fill>
            </x14:dxf>
          </x14:cfRule>
          <x14:cfRule type="cellIs" priority="53" operator="equal" id="{1E17D161-05C6-4637-8C1D-CBF6F3AF7189}">
            <xm:f>Hoja4!$A$6</xm:f>
            <x14:dxf>
              <fill>
                <patternFill>
                  <bgColor rgb="FFFF0000"/>
                </patternFill>
              </fill>
            </x14:dxf>
          </x14:cfRule>
          <x14:cfRule type="cellIs" priority="54" operator="equal" id="{48760151-1A50-46A9-AF3B-67E5F1ACCB42}">
            <xm:f>Hoja4!$A$7</xm:f>
            <x14:dxf>
              <fill>
                <patternFill>
                  <bgColor rgb="FFFFFF00"/>
                </patternFill>
              </fill>
            </x14:dxf>
          </x14:cfRule>
          <xm:sqref>C111:C113</xm:sqref>
        </x14:conditionalFormatting>
        <x14:conditionalFormatting xmlns:xm="http://schemas.microsoft.com/office/excel/2006/main">
          <x14:cfRule type="cellIs" priority="49" operator="equal" id="{3FA4FEAB-9CA9-43C2-B83E-5A923DEA99CB}">
            <xm:f>Hoja4!$A$5</xm:f>
            <x14:dxf>
              <fill>
                <patternFill>
                  <bgColor rgb="FF92D050"/>
                </patternFill>
              </fill>
            </x14:dxf>
          </x14:cfRule>
          <x14:cfRule type="cellIs" priority="50" operator="equal" id="{79974FDE-9741-4852-9E4C-08E3695D2B54}">
            <xm:f>Hoja4!$A$6</xm:f>
            <x14:dxf>
              <fill>
                <patternFill>
                  <bgColor rgb="FFFF0000"/>
                </patternFill>
              </fill>
            </x14:dxf>
          </x14:cfRule>
          <x14:cfRule type="cellIs" priority="51" operator="equal" id="{473678CE-CF36-44DE-81F2-5916877337AC}">
            <xm:f>Hoja4!$A$7</xm:f>
            <x14:dxf>
              <fill>
                <patternFill>
                  <bgColor rgb="FFFFFF00"/>
                </patternFill>
              </fill>
            </x14:dxf>
          </x14:cfRule>
          <xm:sqref>C89:C91</xm:sqref>
        </x14:conditionalFormatting>
        <x14:conditionalFormatting xmlns:xm="http://schemas.microsoft.com/office/excel/2006/main">
          <x14:cfRule type="cellIs" priority="46" operator="equal" id="{5849EA7E-81B7-4872-8EF7-52E733A13799}">
            <xm:f>Hoja4!$A$5</xm:f>
            <x14:dxf>
              <fill>
                <patternFill>
                  <bgColor rgb="FF92D050"/>
                </patternFill>
              </fill>
            </x14:dxf>
          </x14:cfRule>
          <x14:cfRule type="cellIs" priority="47" operator="equal" id="{29FBB7AD-BFD1-4A0F-B944-D2BE18642D6C}">
            <xm:f>Hoja4!$A$6</xm:f>
            <x14:dxf>
              <fill>
                <patternFill>
                  <bgColor rgb="FFFF0000"/>
                </patternFill>
              </fill>
            </x14:dxf>
          </x14:cfRule>
          <x14:cfRule type="cellIs" priority="48" operator="equal" id="{D5BAF11F-CCE2-4551-877E-9EE3A811A7D8}">
            <xm:f>Hoja4!$A$7</xm:f>
            <x14:dxf>
              <fill>
                <patternFill>
                  <bgColor rgb="FFFFFF00"/>
                </patternFill>
              </fill>
            </x14:dxf>
          </x14:cfRule>
          <xm:sqref>C67:C69</xm:sqref>
        </x14:conditionalFormatting>
        <x14:conditionalFormatting xmlns:xm="http://schemas.microsoft.com/office/excel/2006/main">
          <x14:cfRule type="cellIs" priority="43" operator="equal" id="{F9B8943F-1223-4E6A-A04D-86B46F23F3C9}">
            <xm:f>Hoja4!$A$5</xm:f>
            <x14:dxf>
              <fill>
                <patternFill>
                  <bgColor rgb="FF92D050"/>
                </patternFill>
              </fill>
            </x14:dxf>
          </x14:cfRule>
          <x14:cfRule type="cellIs" priority="44" operator="equal" id="{02E2EB00-AC44-475E-B24A-DA8378B816CB}">
            <xm:f>Hoja4!$A$6</xm:f>
            <x14:dxf>
              <fill>
                <patternFill>
                  <bgColor rgb="FFFF0000"/>
                </patternFill>
              </fill>
            </x14:dxf>
          </x14:cfRule>
          <x14:cfRule type="cellIs" priority="45" operator="equal" id="{75EF0D56-7391-49A9-AA5D-8C1C73EF0E1E}">
            <xm:f>Hoja4!$A$7</xm:f>
            <x14:dxf>
              <fill>
                <patternFill>
                  <bgColor rgb="FFFFFF00"/>
                </patternFill>
              </fill>
            </x14:dxf>
          </x14:cfRule>
          <xm:sqref>C45:C47</xm:sqref>
        </x14:conditionalFormatting>
        <x14:conditionalFormatting xmlns:xm="http://schemas.microsoft.com/office/excel/2006/main">
          <x14:cfRule type="cellIs" priority="40" operator="equal" id="{107E7E2D-E551-43E7-8D8B-F87AD415C1EA}">
            <xm:f>Hoja4!$A$5</xm:f>
            <x14:dxf>
              <fill>
                <patternFill>
                  <bgColor rgb="FF92D050"/>
                </patternFill>
              </fill>
            </x14:dxf>
          </x14:cfRule>
          <x14:cfRule type="cellIs" priority="41" operator="equal" id="{9D47E412-2F20-4E2B-A2EB-3BCA5F374AEA}">
            <xm:f>Hoja4!$A$6</xm:f>
            <x14:dxf>
              <fill>
                <patternFill>
                  <bgColor rgb="FFFF0000"/>
                </patternFill>
              </fill>
            </x14:dxf>
          </x14:cfRule>
          <x14:cfRule type="cellIs" priority="42" operator="equal" id="{A07058E3-6616-4566-9066-EF4C2D1396DC}">
            <xm:f>Hoja4!$A$7</xm:f>
            <x14:dxf>
              <fill>
                <patternFill>
                  <bgColor rgb="FFFFFF00"/>
                </patternFill>
              </fill>
            </x14:dxf>
          </x14:cfRule>
          <xm:sqref>C23:C25</xm:sqref>
        </x14:conditionalFormatting>
        <x14:conditionalFormatting xmlns:xm="http://schemas.microsoft.com/office/excel/2006/main">
          <x14:cfRule type="cellIs" priority="37" operator="equal" id="{106ACC10-5E04-4E67-A951-04C218171E15}">
            <xm:f>Hoja4!$A$5</xm:f>
            <x14:dxf>
              <fill>
                <patternFill>
                  <bgColor rgb="FF92D050"/>
                </patternFill>
              </fill>
            </x14:dxf>
          </x14:cfRule>
          <x14:cfRule type="cellIs" priority="38" operator="equal" id="{6BD7085D-368E-40CA-B3C3-0796AC8E79BC}">
            <xm:f>Hoja4!$A$6</xm:f>
            <x14:dxf>
              <fill>
                <patternFill>
                  <bgColor rgb="FFFF0000"/>
                </patternFill>
              </fill>
            </x14:dxf>
          </x14:cfRule>
          <x14:cfRule type="cellIs" priority="39" operator="equal" id="{378CF2A2-4915-4669-A83C-8133631B1A6E}">
            <xm:f>Hoja4!$A$7</xm:f>
            <x14:dxf>
              <fill>
                <patternFill>
                  <bgColor rgb="FFFFFF00"/>
                </patternFill>
              </fill>
            </x14:dxf>
          </x14:cfRule>
          <xm:sqref>C21:D21</xm:sqref>
        </x14:conditionalFormatting>
        <x14:conditionalFormatting xmlns:xm="http://schemas.microsoft.com/office/excel/2006/main">
          <x14:cfRule type="cellIs" priority="34" operator="equal" id="{915676B4-BA68-4C42-B71C-7CBAA39FF388}">
            <xm:f>Hoja4!$A$5</xm:f>
            <x14:dxf>
              <fill>
                <patternFill>
                  <bgColor rgb="FF92D050"/>
                </patternFill>
              </fill>
            </x14:dxf>
          </x14:cfRule>
          <x14:cfRule type="cellIs" priority="35" operator="equal" id="{2CFCDCEC-3FC6-4C3E-A762-42B53A3A4F58}">
            <xm:f>Hoja4!$A$6</xm:f>
            <x14:dxf>
              <fill>
                <patternFill>
                  <bgColor rgb="FFFF0000"/>
                </patternFill>
              </fill>
            </x14:dxf>
          </x14:cfRule>
          <x14:cfRule type="cellIs" priority="36" operator="equal" id="{119A04B5-5D65-4840-96D3-855D1C72D80B}">
            <xm:f>Hoja4!$A$7</xm:f>
            <x14:dxf>
              <fill>
                <patternFill>
                  <bgColor rgb="FFFFFF00"/>
                </patternFill>
              </fill>
            </x14:dxf>
          </x14:cfRule>
          <xm:sqref>C43:D43</xm:sqref>
        </x14:conditionalFormatting>
        <x14:conditionalFormatting xmlns:xm="http://schemas.microsoft.com/office/excel/2006/main">
          <x14:cfRule type="cellIs" priority="31" operator="equal" id="{5C17D703-C15D-48A2-8DE7-BB6B15781458}">
            <xm:f>Hoja4!$A$5</xm:f>
            <x14:dxf>
              <fill>
                <patternFill>
                  <bgColor rgb="FF92D050"/>
                </patternFill>
              </fill>
            </x14:dxf>
          </x14:cfRule>
          <x14:cfRule type="cellIs" priority="32" operator="equal" id="{AA0AC900-A39A-471A-9127-41FF064CEFBA}">
            <xm:f>Hoja4!$A$6</xm:f>
            <x14:dxf>
              <fill>
                <patternFill>
                  <bgColor rgb="FFFF0000"/>
                </patternFill>
              </fill>
            </x14:dxf>
          </x14:cfRule>
          <x14:cfRule type="cellIs" priority="33" operator="equal" id="{4ACACD91-1A74-4765-B006-6A61DD0BD0EE}">
            <xm:f>Hoja4!$A$7</xm:f>
            <x14:dxf>
              <fill>
                <patternFill>
                  <bgColor rgb="FFFFFF00"/>
                </patternFill>
              </fill>
            </x14:dxf>
          </x14:cfRule>
          <xm:sqref>C65:D65</xm:sqref>
        </x14:conditionalFormatting>
        <x14:conditionalFormatting xmlns:xm="http://schemas.microsoft.com/office/excel/2006/main">
          <x14:cfRule type="cellIs" priority="28" operator="equal" id="{1EFB5963-5255-4AC0-90FC-972D03CB560E}">
            <xm:f>Hoja4!$A$5</xm:f>
            <x14:dxf>
              <fill>
                <patternFill>
                  <bgColor rgb="FF92D050"/>
                </patternFill>
              </fill>
            </x14:dxf>
          </x14:cfRule>
          <x14:cfRule type="cellIs" priority="29" operator="equal" id="{49A6F13A-6376-4BB5-906A-A2CCDA2A290B}">
            <xm:f>Hoja4!$A$6</xm:f>
            <x14:dxf>
              <fill>
                <patternFill>
                  <bgColor rgb="FFFF0000"/>
                </patternFill>
              </fill>
            </x14:dxf>
          </x14:cfRule>
          <x14:cfRule type="cellIs" priority="30" operator="equal" id="{D0A5737A-D3CF-4C0C-9D3D-04C9410B6B27}">
            <xm:f>Hoja4!$A$7</xm:f>
            <x14:dxf>
              <fill>
                <patternFill>
                  <bgColor rgb="FFFFFF00"/>
                </patternFill>
              </fill>
            </x14:dxf>
          </x14:cfRule>
          <xm:sqref>C87:D87</xm:sqref>
        </x14:conditionalFormatting>
        <x14:conditionalFormatting xmlns:xm="http://schemas.microsoft.com/office/excel/2006/main">
          <x14:cfRule type="cellIs" priority="25" operator="equal" id="{F76014E7-6146-4C81-BBA2-C13167999769}">
            <xm:f>Hoja4!$A$5</xm:f>
            <x14:dxf>
              <fill>
                <patternFill>
                  <bgColor rgb="FF92D050"/>
                </patternFill>
              </fill>
            </x14:dxf>
          </x14:cfRule>
          <x14:cfRule type="cellIs" priority="26" operator="equal" id="{AF9BDC8E-79E8-4126-9CBF-EF8BF459BA8A}">
            <xm:f>Hoja4!$A$6</xm:f>
            <x14:dxf>
              <fill>
                <patternFill>
                  <bgColor rgb="FFFF0000"/>
                </patternFill>
              </fill>
            </x14:dxf>
          </x14:cfRule>
          <x14:cfRule type="cellIs" priority="27" operator="equal" id="{F2C644A9-5934-4824-B9CD-5C9AAF8BA879}">
            <xm:f>Hoja4!$A$7</xm:f>
            <x14:dxf>
              <fill>
                <patternFill>
                  <bgColor rgb="FFFFFF00"/>
                </patternFill>
              </fill>
            </x14:dxf>
          </x14:cfRule>
          <xm:sqref>C109:D109</xm:sqref>
        </x14:conditionalFormatting>
        <x14:conditionalFormatting xmlns:xm="http://schemas.microsoft.com/office/excel/2006/main">
          <x14:cfRule type="cellIs" priority="22" operator="equal" id="{3DCBBD11-A817-4F58-A847-9BA22D75A7ED}">
            <xm:f>Hoja4!$A$5</xm:f>
            <x14:dxf>
              <fill>
                <patternFill>
                  <bgColor rgb="FF92D050"/>
                </patternFill>
              </fill>
            </x14:dxf>
          </x14:cfRule>
          <x14:cfRule type="cellIs" priority="23" operator="equal" id="{953113C2-F9F6-451C-89CB-A62186BDD4F8}">
            <xm:f>Hoja4!$A$6</xm:f>
            <x14:dxf>
              <fill>
                <patternFill>
                  <bgColor rgb="FFFF0000"/>
                </patternFill>
              </fill>
            </x14:dxf>
          </x14:cfRule>
          <x14:cfRule type="cellIs" priority="24" operator="equal" id="{534B9026-31D4-4BEE-8E70-56DD2AD49BE9}">
            <xm:f>Hoja4!$A$7</xm:f>
            <x14:dxf>
              <fill>
                <patternFill>
                  <bgColor rgb="FFFFFF00"/>
                </patternFill>
              </fill>
            </x14:dxf>
          </x14:cfRule>
          <xm:sqref>C131:D131</xm:sqref>
        </x14:conditionalFormatting>
        <x14:conditionalFormatting xmlns:xm="http://schemas.microsoft.com/office/excel/2006/main">
          <x14:cfRule type="cellIs" priority="19" operator="equal" id="{72C0056C-C757-4E6D-AA27-8D484160A569}">
            <xm:f>Hoja4!$A$5</xm:f>
            <x14:dxf>
              <fill>
                <patternFill>
                  <bgColor rgb="FF92D050"/>
                </patternFill>
              </fill>
            </x14:dxf>
          </x14:cfRule>
          <x14:cfRule type="cellIs" priority="20" operator="equal" id="{19FA2DC8-41E3-48F3-BB73-A4509C9F384A}">
            <xm:f>Hoja4!$A$6</xm:f>
            <x14:dxf>
              <fill>
                <patternFill>
                  <bgColor rgb="FFFF0000"/>
                </patternFill>
              </fill>
            </x14:dxf>
          </x14:cfRule>
          <x14:cfRule type="cellIs" priority="21" operator="equal" id="{2506CFBB-FB89-4ECE-9E77-CEEFCC990A01}">
            <xm:f>Hoja4!$A$7</xm:f>
            <x14:dxf>
              <fill>
                <patternFill>
                  <bgColor rgb="FFFFFF00"/>
                </patternFill>
              </fill>
            </x14:dxf>
          </x14:cfRule>
          <xm:sqref>C153:D153</xm:sqref>
        </x14:conditionalFormatting>
        <x14:conditionalFormatting xmlns:xm="http://schemas.microsoft.com/office/excel/2006/main">
          <x14:cfRule type="cellIs" priority="16" operator="equal" id="{A7D670BE-108B-4021-BA5A-A955636D3E98}">
            <xm:f>Hoja4!$A$5</xm:f>
            <x14:dxf>
              <fill>
                <patternFill>
                  <bgColor rgb="FF92D050"/>
                </patternFill>
              </fill>
            </x14:dxf>
          </x14:cfRule>
          <x14:cfRule type="cellIs" priority="17" operator="equal" id="{03F37360-7CC6-40FD-9D1C-EC12F1B2377A}">
            <xm:f>Hoja4!$A$6</xm:f>
            <x14:dxf>
              <fill>
                <patternFill>
                  <bgColor rgb="FFFF0000"/>
                </patternFill>
              </fill>
            </x14:dxf>
          </x14:cfRule>
          <x14:cfRule type="cellIs" priority="18" operator="equal" id="{6624D231-6499-473B-8608-D726947EF0A4}">
            <xm:f>Hoja4!$A$7</xm:f>
            <x14:dxf>
              <fill>
                <patternFill>
                  <bgColor rgb="FFFFFF00"/>
                </patternFill>
              </fill>
            </x14:dxf>
          </x14:cfRule>
          <xm:sqref>C175:D175</xm:sqref>
        </x14:conditionalFormatting>
        <x14:conditionalFormatting xmlns:xm="http://schemas.microsoft.com/office/excel/2006/main">
          <x14:cfRule type="cellIs" priority="13" operator="equal" id="{C6117164-AC89-42A6-9D95-37DE3A643AD3}">
            <xm:f>Hoja4!$A$5</xm:f>
            <x14:dxf>
              <fill>
                <patternFill>
                  <bgColor rgb="FF92D050"/>
                </patternFill>
              </fill>
            </x14:dxf>
          </x14:cfRule>
          <x14:cfRule type="cellIs" priority="14" operator="equal" id="{FF2116CF-D0D2-4F94-9CF3-0FCBADD905FD}">
            <xm:f>Hoja4!$A$6</xm:f>
            <x14:dxf>
              <fill>
                <patternFill>
                  <bgColor rgb="FFFF0000"/>
                </patternFill>
              </fill>
            </x14:dxf>
          </x14:cfRule>
          <x14:cfRule type="cellIs" priority="15" operator="equal" id="{EE244F6C-E66B-4CEC-A784-D54CB5BAA680}">
            <xm:f>Hoja4!$A$7</xm:f>
            <x14:dxf>
              <fill>
                <patternFill>
                  <bgColor rgb="FFFFFF00"/>
                </patternFill>
              </fill>
            </x14:dxf>
          </x14:cfRule>
          <xm:sqref>C197:D197</xm:sqref>
        </x14:conditionalFormatting>
        <x14:conditionalFormatting xmlns:xm="http://schemas.microsoft.com/office/excel/2006/main">
          <x14:cfRule type="cellIs" priority="10" operator="equal" id="{47172C95-23DE-451A-BC90-F9A501B941BE}">
            <xm:f>Hoja4!$A$5</xm:f>
            <x14:dxf>
              <fill>
                <patternFill>
                  <bgColor rgb="FF92D050"/>
                </patternFill>
              </fill>
            </x14:dxf>
          </x14:cfRule>
          <x14:cfRule type="cellIs" priority="11" operator="equal" id="{39AFAA97-8D00-4ACA-9D12-F5140A9C4311}">
            <xm:f>Hoja4!$A$6</xm:f>
            <x14:dxf>
              <fill>
                <patternFill>
                  <bgColor rgb="FFFF0000"/>
                </patternFill>
              </fill>
            </x14:dxf>
          </x14:cfRule>
          <x14:cfRule type="cellIs" priority="12" operator="equal" id="{B36EB1C5-4109-4757-A6BF-EB078A6ADA04}">
            <xm:f>Hoja4!$A$7</xm:f>
            <x14:dxf>
              <fill>
                <patternFill>
                  <bgColor rgb="FFFFFF00"/>
                </patternFill>
              </fill>
            </x14:dxf>
          </x14:cfRule>
          <xm:sqref>C219:D219</xm:sqref>
        </x14:conditionalFormatting>
        <x14:conditionalFormatting xmlns:xm="http://schemas.microsoft.com/office/excel/2006/main">
          <x14:cfRule type="cellIs" priority="7" operator="equal" id="{99EA29B0-F571-4DBB-ACF2-BF8DB6C146FC}">
            <xm:f>Hoja4!$A$5</xm:f>
            <x14:dxf>
              <fill>
                <patternFill>
                  <bgColor rgb="FF92D050"/>
                </patternFill>
              </fill>
            </x14:dxf>
          </x14:cfRule>
          <x14:cfRule type="cellIs" priority="8" operator="equal" id="{6D3BFA09-4D0A-44C3-B48C-F8FB829DD7CC}">
            <xm:f>Hoja4!$A$6</xm:f>
            <x14:dxf>
              <fill>
                <patternFill>
                  <bgColor rgb="FFFF0000"/>
                </patternFill>
              </fill>
            </x14:dxf>
          </x14:cfRule>
          <x14:cfRule type="cellIs" priority="9" operator="equal" id="{1BB45C20-A8D1-4DBB-A4F3-0868A32836C9}">
            <xm:f>Hoja4!$A$7</xm:f>
            <x14:dxf>
              <fill>
                <patternFill>
                  <bgColor rgb="FFFFFF00"/>
                </patternFill>
              </fill>
            </x14:dxf>
          </x14:cfRule>
          <xm:sqref>C241:D241</xm:sqref>
        </x14:conditionalFormatting>
        <x14:conditionalFormatting xmlns:xm="http://schemas.microsoft.com/office/excel/2006/main">
          <x14:cfRule type="cellIs" priority="4" operator="equal" id="{864DCAC2-CE8B-4309-82E3-3EDDD0656DDE}">
            <xm:f>Hoja4!$A$5</xm:f>
            <x14:dxf>
              <fill>
                <patternFill>
                  <bgColor rgb="FF92D050"/>
                </patternFill>
              </fill>
            </x14:dxf>
          </x14:cfRule>
          <x14:cfRule type="cellIs" priority="5" operator="equal" id="{0AA85D5D-6272-4247-BB7F-0053138AE0DB}">
            <xm:f>Hoja4!$A$6</xm:f>
            <x14:dxf>
              <fill>
                <patternFill>
                  <bgColor rgb="FFFF0000"/>
                </patternFill>
              </fill>
            </x14:dxf>
          </x14:cfRule>
          <x14:cfRule type="cellIs" priority="6" operator="equal" id="{913F596F-E6E8-4435-B32A-2878E61172A5}">
            <xm:f>Hoja4!$A$7</xm:f>
            <x14:dxf>
              <fill>
                <patternFill>
                  <bgColor rgb="FFFFFF00"/>
                </patternFill>
              </fill>
            </x14:dxf>
          </x14:cfRule>
          <xm:sqref>C263:D263</xm:sqref>
        </x14:conditionalFormatting>
        <x14:conditionalFormatting xmlns:xm="http://schemas.microsoft.com/office/excel/2006/main">
          <x14:cfRule type="cellIs" priority="1" operator="equal" id="{5576C030-5350-4ECD-AC02-B381E46687BA}">
            <xm:f>Hoja4!$A$5</xm:f>
            <x14:dxf>
              <fill>
                <patternFill>
                  <bgColor rgb="FF92D050"/>
                </patternFill>
              </fill>
            </x14:dxf>
          </x14:cfRule>
          <x14:cfRule type="cellIs" priority="2" operator="equal" id="{C2B8AAA2-9647-4D18-B03A-210DED1A169F}">
            <xm:f>Hoja4!$A$6</xm:f>
            <x14:dxf>
              <fill>
                <patternFill>
                  <bgColor rgb="FFFF0000"/>
                </patternFill>
              </fill>
            </x14:dxf>
          </x14:cfRule>
          <x14:cfRule type="cellIs" priority="3" operator="equal" id="{883E49DA-9750-4290-ACC9-66A9033DB565}">
            <xm:f>Hoja4!$A$7</xm:f>
            <x14:dxf>
              <fill>
                <patternFill>
                  <bgColor rgb="FFFFFF00"/>
                </patternFill>
              </fill>
            </x14:dxf>
          </x14:cfRule>
          <xm:sqref>C285:D285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showGridLines="0" topLeftCell="A9" workbookViewId="0">
      <selection activeCell="H21" sqref="H21"/>
    </sheetView>
  </sheetViews>
  <sheetFormatPr baseColWidth="10" defaultRowHeight="15" x14ac:dyDescent="0.25"/>
  <cols>
    <col min="1" max="1" width="46" customWidth="1"/>
    <col min="3" max="3" width="31.125" customWidth="1"/>
    <col min="4" max="4" width="14.625" customWidth="1"/>
    <col min="5" max="5" width="15.125" customWidth="1"/>
    <col min="6" max="6" width="23.125" customWidth="1"/>
    <col min="7" max="7" width="18.125" customWidth="1"/>
    <col min="8" max="8" width="29.625" customWidth="1"/>
    <col min="9" max="9" width="32.375" customWidth="1"/>
  </cols>
  <sheetData>
    <row r="1" spans="1:9" s="8" customFormat="1" ht="28.5" customHeight="1" x14ac:dyDescent="0.25">
      <c r="A1" s="189" t="s">
        <v>170</v>
      </c>
      <c r="B1" s="189"/>
      <c r="C1" s="189"/>
      <c r="D1" s="189"/>
      <c r="H1" s="8" t="s">
        <v>360</v>
      </c>
    </row>
    <row r="2" spans="1:9" s="8" customFormat="1" ht="15" customHeight="1" x14ac:dyDescent="0.25">
      <c r="A2" s="189"/>
      <c r="B2" s="189"/>
      <c r="C2" s="189"/>
      <c r="D2" s="189"/>
    </row>
    <row r="3" spans="1:9" s="8" customFormat="1" ht="23.25" x14ac:dyDescent="0.25">
      <c r="A3" s="31" t="s">
        <v>313</v>
      </c>
    </row>
    <row r="9" spans="1:9" x14ac:dyDescent="0.25">
      <c r="G9" s="8" t="s">
        <v>306</v>
      </c>
    </row>
    <row r="10" spans="1:9" x14ac:dyDescent="0.25">
      <c r="G10" t="s">
        <v>443</v>
      </c>
    </row>
    <row r="11" spans="1:9" x14ac:dyDescent="0.25">
      <c r="I11" s="40"/>
    </row>
    <row r="23" spans="1:7" ht="18.75" x14ac:dyDescent="0.3">
      <c r="A23" s="41" t="s">
        <v>20</v>
      </c>
      <c r="B23" s="42"/>
      <c r="C23" s="42"/>
      <c r="D23" s="42"/>
      <c r="E23" s="42"/>
      <c r="F23" s="42"/>
      <c r="G23" s="26"/>
    </row>
    <row r="24" spans="1:7" ht="51.75" customHeight="1" x14ac:dyDescent="0.3">
      <c r="A24" s="50" t="s">
        <v>314</v>
      </c>
      <c r="B24" s="42"/>
      <c r="C24" s="42"/>
      <c r="D24" s="42"/>
      <c r="E24" s="42"/>
      <c r="F24" s="42"/>
      <c r="G24" s="26"/>
    </row>
    <row r="25" spans="1:7" ht="18.75" x14ac:dyDescent="0.3">
      <c r="A25" s="41" t="s">
        <v>158</v>
      </c>
      <c r="B25" s="43">
        <v>13</v>
      </c>
      <c r="C25" s="42"/>
      <c r="D25" s="42"/>
      <c r="E25" s="58" t="s">
        <v>26</v>
      </c>
      <c r="F25" s="42"/>
      <c r="G25" s="26"/>
    </row>
    <row r="26" spans="1:7" ht="18.75" x14ac:dyDescent="0.3">
      <c r="A26" s="44" t="s">
        <v>159</v>
      </c>
      <c r="B26" s="45">
        <f>COUNTIF('4. Evaluación Nivel AA'!D5:E285,Hoja4!A5)</f>
        <v>0</v>
      </c>
      <c r="C26" s="46" t="s">
        <v>34</v>
      </c>
      <c r="D26" s="47">
        <f>B26*100/B25</f>
        <v>0</v>
      </c>
      <c r="E26" s="48">
        <f>IF(ISERROR((B26*100)/(B25-B28)),0,(B26*100)/(B25-B28))</f>
        <v>0</v>
      </c>
      <c r="F26" s="42"/>
      <c r="G26" s="26"/>
    </row>
    <row r="27" spans="1:7" ht="18.75" x14ac:dyDescent="0.3">
      <c r="A27" s="44" t="s">
        <v>160</v>
      </c>
      <c r="B27" s="45">
        <f>COUNTIF('4. Evaluación Nivel AA'!D5:D285,Hoja4!A6)</f>
        <v>0</v>
      </c>
      <c r="C27" s="46" t="s">
        <v>35</v>
      </c>
      <c r="D27" s="47">
        <f>B27*100/B25</f>
        <v>0</v>
      </c>
      <c r="E27" s="48">
        <f>IF(ISERROR((B27*100)/(B25-B28)),0,(B27*100)/(B25-B28))</f>
        <v>0</v>
      </c>
      <c r="F27" s="42"/>
      <c r="G27" s="26"/>
    </row>
    <row r="28" spans="1:7" ht="18.75" x14ac:dyDescent="0.3">
      <c r="A28" s="44" t="s">
        <v>161</v>
      </c>
      <c r="B28" s="45">
        <f>COUNTIF('4. Evaluación Nivel AA'!D5:D285,Hoja4!A7)</f>
        <v>0</v>
      </c>
      <c r="C28" s="46" t="s">
        <v>40</v>
      </c>
      <c r="D28" s="47">
        <f>B28*100/B25</f>
        <v>0</v>
      </c>
      <c r="E28" s="45"/>
      <c r="F28" s="42"/>
      <c r="G28" s="26"/>
    </row>
    <row r="29" spans="1:7" ht="18.75" x14ac:dyDescent="0.3">
      <c r="A29" s="42"/>
      <c r="B29" s="42">
        <f>SUM(B26:B28)</f>
        <v>0</v>
      </c>
      <c r="C29" s="42"/>
      <c r="D29" s="49">
        <f>SUM(D26:D28)</f>
        <v>0</v>
      </c>
      <c r="E29" s="49">
        <f>SUM(E26:E28)</f>
        <v>0</v>
      </c>
      <c r="F29" s="42"/>
      <c r="G29" s="26"/>
    </row>
    <row r="30" spans="1:7" ht="18.75" x14ac:dyDescent="0.3">
      <c r="A30" s="41"/>
      <c r="B30" s="42"/>
      <c r="C30" s="42"/>
      <c r="D30" s="42"/>
      <c r="E30" s="42"/>
      <c r="F30" s="42"/>
      <c r="G30" s="26"/>
    </row>
    <row r="31" spans="1:7" ht="18.75" x14ac:dyDescent="0.3">
      <c r="A31" s="41" t="s">
        <v>36</v>
      </c>
      <c r="B31" s="42"/>
      <c r="C31" s="42"/>
      <c r="D31" s="42"/>
      <c r="E31" s="42"/>
      <c r="F31" s="42"/>
      <c r="G31" s="26"/>
    </row>
    <row r="32" spans="1:7" ht="18.75" x14ac:dyDescent="0.3">
      <c r="A32" s="59" t="s">
        <v>162</v>
      </c>
      <c r="B32" s="59">
        <f>25+13</f>
        <v>38</v>
      </c>
      <c r="C32" s="60"/>
      <c r="D32" s="59"/>
      <c r="E32" s="59"/>
      <c r="F32" s="42"/>
      <c r="G32" s="26"/>
    </row>
    <row r="33" spans="1:10" ht="18.75" x14ac:dyDescent="0.3">
      <c r="A33" s="45" t="s">
        <v>163</v>
      </c>
      <c r="B33" s="45">
        <f>'3.1 Gráficas y estadísticas A'!B10+B26</f>
        <v>0</v>
      </c>
      <c r="C33" s="61" t="s">
        <v>37</v>
      </c>
      <c r="D33" s="47">
        <f>B33*100/B32</f>
        <v>0</v>
      </c>
      <c r="E33" s="48">
        <f>IF(ISERROR((B33*100)/(B32-B35)),0,(B33*100)/(B32-B35))</f>
        <v>0</v>
      </c>
      <c r="F33" s="42"/>
      <c r="G33" s="26"/>
    </row>
    <row r="34" spans="1:10" ht="18.75" x14ac:dyDescent="0.3">
      <c r="A34" s="45" t="s">
        <v>164</v>
      </c>
      <c r="B34" s="45">
        <f>'3.1 Gráficas y estadísticas A'!B11+'4.1 Gráficas y estadísticas AA'!B27</f>
        <v>0</v>
      </c>
      <c r="C34" s="46" t="s">
        <v>38</v>
      </c>
      <c r="D34" s="47">
        <f>B34*100/B32</f>
        <v>0</v>
      </c>
      <c r="E34" s="48">
        <f>IF(ISERROR((B34*100)/(B32-B35)),0,(B34*100)/(B32-B35))</f>
        <v>0</v>
      </c>
      <c r="F34" s="42"/>
      <c r="G34" s="26"/>
    </row>
    <row r="35" spans="1:10" ht="18.75" x14ac:dyDescent="0.3">
      <c r="A35" s="45" t="s">
        <v>165</v>
      </c>
      <c r="B35" s="45">
        <f>'3.1 Gráficas y estadísticas A'!B12+'4.1 Gráficas y estadísticas AA'!B28</f>
        <v>0</v>
      </c>
      <c r="C35" s="46" t="s">
        <v>39</v>
      </c>
      <c r="D35" s="47">
        <f>B35*100/B32</f>
        <v>0</v>
      </c>
      <c r="E35" s="45"/>
      <c r="F35" s="42"/>
      <c r="G35" s="26"/>
    </row>
    <row r="36" spans="1:10" ht="18.75" x14ac:dyDescent="0.3">
      <c r="A36" s="42"/>
      <c r="B36" s="42">
        <f>SUM(B33:B35)</f>
        <v>0</v>
      </c>
      <c r="C36" s="42"/>
      <c r="D36" s="49">
        <f>SUM(D33:D35)</f>
        <v>0</v>
      </c>
      <c r="E36" s="49">
        <f>SUM(E33:E35)</f>
        <v>0</v>
      </c>
      <c r="F36" s="42"/>
      <c r="G36" s="26"/>
    </row>
    <row r="37" spans="1:10" x14ac:dyDescent="0.25">
      <c r="A37" s="3"/>
      <c r="B37" s="3"/>
      <c r="C37" s="3"/>
      <c r="D37" s="3"/>
      <c r="E37" s="3"/>
      <c r="F37" s="3"/>
    </row>
    <row r="40" spans="1:10" ht="18.75" x14ac:dyDescent="0.3">
      <c r="A40" s="4" t="s">
        <v>43</v>
      </c>
      <c r="B40" s="26"/>
      <c r="C40" s="26"/>
      <c r="D40" s="26"/>
      <c r="E40" s="26"/>
      <c r="F40" s="26"/>
      <c r="G40" s="26"/>
      <c r="H40" s="26"/>
      <c r="I40" s="26"/>
      <c r="J40" s="26"/>
    </row>
    <row r="41" spans="1:10" ht="18.75" x14ac:dyDescent="0.3">
      <c r="A41" s="26"/>
      <c r="B41" s="32" t="s">
        <v>7</v>
      </c>
      <c r="C41" s="51" t="s">
        <v>128</v>
      </c>
      <c r="D41" s="32" t="s">
        <v>23</v>
      </c>
      <c r="E41" s="51" t="s">
        <v>27</v>
      </c>
      <c r="F41" s="32" t="s">
        <v>25</v>
      </c>
      <c r="G41" s="51" t="s">
        <v>28</v>
      </c>
      <c r="H41" s="52" t="s">
        <v>32</v>
      </c>
      <c r="I41" s="53" t="s">
        <v>33</v>
      </c>
      <c r="J41" s="26"/>
    </row>
    <row r="42" spans="1:10" ht="18.75" x14ac:dyDescent="0.3">
      <c r="A42" s="54" t="str">
        <f>'2.Páginas de la muestra'!C8</f>
        <v>Inicio</v>
      </c>
      <c r="B42" s="32">
        <f>IF('2.Páginas de la muestra'!B5&gt;0,COUNTIF('4. Evaluación Nivel AA'!C6,Hoja4!A5)+COUNTIF('4. Evaluación Nivel AA'!C28,Hoja4!A5)+COUNTIF('4. Evaluación Nivel AA'!C50,Hoja4!A5)+COUNTIF('4. Evaluación Nivel AA'!C72,Hoja4!A5)+COUNTIF('4. Evaluación Nivel AA'!C94,Hoja4!A5)+COUNTIF('4. Evaluación Nivel AA'!C116,Hoja4!A5)+COUNTIF('4. Evaluación Nivel AA'!C138,Hoja4!A5)+COUNTIF('4. Evaluación Nivel AA'!C160,Hoja4!A5)+COUNTIF('4. Evaluación Nivel AA'!C182,Hoja4!A5)+COUNTIF('4. Evaluación Nivel AA'!C204,Hoja4!A5)+COUNTIF('4. Evaluación Nivel AA'!C226,Hoja4!A5)+COUNTIF('4. Evaluación Nivel AA'!C248,Hoja4!A5)+COUNTIF('4. Evaluación Nivel AA'!C270,Hoja4!A5),"")</f>
        <v>8</v>
      </c>
      <c r="C42" s="55">
        <f>IF('2.Páginas de la muestra'!B5&gt;0,B42*100/'4.1 Gráficas y estadísticas AA'!B25,"")</f>
        <v>61.53846153846154</v>
      </c>
      <c r="D42" s="32">
        <f>IF('2.Páginas de la muestra'!B5&gt;0,COUNTIF('4. Evaluación Nivel AA'!C6,Hoja4!A6)+COUNTIF('4. Evaluación Nivel AA'!C28,Hoja4!A6)+COUNTIF('4. Evaluación Nivel AA'!C50,Hoja4!A6)+COUNTIF('4. Evaluación Nivel AA'!C72,Hoja4!A6)+COUNTIF('4. Evaluación Nivel AA'!C94,Hoja4!A6)+COUNTIF('4. Evaluación Nivel AA'!C116,Hoja4!A6)+COUNTIF('4. Evaluación Nivel AA'!C138,Hoja4!A6)+COUNTIF('4. Evaluación Nivel AA'!C160,Hoja4!A6)+COUNTIF('4. Evaluación Nivel AA'!C182,Hoja4!A6)+COUNTIF('4. Evaluación Nivel AA'!C204,Hoja4!A6)+COUNTIF('4. Evaluación Nivel AA'!C226,Hoja4!A6)+COUNTIF('4. Evaluación Nivel AA'!C248,Hoja4!A6)+COUNTIF('4. Evaluación Nivel AA'!C270,Hoja4!A6),"")</f>
        <v>2</v>
      </c>
      <c r="E42" s="55">
        <f>IF('2.Páginas de la muestra'!B5&gt;0,D42*100/'4.1 Gráficas y estadísticas AA'!B25,"")</f>
        <v>15.384615384615385</v>
      </c>
      <c r="F42" s="32">
        <f>IF('2.Páginas de la muestra'!B5&gt;0,COUNTIF('4. Evaluación Nivel AA'!C6,Hoja4!A7)+COUNTIF('4. Evaluación Nivel AA'!C28,Hoja4!A7)+COUNTIF('4. Evaluación Nivel AA'!C50,Hoja4!A7)+COUNTIF('4. Evaluación Nivel AA'!C72,Hoja4!A7)+COUNTIF('4. Evaluación Nivel AA'!C94,Hoja4!A7)+COUNTIF('4. Evaluación Nivel AA'!C116,Hoja4!A7)+COUNTIF('4. Evaluación Nivel AA'!C138,Hoja4!A7)+COUNTIF('4. Evaluación Nivel AA'!C160,Hoja4!A7)+COUNTIF('4. Evaluación Nivel AA'!C182,Hoja4!A7)+COUNTIF('4. Evaluación Nivel AA'!C204,Hoja4!A7)+COUNTIF('4. Evaluación Nivel AA'!C226,Hoja4!A7)+COUNTIF('4. Evaluación Nivel AA'!C248,Hoja4!A7)+COUNTIF('4. Evaluación Nivel AA'!C270,Hoja4!A7),"")</f>
        <v>3</v>
      </c>
      <c r="G42" s="55">
        <f>IF('2.Páginas de la muestra'!B5&gt;0,F42*100/'4.1 Gráficas y estadísticas AA'!B25,"")</f>
        <v>23.076923076923077</v>
      </c>
      <c r="H42" s="56">
        <f>IF('2.Páginas de la muestra'!B5&gt;0,IF(ISERROR((B42*100)/('4.1 Gráficas y estadísticas AA'!B25-F42)),0,(B42*100)/('4.1 Gráficas y estadísticas AA'!B25-F42)),"")</f>
        <v>80</v>
      </c>
      <c r="I42" s="56">
        <f>IF('2.Páginas de la muestra'!B5&gt;0,IF(ISERROR((D42*100)/('4.1 Gráficas y estadísticas AA'!B25-F42)),0,(D42*100)/('4.1 Gráficas y estadísticas AA'!B25-F42)),"")</f>
        <v>20</v>
      </c>
      <c r="J42" s="26"/>
    </row>
    <row r="43" spans="1:10" ht="18.75" x14ac:dyDescent="0.3">
      <c r="A43" s="54" t="str">
        <f>'2.Páginas de la muestra'!C9</f>
        <v>login</v>
      </c>
      <c r="B43" s="32" t="str">
        <f>IF('2.Páginas de la muestra'!B5&gt;1,COUNTIF('4. Evaluación Nivel AA'!C7,Hoja4!A5)+COUNTIF('4. Evaluación Nivel AA'!C29,Hoja4!A5)+COUNTIF('4. Evaluación Nivel AA'!C51,Hoja4!A5)+COUNTIF('4. Evaluación Nivel AA'!C73,Hoja4!A5)+COUNTIF('4. Evaluación Nivel AA'!C95,Hoja4!A5)+COUNTIF('4. Evaluación Nivel AA'!C117,Hoja4!A5)+COUNTIF('4. Evaluación Nivel AA'!C139,Hoja4!A5)+COUNTIF('4. Evaluación Nivel AA'!C161,Hoja4!A5)+COUNTIF('4. Evaluación Nivel AA'!C183,Hoja4!A5)+COUNTIF('4. Evaluación Nivel AA'!C205,Hoja4!A5)+COUNTIF('4. Evaluación Nivel AA'!C227,Hoja4!A5)+COUNTIF('4. Evaluación Nivel AA'!C249,Hoja4!A5)+COUNTIF('4. Evaluación Nivel AA'!C271,Hoja4!A5),"")</f>
        <v/>
      </c>
      <c r="C43" s="55" t="str">
        <f>IF('2.Páginas de la muestra'!B5&gt;1,B43*100/'4.1 Gráficas y estadísticas AA'!B25,"")</f>
        <v/>
      </c>
      <c r="D43" s="32" t="str">
        <f>IF('2.Páginas de la muestra'!B5&gt;1,COUNTIF('4. Evaluación Nivel AA'!C7,Hoja4!A6)+COUNTIF('4. Evaluación Nivel AA'!C29,Hoja4!A6)+COUNTIF('4. Evaluación Nivel AA'!C51,Hoja4!A6)+COUNTIF('4. Evaluación Nivel AA'!C73,Hoja4!A6)+COUNTIF('4. Evaluación Nivel AA'!C95,Hoja4!A6)+COUNTIF('4. Evaluación Nivel AA'!C117,Hoja4!A6)+COUNTIF('4. Evaluación Nivel AA'!C139,Hoja4!A6)+COUNTIF('4. Evaluación Nivel AA'!C161,Hoja4!A6)+COUNTIF('4. Evaluación Nivel AA'!C183,Hoja4!A6)+COUNTIF('4. Evaluación Nivel AA'!C205,Hoja4!A6)+COUNTIF('4. Evaluación Nivel AA'!C227,Hoja4!A6)+COUNTIF('4. Evaluación Nivel AA'!C249,Hoja4!A6)+COUNTIF('4. Evaluación Nivel AA'!C271,Hoja4!A6),"")</f>
        <v/>
      </c>
      <c r="E43" s="55" t="str">
        <f>IF('2.Páginas de la muestra'!B5&gt;1,D43*100/'4.1 Gráficas y estadísticas AA'!B25,"")</f>
        <v/>
      </c>
      <c r="F43" s="32" t="str">
        <f>IF('2.Páginas de la muestra'!B5&gt;1,COUNTIF('4. Evaluación Nivel AA'!C7,Hoja4!A7)+COUNTIF('4. Evaluación Nivel AA'!C29,Hoja4!A7)+COUNTIF('4. Evaluación Nivel AA'!C51,Hoja4!A7)+COUNTIF('4. Evaluación Nivel AA'!C73,Hoja4!A7)+COUNTIF('4. Evaluación Nivel AA'!C95,Hoja4!A7)+COUNTIF('4. Evaluación Nivel AA'!C117,Hoja4!A7)+COUNTIF('4. Evaluación Nivel AA'!C139,Hoja4!A7)+COUNTIF('4. Evaluación Nivel AA'!C161,Hoja4!A7)+COUNTIF('4. Evaluación Nivel AA'!C183,Hoja4!A7)+COUNTIF('4. Evaluación Nivel AA'!C205,Hoja4!A7)+COUNTIF('4. Evaluación Nivel AA'!C227,Hoja4!A7)+COUNTIF('4. Evaluación Nivel AA'!C249,Hoja4!A7)+COUNTIF('4. Evaluación Nivel AA'!C271,Hoja4!A7),"")</f>
        <v/>
      </c>
      <c r="G43" s="55" t="str">
        <f>IF('2.Páginas de la muestra'!B5&gt;1,F43*100/'4.1 Gráficas y estadísticas AA'!B25,"")</f>
        <v/>
      </c>
      <c r="H43" s="56" t="str">
        <f>IF('2.Páginas de la muestra'!B5&gt;1,IF(ISERROR((B43*100)/('4.1 Gráficas y estadísticas AA'!B25-F43)),0,(B43*100)/('4.1 Gráficas y estadísticas AA'!B25-F43)),"")</f>
        <v/>
      </c>
      <c r="I43" s="56" t="str">
        <f>IF('2.Páginas de la muestra'!B5&gt;1,IF(ISERROR((D43*100)/('4.1 Gráficas y estadísticas AA'!B25-F43)),0,(D43*100)/('4.1 Gráficas y estadísticas AA'!B25-F43)),"")</f>
        <v/>
      </c>
      <c r="J43" s="26"/>
    </row>
    <row r="44" spans="1:10" ht="18.75" x14ac:dyDescent="0.3">
      <c r="A44" s="54" t="str">
        <f>'2.Páginas de la muestra'!C10</f>
        <v>Inicio-Dashboard</v>
      </c>
      <c r="B44" s="32" t="str">
        <f>IF('2.Páginas de la muestra'!B5&gt;2,COUNTIF('4. Evaluación Nivel AA'!C8,Hoja4!A5)+COUNTIF('4. Evaluación Nivel AA'!C30,Hoja4!A5)+COUNTIF('4. Evaluación Nivel AA'!C52,Hoja4!A5)+COUNTIF('4. Evaluación Nivel AA'!C74,Hoja4!A5)+COUNTIF('4. Evaluación Nivel AA'!C96,Hoja4!A5)+COUNTIF('4. Evaluación Nivel AA'!C118,Hoja4!A5)+COUNTIF('4. Evaluación Nivel AA'!C140,Hoja4!A5)+COUNTIF('4. Evaluación Nivel AA'!C162,Hoja4!A5)+COUNTIF('4. Evaluación Nivel AA'!C184,Hoja4!A5)+COUNTIF('4. Evaluación Nivel AA'!C206,Hoja4!A5)+COUNTIF('4. Evaluación Nivel AA'!C228,Hoja4!A5)+COUNTIF('4. Evaluación Nivel AA'!C250,Hoja4!A5)+COUNTIF('4. Evaluación Nivel AA'!C272,Hoja4!A5),"")</f>
        <v/>
      </c>
      <c r="C44" s="55" t="str">
        <f>IF('2.Páginas de la muestra'!B5&gt;2,B44*100/'4.1 Gráficas y estadísticas AA'!B25,"")</f>
        <v/>
      </c>
      <c r="D44" s="32" t="str">
        <f>IF('2.Páginas de la muestra'!B5&gt;2,COUNTIF('4. Evaluación Nivel AA'!C8,Hoja4!A6)+COUNTIF('4. Evaluación Nivel AA'!C30,Hoja4!A6)+COUNTIF('4. Evaluación Nivel AA'!C52,Hoja4!A6)+COUNTIF('4. Evaluación Nivel AA'!C74,Hoja4!A6)+COUNTIF('4. Evaluación Nivel AA'!C96,Hoja4!A6)+COUNTIF('4. Evaluación Nivel AA'!C118,Hoja4!A6)+COUNTIF('4. Evaluación Nivel AA'!C140,Hoja4!A6)+COUNTIF('4. Evaluación Nivel AA'!C162,Hoja4!A6)+COUNTIF('4. Evaluación Nivel AA'!C184,Hoja4!A6)+COUNTIF('4. Evaluación Nivel AA'!C206,Hoja4!A6)+COUNTIF('4. Evaluación Nivel AA'!C228,Hoja4!A6)+COUNTIF('4. Evaluación Nivel AA'!C250,Hoja4!A6)+COUNTIF('4. Evaluación Nivel AA'!C272,Hoja4!A6),"")</f>
        <v/>
      </c>
      <c r="E44" s="55" t="str">
        <f>IF('2.Páginas de la muestra'!B5&gt;2,D44*100/'4.1 Gráficas y estadísticas AA'!B25,"")</f>
        <v/>
      </c>
      <c r="F44" s="32" t="str">
        <f>IF('2.Páginas de la muestra'!B5&gt;2,COUNTIF('4. Evaluación Nivel AA'!C8,Hoja4!A7)+COUNTIF('4. Evaluación Nivel AA'!C30,Hoja4!A7)+COUNTIF('4. Evaluación Nivel AA'!C52,Hoja4!A7)+COUNTIF('4. Evaluación Nivel AA'!C74,Hoja4!A7)+COUNTIF('4. Evaluación Nivel AA'!C96,Hoja4!A7)+COUNTIF('4. Evaluación Nivel AA'!C118,Hoja4!A7)+COUNTIF('4. Evaluación Nivel AA'!C140,Hoja4!A7)+COUNTIF('4. Evaluación Nivel AA'!C162,Hoja4!A7)+COUNTIF('4. Evaluación Nivel AA'!C184,Hoja4!A7)+COUNTIF('4. Evaluación Nivel AA'!C206,Hoja4!A7)+COUNTIF('4. Evaluación Nivel AA'!C228,Hoja4!A7)+COUNTIF('4. Evaluación Nivel AA'!C250,Hoja4!A7)+COUNTIF('4. Evaluación Nivel AA'!C272,Hoja4!A7),"")</f>
        <v/>
      </c>
      <c r="G44" s="55" t="str">
        <f>IF('2.Páginas de la muestra'!B5&gt;2,F44*100/'4.1 Gráficas y estadísticas AA'!B25,"")</f>
        <v/>
      </c>
      <c r="H44" s="56" t="str">
        <f>IF('2.Páginas de la muestra'!B5&gt;2,IF(ISERROR((B44*100)/('4.1 Gráficas y estadísticas AA'!B25-F44)),0,(B44*100)/('4.1 Gráficas y estadísticas AA'!B25-F44)),"")</f>
        <v/>
      </c>
      <c r="I44" s="56" t="str">
        <f>IF('2.Páginas de la muestra'!B5&gt;2,IF(ISERROR((D44*100)/('4.1 Gráficas y estadísticas AA'!B25-F44)),0,(D44*100)/('4.1 Gráficas y estadísticas AA'!B25-F44)),"")</f>
        <v/>
      </c>
      <c r="J44" s="26"/>
    </row>
    <row r="45" spans="1:10" ht="18.75" x14ac:dyDescent="0.3">
      <c r="A45" s="54" t="str">
        <f>'2.Páginas de la muestra'!C11</f>
        <v>Dashboard-Usuarios</v>
      </c>
      <c r="B45" s="32" t="str">
        <f>IF('2.Páginas de la muestra'!B5&gt;3,COUNTIF('4. Evaluación Nivel AA'!C9,Hoja4!A5)+COUNTIF('4. Evaluación Nivel AA'!C31,Hoja4!A5)+COUNTIF('4. Evaluación Nivel AA'!C53,Hoja4!A5)+COUNTIF('4. Evaluación Nivel AA'!C75,Hoja4!A5)+COUNTIF('4. Evaluación Nivel AA'!C97,Hoja4!A5)+COUNTIF('4. Evaluación Nivel AA'!C119,Hoja4!A5)+COUNTIF('4. Evaluación Nivel AA'!C141,Hoja4!A5)+COUNTIF('4. Evaluación Nivel AA'!C163,Hoja4!A5)+COUNTIF('4. Evaluación Nivel AA'!C185,Hoja4!A5)+COUNTIF('4. Evaluación Nivel AA'!C207,Hoja4!A5)+COUNTIF('4. Evaluación Nivel AA'!C229,Hoja4!A5)+COUNTIF('4. Evaluación Nivel AA'!C251,Hoja4!A5)+COUNTIF('4. Evaluación Nivel AA'!C273,Hoja4!A5),"")</f>
        <v/>
      </c>
      <c r="C45" s="55" t="str">
        <f>IF('2.Páginas de la muestra'!B5&gt;3,B45*100/'4.1 Gráficas y estadísticas AA'!B25,"")</f>
        <v/>
      </c>
      <c r="D45" s="32" t="str">
        <f>IF('2.Páginas de la muestra'!B5&gt;3,COUNTIF('4. Evaluación Nivel AA'!C9,Hoja4!A6)+COUNTIF('4. Evaluación Nivel AA'!C31,Hoja4!A6)+COUNTIF('4. Evaluación Nivel AA'!C53,Hoja4!A6)+COUNTIF('4. Evaluación Nivel AA'!C75,Hoja4!A6)+COUNTIF('4. Evaluación Nivel AA'!C97,Hoja4!A6)+COUNTIF('4. Evaluación Nivel AA'!C119,Hoja4!A6)+COUNTIF('4. Evaluación Nivel AA'!C141,Hoja4!A6)+COUNTIF('4. Evaluación Nivel AA'!C163,Hoja4!A6)+COUNTIF('4. Evaluación Nivel AA'!C185,Hoja4!A6)+COUNTIF('4. Evaluación Nivel AA'!C207,Hoja4!A6)+COUNTIF('4. Evaluación Nivel AA'!C229,Hoja4!A6)+COUNTIF('4. Evaluación Nivel AA'!C251,Hoja4!A6)+COUNTIF('4. Evaluación Nivel AA'!C273,Hoja4!A6),"")</f>
        <v/>
      </c>
      <c r="E45" s="55" t="str">
        <f>IF('2.Páginas de la muestra'!B5&gt;3,D45*100/'4.1 Gráficas y estadísticas AA'!B25,"")</f>
        <v/>
      </c>
      <c r="F45" s="32" t="str">
        <f>IF('2.Páginas de la muestra'!B5&gt;3,COUNTIF('4. Evaluación Nivel AA'!C9,Hoja4!A7)+COUNTIF('4. Evaluación Nivel AA'!C31,Hoja4!A7)+COUNTIF('4. Evaluación Nivel AA'!C53,Hoja4!A7)+COUNTIF('4. Evaluación Nivel AA'!C75,Hoja4!A7)+COUNTIF('4. Evaluación Nivel AA'!C97,Hoja4!A7)+COUNTIF('4. Evaluación Nivel AA'!C119,Hoja4!A7)+COUNTIF('4. Evaluación Nivel AA'!C141,Hoja4!A7)+COUNTIF('4. Evaluación Nivel AA'!C163,Hoja4!A7)+COUNTIF('4. Evaluación Nivel AA'!C185,Hoja4!A7)+COUNTIF('4. Evaluación Nivel AA'!C207,Hoja4!A7)+COUNTIF('4. Evaluación Nivel AA'!C229,Hoja4!A7)+COUNTIF('4. Evaluación Nivel AA'!C251,Hoja4!A7)+COUNTIF('4. Evaluación Nivel AA'!C273,Hoja4!A7),"")</f>
        <v/>
      </c>
      <c r="G45" s="55" t="str">
        <f>IF('2.Páginas de la muestra'!B5&gt;3,F45*100/'4.1 Gráficas y estadísticas AA'!B25,"")</f>
        <v/>
      </c>
      <c r="H45" s="56" t="str">
        <f>IF('2.Páginas de la muestra'!B5&gt;3,IF(ISERROR((B45*100)/('4.1 Gráficas y estadísticas AA'!B25-F45)),0,(B45*100)/('4.1 Gráficas y estadísticas AA'!B25-F45)),"")</f>
        <v/>
      </c>
      <c r="I45" s="56" t="str">
        <f>IF('2.Páginas de la muestra'!B5&gt;3,IF(ISERROR((D45*100)/('4.1 Gráficas y estadísticas AA'!B25-F45)),0,(D45*100)/('4.1 Gráficas y estadísticas AA'!B25-F45)),"")</f>
        <v/>
      </c>
      <c r="J45" s="26"/>
    </row>
    <row r="46" spans="1:10" ht="18.75" x14ac:dyDescent="0.3">
      <c r="A46" s="54" t="str">
        <f>'2.Páginas de la muestra'!C12</f>
        <v>Dashboard-Servicios</v>
      </c>
      <c r="B46" s="32" t="str">
        <f>IF('2.Páginas de la muestra'!B5&gt;4,COUNTIF('4. Evaluación Nivel AA'!C10,Hoja4!A5)+COUNTIF('4. Evaluación Nivel AA'!C32,Hoja4!A5)+COUNTIF('4. Evaluación Nivel AA'!C54,Hoja4!A5)+COUNTIF('4. Evaluación Nivel AA'!C76,Hoja4!A5)+COUNTIF('4. Evaluación Nivel AA'!C98,Hoja4!A5)+COUNTIF('4. Evaluación Nivel AA'!C120,Hoja4!A5)+COUNTIF('4. Evaluación Nivel AA'!C142,Hoja4!A5)+COUNTIF('4. Evaluación Nivel AA'!C164,Hoja4!A5)+COUNTIF('4. Evaluación Nivel AA'!C186,Hoja4!A5)+COUNTIF('4. Evaluación Nivel AA'!C208,Hoja4!A5)+COUNTIF('4. Evaluación Nivel AA'!C230,Hoja4!A5)+COUNTIF('4. Evaluación Nivel AA'!C252,Hoja4!A5)+COUNTIF('4. Evaluación Nivel AA'!C274,Hoja4!A5),"")</f>
        <v/>
      </c>
      <c r="C46" s="55" t="str">
        <f>IF('2.Páginas de la muestra'!B5&gt;4,B46*100/'4.1 Gráficas y estadísticas AA'!B25,"")</f>
        <v/>
      </c>
      <c r="D46" s="32" t="str">
        <f>IF('2.Páginas de la muestra'!B5&gt;4,COUNTIF('4. Evaluación Nivel AA'!C10,Hoja4!A6)+COUNTIF('4. Evaluación Nivel AA'!C32,Hoja4!A6)+COUNTIF('4. Evaluación Nivel AA'!C54,Hoja4!A6)+COUNTIF('4. Evaluación Nivel AA'!C76,Hoja4!A6)+COUNTIF('4. Evaluación Nivel AA'!C98,Hoja4!A6)+COUNTIF('4. Evaluación Nivel AA'!C120,Hoja4!A6)+COUNTIF('4. Evaluación Nivel AA'!C142,Hoja4!A6)+COUNTIF('4. Evaluación Nivel AA'!C164,Hoja4!A6)+COUNTIF('4. Evaluación Nivel AA'!C186,Hoja4!A6)+COUNTIF('4. Evaluación Nivel AA'!C208,Hoja4!A6)+COUNTIF('4. Evaluación Nivel AA'!C230,Hoja4!A6)+COUNTIF('4. Evaluación Nivel AA'!C252,Hoja4!A6)+COUNTIF('4. Evaluación Nivel AA'!C274,Hoja4!A6),"")</f>
        <v/>
      </c>
      <c r="E46" s="55" t="str">
        <f>IF('2.Páginas de la muestra'!B5&gt;4,D46*100/'4.1 Gráficas y estadísticas AA'!B25,"")</f>
        <v/>
      </c>
      <c r="F46" s="32" t="str">
        <f>IF('2.Páginas de la muestra'!B5&gt;4,COUNTIF('4. Evaluación Nivel AA'!C10,Hoja4!A7)+COUNTIF('4. Evaluación Nivel AA'!C32,Hoja4!A7)+COUNTIF('4. Evaluación Nivel AA'!C54,Hoja4!A7)+COUNTIF('4. Evaluación Nivel AA'!C76,Hoja4!A7)+COUNTIF('4. Evaluación Nivel AA'!C98,Hoja4!A7)+COUNTIF('4. Evaluación Nivel AA'!C120,Hoja4!A7)+COUNTIF('4. Evaluación Nivel AA'!C142,Hoja4!A7)+COUNTIF('4. Evaluación Nivel AA'!C164,Hoja4!A7)+COUNTIF('4. Evaluación Nivel AA'!C186,Hoja4!A7)+COUNTIF('4. Evaluación Nivel AA'!C208,Hoja4!A7)+COUNTIF('4. Evaluación Nivel AA'!C230,Hoja4!A7)+COUNTIF('4. Evaluación Nivel AA'!C252,Hoja4!A7)+COUNTIF('4. Evaluación Nivel AA'!C274,Hoja4!A7),"")</f>
        <v/>
      </c>
      <c r="G46" s="55" t="str">
        <f>IF('2.Páginas de la muestra'!B5&gt;4,F46*100/'4.1 Gráficas y estadísticas AA'!B25,"")</f>
        <v/>
      </c>
      <c r="H46" s="56" t="str">
        <f>IF('2.Páginas de la muestra'!B5&gt;4,IF(ISERROR((B46*100)/('4.1 Gráficas y estadísticas AA'!B25-F46)),0,(B46*100)/('4.1 Gráficas y estadísticas AA'!B25-F46)),"")</f>
        <v/>
      </c>
      <c r="I46" s="56" t="str">
        <f>IF('2.Páginas de la muestra'!B5&gt;4,IF(ISERROR((D46*100)/('4.1 Gráficas y estadísticas AA'!B25-F46)),0,(D46*100)/('4.1 Gráficas y estadísticas AA'!B25-F46)),"")</f>
        <v/>
      </c>
      <c r="J46" s="26"/>
    </row>
    <row r="47" spans="1:10" ht="18.75" x14ac:dyDescent="0.3">
      <c r="A47" s="54" t="str">
        <f>'2.Páginas de la muestra'!C13</f>
        <v>Dashboard-Reservas</v>
      </c>
      <c r="B47" s="32" t="str">
        <f>IF('2.Páginas de la muestra'!B5&gt;5,COUNTIF('4. Evaluación Nivel AA'!C11,Hoja4!A5)+COUNTIF('4. Evaluación Nivel AA'!C33,Hoja4!A5)+COUNTIF('4. Evaluación Nivel AA'!C55,Hoja4!A5)+COUNTIF('4. Evaluación Nivel AA'!C77,Hoja4!A5)+COUNTIF('4. Evaluación Nivel AA'!C99,Hoja4!A5)+COUNTIF('4. Evaluación Nivel AA'!C121,Hoja4!A5)+COUNTIF('4. Evaluación Nivel AA'!C143,Hoja4!A5)+COUNTIF('4. Evaluación Nivel AA'!C165,Hoja4!A5)+COUNTIF('4. Evaluación Nivel AA'!C187,Hoja4!A5)+COUNTIF('4. Evaluación Nivel AA'!C209,Hoja4!A5)+COUNTIF('4. Evaluación Nivel AA'!C231,Hoja4!A5)+COUNTIF('4. Evaluación Nivel AA'!C253,Hoja4!A5)+COUNTIF('4. Evaluación Nivel AA'!C275,Hoja4!A5),"")</f>
        <v/>
      </c>
      <c r="C47" s="55" t="str">
        <f>IF('2.Páginas de la muestra'!B5&gt;5,B47*100/'4.1 Gráficas y estadísticas AA'!B25,"")</f>
        <v/>
      </c>
      <c r="D47" s="32" t="str">
        <f>IF('2.Páginas de la muestra'!B5&gt;5,COUNTIF('4. Evaluación Nivel AA'!C11,Hoja4!A6)+COUNTIF('4. Evaluación Nivel AA'!C33,Hoja4!A6)+COUNTIF('4. Evaluación Nivel AA'!C55,Hoja4!A6)+COUNTIF('4. Evaluación Nivel AA'!C77,Hoja4!A6)+COUNTIF('4. Evaluación Nivel AA'!C99,Hoja4!A6)+COUNTIF('4. Evaluación Nivel AA'!C121,Hoja4!A6)+COUNTIF('4. Evaluación Nivel AA'!C143,Hoja4!A6)+COUNTIF('4. Evaluación Nivel AA'!C165,Hoja4!A6)+COUNTIF('4. Evaluación Nivel AA'!C187,Hoja4!A6)+COUNTIF('4. Evaluación Nivel AA'!C209,Hoja4!A6)+COUNTIF('4. Evaluación Nivel AA'!C231,Hoja4!A6)+COUNTIF('4. Evaluación Nivel AA'!C253,Hoja4!A6)+COUNTIF('4. Evaluación Nivel AA'!C275,Hoja4!A6),"")</f>
        <v/>
      </c>
      <c r="E47" s="55" t="str">
        <f>IF('2.Páginas de la muestra'!B5&gt;5,D47*100/'4.1 Gráficas y estadísticas AA'!B25,"")</f>
        <v/>
      </c>
      <c r="F47" s="32" t="str">
        <f>IF('2.Páginas de la muestra'!B5&gt;5,COUNTIF('4. Evaluación Nivel AA'!C11,Hoja4!A7)+COUNTIF('4. Evaluación Nivel AA'!C33,Hoja4!A7)+COUNTIF('4. Evaluación Nivel AA'!C55,Hoja4!A7)+COUNTIF('4. Evaluación Nivel AA'!C77,Hoja4!A7)+COUNTIF('4. Evaluación Nivel AA'!C99,Hoja4!A7)+COUNTIF('4. Evaluación Nivel AA'!C121,Hoja4!A7)+COUNTIF('4. Evaluación Nivel AA'!C143,Hoja4!A7)+COUNTIF('4. Evaluación Nivel AA'!C165,Hoja4!A7)+COUNTIF('4. Evaluación Nivel AA'!C187,Hoja4!A7)+COUNTIF('4. Evaluación Nivel AA'!C209,Hoja4!A7)+COUNTIF('4. Evaluación Nivel AA'!C231,Hoja4!A7)+COUNTIF('4. Evaluación Nivel AA'!C253,Hoja4!A7)+COUNTIF('4. Evaluación Nivel AA'!C275,Hoja4!A7),"")</f>
        <v/>
      </c>
      <c r="G47" s="55" t="str">
        <f>IF('2.Páginas de la muestra'!B5&gt;5,F47*100/'4.1 Gráficas y estadísticas AA'!B25,"")</f>
        <v/>
      </c>
      <c r="H47" s="56" t="str">
        <f>IF('2.Páginas de la muestra'!B5&gt;5,IF(ISERROR((B47*100)/('4.1 Gráficas y estadísticas AA'!B25-F47)),0,(B47*100)/('4.1 Gráficas y estadísticas AA'!B25-F47)),"")</f>
        <v/>
      </c>
      <c r="I47" s="56" t="str">
        <f>IF('2.Páginas de la muestra'!B5&gt;5,IF(ISERROR((D47*100)/('4.1 Gráficas y estadísticas AA'!B25-F47)),0,(D47*100)/('4.1 Gráficas y estadísticas AA'!B25-F47)),"")</f>
        <v/>
      </c>
      <c r="J47" s="26"/>
    </row>
    <row r="48" spans="1:10" ht="18.75" x14ac:dyDescent="0.3">
      <c r="A48" s="54" t="str">
        <f>'2.Páginas de la muestra'!C14</f>
        <v>Dashboard-Reservas-clientes</v>
      </c>
      <c r="B48" s="32" t="str">
        <f>IF('2.Páginas de la muestra'!B5&gt;6,COUNTIF('4. Evaluación Nivel AA'!C12,Hoja4!A5)+COUNTIF('4. Evaluación Nivel AA'!C34,Hoja4!A5)+COUNTIF('4. Evaluación Nivel AA'!C56,Hoja4!A5)+COUNTIF('4. Evaluación Nivel AA'!C78,Hoja4!A5)+COUNTIF('4. Evaluación Nivel AA'!C100,Hoja4!A5)+COUNTIF('4. Evaluación Nivel AA'!C122,Hoja4!A5)+COUNTIF('4. Evaluación Nivel AA'!C144,Hoja4!A5)+COUNTIF('4. Evaluación Nivel AA'!C166,Hoja4!A5)+COUNTIF('4. Evaluación Nivel AA'!C188,Hoja4!A5)+COUNTIF('4. Evaluación Nivel AA'!C210,Hoja4!A5)+COUNTIF('4. Evaluación Nivel AA'!C232,Hoja4!A5)+COUNTIF('4. Evaluación Nivel AA'!C254,Hoja4!A5)+COUNTIF('4. Evaluación Nivel AA'!C276,Hoja4!A5),"")</f>
        <v/>
      </c>
      <c r="C48" s="55" t="str">
        <f>IF('2.Páginas de la muestra'!B5&gt;6,B48*100/'4.1 Gráficas y estadísticas AA'!B25,"")</f>
        <v/>
      </c>
      <c r="D48" s="32" t="str">
        <f>IF('2.Páginas de la muestra'!B5&gt;6,COUNTIF('4. Evaluación Nivel AA'!C12,Hoja4!A6)+COUNTIF('4. Evaluación Nivel AA'!C34,Hoja4!A6)+COUNTIF('4. Evaluación Nivel AA'!C56,Hoja4!A6)+COUNTIF('4. Evaluación Nivel AA'!C78,Hoja4!A6)+COUNTIF('4. Evaluación Nivel AA'!C100,Hoja4!A6)+COUNTIF('4. Evaluación Nivel AA'!C122,Hoja4!A6)+COUNTIF('4. Evaluación Nivel AA'!C144,Hoja4!A6)+COUNTIF('4. Evaluación Nivel AA'!C166,Hoja4!A6)+COUNTIF('4. Evaluación Nivel AA'!C188,Hoja4!A6)+COUNTIF('4. Evaluación Nivel AA'!C210,Hoja4!A6)+COUNTIF('4. Evaluación Nivel AA'!C232,Hoja4!A6)+COUNTIF('4. Evaluación Nivel AA'!C254,Hoja4!A6)+COUNTIF('4. Evaluación Nivel AA'!C276,Hoja4!A6),"")</f>
        <v/>
      </c>
      <c r="E48" s="55" t="str">
        <f>IF('2.Páginas de la muestra'!B5&gt;6,D48*100/'4.1 Gráficas y estadísticas AA'!B25,"")</f>
        <v/>
      </c>
      <c r="F48" s="32" t="str">
        <f>IF('2.Páginas de la muestra'!B5&gt;6,COUNTIF('4. Evaluación Nivel AA'!C12,Hoja4!A7)+COUNTIF('4. Evaluación Nivel AA'!C34,Hoja4!A7)+COUNTIF('4. Evaluación Nivel AA'!C56,Hoja4!A7)+COUNTIF('4. Evaluación Nivel AA'!C78,Hoja4!A7)+COUNTIF('4. Evaluación Nivel AA'!C100,Hoja4!A7)+COUNTIF('4. Evaluación Nivel AA'!C122,Hoja4!A7)+COUNTIF('4. Evaluación Nivel AA'!C144,Hoja4!A7)+COUNTIF('4. Evaluación Nivel AA'!C166,Hoja4!A7)+COUNTIF('4. Evaluación Nivel AA'!C188,Hoja4!A7)+COUNTIF('4. Evaluación Nivel AA'!C210,Hoja4!A7)+COUNTIF('4. Evaluación Nivel AA'!C232,Hoja4!A7)+COUNTIF('4. Evaluación Nivel AA'!C254,Hoja4!A7)+COUNTIF('4. Evaluación Nivel AA'!C276,Hoja4!A7),"")</f>
        <v/>
      </c>
      <c r="G48" s="55" t="str">
        <f>IF('2.Páginas de la muestra'!B5&gt;6,F48*100/'4.1 Gráficas y estadísticas AA'!B25,"")</f>
        <v/>
      </c>
      <c r="H48" s="56" t="str">
        <f>IF('2.Páginas de la muestra'!B5&gt;6,IF(ISERROR((B48*100)/('4.1 Gráficas y estadísticas AA'!B25-F48)),0,(B48*100)/('4.1 Gráficas y estadísticas AA'!B25-F48)),"")</f>
        <v/>
      </c>
      <c r="I48" s="56" t="str">
        <f>IF('2.Páginas de la muestra'!B5&gt;6,IF(ISERROR((D48*100)/('4.1 Gráficas y estadísticas AA'!B25-F48)),0,(D48*100)/('4.1 Gráficas y estadísticas AA'!B25-F48)),"")</f>
        <v/>
      </c>
      <c r="J48" s="26"/>
    </row>
    <row r="49" spans="1:10" ht="18.75" x14ac:dyDescent="0.3">
      <c r="A49" s="54" t="str">
        <f>'2.Páginas de la muestra'!C15</f>
        <v>ALIAS 8</v>
      </c>
      <c r="B49" s="32" t="str">
        <f>IF('2.Páginas de la muestra'!B5&gt;7,COUNTIF('4. Evaluación Nivel AA'!C13,Hoja4!A5)+COUNTIF('4. Evaluación Nivel AA'!C35,Hoja4!A5)+COUNTIF('4. Evaluación Nivel AA'!C57,Hoja4!A5)+COUNTIF('4. Evaluación Nivel AA'!C79,Hoja4!A5)+COUNTIF('4. Evaluación Nivel AA'!C101,Hoja4!A5)+COUNTIF('4. Evaluación Nivel AA'!C123,Hoja4!A5)+COUNTIF('4. Evaluación Nivel AA'!C145,Hoja4!A5)+COUNTIF('4. Evaluación Nivel AA'!C167,Hoja4!A5)+COUNTIF('4. Evaluación Nivel AA'!C189,Hoja4!A5)+COUNTIF('4. Evaluación Nivel AA'!C211,Hoja4!A5)+COUNTIF('4. Evaluación Nivel AA'!C233,Hoja4!A5)+COUNTIF('4. Evaluación Nivel AA'!C255,Hoja4!A5)+COUNTIF('4. Evaluación Nivel AA'!C277,Hoja4!A5),"")</f>
        <v/>
      </c>
      <c r="C49" s="55" t="str">
        <f>IF('2.Páginas de la muestra'!B5&gt;7,B49*100/'4.1 Gráficas y estadísticas AA'!B25,"")</f>
        <v/>
      </c>
      <c r="D49" s="32" t="str">
        <f>IF('2.Páginas de la muestra'!B5&gt;7,COUNTIF('4. Evaluación Nivel AA'!C13,Hoja4!A6)+COUNTIF('4. Evaluación Nivel AA'!C35,Hoja4!A6)+COUNTIF('4. Evaluación Nivel AA'!C57,Hoja4!A6)+COUNTIF('4. Evaluación Nivel AA'!C79,Hoja4!A6)+COUNTIF('4. Evaluación Nivel AA'!C101,Hoja4!A6)+COUNTIF('4. Evaluación Nivel AA'!C123,Hoja4!A6)+COUNTIF('4. Evaluación Nivel AA'!C145,Hoja4!A6)+COUNTIF('4. Evaluación Nivel AA'!C167,Hoja4!A6)+COUNTIF('4. Evaluación Nivel AA'!C189,Hoja4!A6)+COUNTIF('4. Evaluación Nivel AA'!C211,Hoja4!A6)+COUNTIF('4. Evaluación Nivel AA'!C233,Hoja4!A6)+COUNTIF('4. Evaluación Nivel AA'!C255,Hoja4!A6)+COUNTIF('4. Evaluación Nivel AA'!C277,Hoja4!A6),"")</f>
        <v/>
      </c>
      <c r="E49" s="55" t="str">
        <f>IF('2.Páginas de la muestra'!B5&gt;7,D49*100/'4.1 Gráficas y estadísticas AA'!B25,"")</f>
        <v/>
      </c>
      <c r="F49" s="32" t="str">
        <f>IF('2.Páginas de la muestra'!B5&gt;7,COUNTIF('4. Evaluación Nivel AA'!C13,Hoja4!A7)+COUNTIF('4. Evaluación Nivel AA'!C35,Hoja4!A7)+COUNTIF('4. Evaluación Nivel AA'!C57,Hoja4!A7)+COUNTIF('4. Evaluación Nivel AA'!C79,Hoja4!A7)+COUNTIF('4. Evaluación Nivel AA'!C101,Hoja4!A7)+COUNTIF('4. Evaluación Nivel AA'!C123,Hoja4!A7)+COUNTIF('4. Evaluación Nivel AA'!C145,Hoja4!A7)+COUNTIF('4. Evaluación Nivel AA'!C167,Hoja4!A7)+COUNTIF('4. Evaluación Nivel AA'!C189,Hoja4!A7)+COUNTIF('4. Evaluación Nivel AA'!C211,Hoja4!A7)+COUNTIF('4. Evaluación Nivel AA'!C233,Hoja4!A7)+COUNTIF('4. Evaluación Nivel AA'!C255,Hoja4!A7)+COUNTIF('4. Evaluación Nivel AA'!C277,Hoja4!A7),"")</f>
        <v/>
      </c>
      <c r="G49" s="55" t="str">
        <f>IF('2.Páginas de la muestra'!B5&gt;7,F49*100/'4.1 Gráficas y estadísticas AA'!B25,"")</f>
        <v/>
      </c>
      <c r="H49" s="56" t="str">
        <f>IF('2.Páginas de la muestra'!B5&gt;7,IF(ISERROR((B49*100)/('4.1 Gráficas y estadísticas AA'!B25-F49)),0,(B49*100)/('4.1 Gráficas y estadísticas AA'!B25-F49)),"")</f>
        <v/>
      </c>
      <c r="I49" s="56" t="str">
        <f>IF('2.Páginas de la muestra'!B5&gt;7,IF(ISERROR((D49*100)/('4.1 Gráficas y estadísticas AA'!B25-F49)),0,(D49*100)/('4.1 Gráficas y estadísticas AA'!B25-F49)),"")</f>
        <v/>
      </c>
      <c r="J49" s="26"/>
    </row>
    <row r="50" spans="1:10" ht="18.75" x14ac:dyDescent="0.3">
      <c r="A50" s="54" t="str">
        <f>'2.Páginas de la muestra'!C16</f>
        <v>ALIAS 9</v>
      </c>
      <c r="B50" s="32" t="str">
        <f>IF('2.Páginas de la muestra'!B5&gt;8,COUNTIF('4. Evaluación Nivel AA'!C14,Hoja4!A5)+COUNTIF('4. Evaluación Nivel AA'!C36,Hoja4!A5)+COUNTIF('4. Evaluación Nivel AA'!C58,Hoja4!A5)+COUNTIF('4. Evaluación Nivel AA'!C80,Hoja4!A5)+COUNTIF('4. Evaluación Nivel AA'!C102,Hoja4!A5)+COUNTIF('4. Evaluación Nivel AA'!C124,Hoja4!A5)+COUNTIF('4. Evaluación Nivel AA'!C146,Hoja4!A5)+COUNTIF('4. Evaluación Nivel AA'!C168,Hoja4!A5)+COUNTIF('4. Evaluación Nivel AA'!C190,Hoja4!A5)+COUNTIF('4. Evaluación Nivel AA'!C212,Hoja4!A5)+COUNTIF('4. Evaluación Nivel AA'!C234,Hoja4!A5)+COUNTIF('4. Evaluación Nivel AA'!C256,Hoja4!A5)+COUNTIF('4. Evaluación Nivel AA'!C278,Hoja4!A5),"")</f>
        <v/>
      </c>
      <c r="C50" s="55" t="str">
        <f>IF('2.Páginas de la muestra'!B5&gt;8,B50*100/'4.1 Gráficas y estadísticas AA'!B25,"")</f>
        <v/>
      </c>
      <c r="D50" s="32" t="str">
        <f>IF('2.Páginas de la muestra'!B5&gt;8,COUNTIF('4. Evaluación Nivel AA'!C14,Hoja4!A6)+COUNTIF('4. Evaluación Nivel AA'!C36,Hoja4!A6)+COUNTIF('4. Evaluación Nivel AA'!C58,Hoja4!A6)+COUNTIF('4. Evaluación Nivel AA'!C80,Hoja4!A6)+COUNTIF('4. Evaluación Nivel AA'!C102,Hoja4!A6)+COUNTIF('4. Evaluación Nivel AA'!C124,Hoja4!A6)+COUNTIF('4. Evaluación Nivel AA'!C146,Hoja4!A6)+COUNTIF('4. Evaluación Nivel AA'!C168,Hoja4!A6)+COUNTIF('4. Evaluación Nivel AA'!C190,Hoja4!A6)+COUNTIF('4. Evaluación Nivel AA'!C212,Hoja4!A6)+COUNTIF('4. Evaluación Nivel AA'!C234,Hoja4!A6)+COUNTIF('4. Evaluación Nivel AA'!C256,Hoja4!A6)+COUNTIF('4. Evaluación Nivel AA'!C278,Hoja4!A6),"")</f>
        <v/>
      </c>
      <c r="E50" s="55" t="str">
        <f>IF('2.Páginas de la muestra'!B5&gt;8,D50*100/'4.1 Gráficas y estadísticas AA'!B25,"")</f>
        <v/>
      </c>
      <c r="F50" s="32" t="str">
        <f>IF('2.Páginas de la muestra'!B5&gt;8,COUNTIF('4. Evaluación Nivel AA'!C14,Hoja4!A7)+COUNTIF('4. Evaluación Nivel AA'!C36,Hoja4!A7)+COUNTIF('4. Evaluación Nivel AA'!C58,Hoja4!A7)+COUNTIF('4. Evaluación Nivel AA'!C80,Hoja4!A7)+COUNTIF('4. Evaluación Nivel AA'!C102,Hoja4!A7)+COUNTIF('4. Evaluación Nivel AA'!C124,Hoja4!A7)+COUNTIF('4. Evaluación Nivel AA'!C146,Hoja4!A7)+COUNTIF('4. Evaluación Nivel AA'!C168,Hoja4!A7)+COUNTIF('4. Evaluación Nivel AA'!C190,Hoja4!A7)+COUNTIF('4. Evaluación Nivel AA'!C212,Hoja4!A7)+COUNTIF('4. Evaluación Nivel AA'!C234,Hoja4!A7)+COUNTIF('4. Evaluación Nivel AA'!C256,Hoja4!A7)+COUNTIF('4. Evaluación Nivel AA'!C278,Hoja4!A7),"")</f>
        <v/>
      </c>
      <c r="G50" s="55" t="str">
        <f>IF('2.Páginas de la muestra'!B5&gt;8,F50*100/'4.1 Gráficas y estadísticas AA'!B25,"")</f>
        <v/>
      </c>
      <c r="H50" s="56" t="str">
        <f>IF('2.Páginas de la muestra'!B5&gt;8,IF(ISERROR((B50*100)/('4.1 Gráficas y estadísticas AA'!B25-F50)),0,(B50*100)/('4.1 Gráficas y estadísticas AA'!B25-F50)),"")</f>
        <v/>
      </c>
      <c r="I50" s="56" t="str">
        <f>IF('2.Páginas de la muestra'!B5&gt;8,IF(ISERROR((D50*100)/('4.1 Gráficas y estadísticas AA'!B25-F50)),0,(D50*100)/('4.1 Gráficas y estadísticas AA'!B25-F50)),"")</f>
        <v/>
      </c>
      <c r="J50" s="26"/>
    </row>
    <row r="51" spans="1:10" ht="18.75" x14ac:dyDescent="0.3">
      <c r="A51" s="54" t="str">
        <f>'2.Páginas de la muestra'!C17</f>
        <v>ALIAS 10</v>
      </c>
      <c r="B51" s="32" t="str">
        <f>IF('2.Páginas de la muestra'!B5&gt;9,COUNTIF('4. Evaluación Nivel AA'!C15,Hoja4!A5)+COUNTIF('4. Evaluación Nivel AA'!C37,Hoja4!A5)+COUNTIF('4. Evaluación Nivel AA'!C59,Hoja4!A5)+COUNTIF('4. Evaluación Nivel AA'!C81,Hoja4!A5)+COUNTIF('4. Evaluación Nivel AA'!C103,Hoja4!A5)+COUNTIF('4. Evaluación Nivel AA'!C125,Hoja4!A5)+COUNTIF('4. Evaluación Nivel AA'!C147,Hoja4!A5)+COUNTIF('4. Evaluación Nivel AA'!C169,Hoja4!A5)+COUNTIF('4. Evaluación Nivel AA'!C191,Hoja4!A5)+COUNTIF('4. Evaluación Nivel AA'!C213,Hoja4!A5)+COUNTIF('4. Evaluación Nivel AA'!C235,Hoja4!A5)+COUNTIF('4. Evaluación Nivel AA'!C257,Hoja4!A5)+COUNTIF('4. Evaluación Nivel AA'!C279,Hoja4!A5),"")</f>
        <v/>
      </c>
      <c r="C51" s="55" t="str">
        <f>IF('2.Páginas de la muestra'!B5&gt;9,B51*100/'4.1 Gráficas y estadísticas AA'!B25,"")</f>
        <v/>
      </c>
      <c r="D51" s="32" t="str">
        <f>IF('2.Páginas de la muestra'!B5&gt;9,COUNTIF('4. Evaluación Nivel AA'!C15,Hoja4!A6)+COUNTIF('4. Evaluación Nivel AA'!C37,Hoja4!A6)+COUNTIF('4. Evaluación Nivel AA'!C59,Hoja4!A6)+COUNTIF('4. Evaluación Nivel AA'!C81,Hoja4!A6)+COUNTIF('4. Evaluación Nivel AA'!C103,Hoja4!A6)+COUNTIF('4. Evaluación Nivel AA'!C125,Hoja4!A6)+COUNTIF('4. Evaluación Nivel AA'!C147,Hoja4!A6)+COUNTIF('4. Evaluación Nivel AA'!C169,Hoja4!A6)+COUNTIF('4. Evaluación Nivel AA'!C191,Hoja4!A6)+COUNTIF('4. Evaluación Nivel AA'!C213,Hoja4!A6)+COUNTIF('4. Evaluación Nivel AA'!C235,Hoja4!A6)+COUNTIF('4. Evaluación Nivel AA'!C257,Hoja4!A6)+COUNTIF('4. Evaluación Nivel AA'!C279,Hoja4!A6),"")</f>
        <v/>
      </c>
      <c r="E51" s="55" t="str">
        <f>IF('2.Páginas de la muestra'!B5&gt;9,D51*100/'4.1 Gráficas y estadísticas AA'!B25,"")</f>
        <v/>
      </c>
      <c r="F51" s="32" t="str">
        <f>IF('2.Páginas de la muestra'!B5&gt;9,COUNTIF('4. Evaluación Nivel AA'!C15,Hoja4!A7)+COUNTIF('4. Evaluación Nivel AA'!C37,Hoja4!A7)+COUNTIF('4. Evaluación Nivel AA'!C59,Hoja4!A7)+COUNTIF('4. Evaluación Nivel AA'!C81,Hoja4!A7)+COUNTIF('4. Evaluación Nivel AA'!C103,Hoja4!A7)+COUNTIF('4. Evaluación Nivel AA'!C125,Hoja4!A7)+COUNTIF('4. Evaluación Nivel AA'!C147,Hoja4!A7)+COUNTIF('4. Evaluación Nivel AA'!C169,Hoja4!A7)+COUNTIF('4. Evaluación Nivel AA'!C191,Hoja4!A7)+COUNTIF('4. Evaluación Nivel AA'!C213,Hoja4!A7)+COUNTIF('4. Evaluación Nivel AA'!C235,Hoja4!A7)+COUNTIF('4. Evaluación Nivel AA'!C257,Hoja4!A7)+COUNTIF('4. Evaluación Nivel AA'!C279,Hoja4!A7),"")</f>
        <v/>
      </c>
      <c r="G51" s="55" t="str">
        <f>IF('2.Páginas de la muestra'!B5&gt;9,F51*100/'4.1 Gráficas y estadísticas AA'!B25,"")</f>
        <v/>
      </c>
      <c r="H51" s="56" t="str">
        <f>IF('2.Páginas de la muestra'!B5&gt;9,IF(ISERROR((B51*100)/('4.1 Gráficas y estadísticas AA'!B25-F51)),0,(B51*100)/('4.1 Gráficas y estadísticas AA'!B25-F51)),"")</f>
        <v/>
      </c>
      <c r="I51" s="56" t="str">
        <f>IF('2.Páginas de la muestra'!B5&gt;9,IF(ISERROR((D51*100)/('4.1 Gráficas y estadísticas AA'!B25-F51)),0,(D51*100)/('4.1 Gráficas y estadísticas AA'!B25-F51)),"")</f>
        <v/>
      </c>
      <c r="J51" s="26"/>
    </row>
    <row r="52" spans="1:10" ht="18.75" x14ac:dyDescent="0.3">
      <c r="A52" s="54" t="str">
        <f>'2.Páginas de la muestra'!C18</f>
        <v>ALIAS 11</v>
      </c>
      <c r="B52" s="32" t="str">
        <f>IF('2.Páginas de la muestra'!B5&gt;10,COUNTIF('4. Evaluación Nivel AA'!C16,Hoja4!A5)+COUNTIF('4. Evaluación Nivel AA'!C38,Hoja4!A5)+COUNTIF('4. Evaluación Nivel AA'!C60,Hoja4!A5)+COUNTIF('4. Evaluación Nivel AA'!C82,Hoja4!A5)+COUNTIF('4. Evaluación Nivel AA'!C104,Hoja4!A5)+COUNTIF('4. Evaluación Nivel AA'!C126,Hoja4!A5)+COUNTIF('4. Evaluación Nivel AA'!C148,Hoja4!A5)+COUNTIF('4. Evaluación Nivel AA'!C170,Hoja4!A5)+COUNTIF('4. Evaluación Nivel AA'!C192,Hoja4!A5)+COUNTIF('4. Evaluación Nivel AA'!C214,Hoja4!A5)+COUNTIF('4. Evaluación Nivel AA'!C236,Hoja4!A5)+COUNTIF('4. Evaluación Nivel AA'!C258,Hoja4!A5)+COUNTIF('4. Evaluación Nivel AA'!C280,Hoja4!A5),"")</f>
        <v/>
      </c>
      <c r="C52" s="55" t="str">
        <f>IF('2.Páginas de la muestra'!B5&gt;10,B52*100/'4.1 Gráficas y estadísticas AA'!B25,"")</f>
        <v/>
      </c>
      <c r="D52" s="32" t="str">
        <f>IF('2.Páginas de la muestra'!B5&gt;10,COUNTIF('4. Evaluación Nivel AA'!C16,Hoja4!A6)+COUNTIF('4. Evaluación Nivel AA'!C38,Hoja4!A6)+COUNTIF('4. Evaluación Nivel AA'!C60,Hoja4!A6)+COUNTIF('4. Evaluación Nivel AA'!C82,Hoja4!A6)+COUNTIF('4. Evaluación Nivel AA'!C104,Hoja4!A6)+COUNTIF('4. Evaluación Nivel AA'!C126,Hoja4!A6)+COUNTIF('4. Evaluación Nivel AA'!C148,Hoja4!A6)+COUNTIF('4. Evaluación Nivel AA'!C170,Hoja4!A6)+COUNTIF('4. Evaluación Nivel AA'!C192,Hoja4!A6)+COUNTIF('4. Evaluación Nivel AA'!C214,Hoja4!A6)+COUNTIF('4. Evaluación Nivel AA'!C236,Hoja4!A6)+COUNTIF('4. Evaluación Nivel AA'!C258,Hoja4!A6)+COUNTIF('4. Evaluación Nivel AA'!C280,Hoja4!A6),"")</f>
        <v/>
      </c>
      <c r="E52" s="55" t="str">
        <f>IF('2.Páginas de la muestra'!B5&gt;10,D52*100/'4.1 Gráficas y estadísticas AA'!B25,"")</f>
        <v/>
      </c>
      <c r="F52" s="32" t="str">
        <f>IF('2.Páginas de la muestra'!B5&gt;10,COUNTIF('4. Evaluación Nivel AA'!C16,Hoja4!A7)+COUNTIF('4. Evaluación Nivel AA'!C38,Hoja4!A7)+COUNTIF('4. Evaluación Nivel AA'!C60,Hoja4!A7)+COUNTIF('4. Evaluación Nivel AA'!C82,Hoja4!A7)+COUNTIF('4. Evaluación Nivel AA'!C104,Hoja4!A7)+COUNTIF('4. Evaluación Nivel AA'!C126,Hoja4!A7)+COUNTIF('4. Evaluación Nivel AA'!C148,Hoja4!A7)+COUNTIF('4. Evaluación Nivel AA'!C170,Hoja4!A7)+COUNTIF('4. Evaluación Nivel AA'!C192,Hoja4!A7)+COUNTIF('4. Evaluación Nivel AA'!C214,Hoja4!A7)+COUNTIF('4. Evaluación Nivel AA'!C236,Hoja4!A7)+COUNTIF('4. Evaluación Nivel AA'!C258,Hoja4!A7)+COUNTIF('4. Evaluación Nivel AA'!C280,Hoja4!A7),"")</f>
        <v/>
      </c>
      <c r="G52" s="55" t="str">
        <f>IF('2.Páginas de la muestra'!B5&gt;10,F52*100/'4.1 Gráficas y estadísticas AA'!B25,"")</f>
        <v/>
      </c>
      <c r="H52" s="56" t="str">
        <f>IF('2.Páginas de la muestra'!B5&gt;10,IF(ISERROR((B52*100)/('4.1 Gráficas y estadísticas AA'!B25-F52)),0,(B52*100)/('4.1 Gráficas y estadísticas AA'!B25-F52)),"")</f>
        <v/>
      </c>
      <c r="I52" s="56" t="str">
        <f>IF('2.Páginas de la muestra'!B5&gt;10,IF(ISERROR((D52*100)/('4.1 Gráficas y estadísticas AA'!B25-F52)),0,(D52*100)/('4.1 Gráficas y estadísticas AA'!B25-F52)),"")</f>
        <v/>
      </c>
      <c r="J52" s="26"/>
    </row>
    <row r="53" spans="1:10" ht="18.75" x14ac:dyDescent="0.3">
      <c r="A53" s="54" t="str">
        <f>'2.Páginas de la muestra'!C19</f>
        <v>ALIAS 12</v>
      </c>
      <c r="B53" s="32" t="str">
        <f>IF('2.Páginas de la muestra'!B5&gt;11,COUNTIF('4. Evaluación Nivel AA'!C17,Hoja4!A5)+COUNTIF('4. Evaluación Nivel AA'!C39,Hoja4!A5)+COUNTIF('4. Evaluación Nivel AA'!C61,Hoja4!A5)+COUNTIF('4. Evaluación Nivel AA'!C83,Hoja4!A5)+COUNTIF('4. Evaluación Nivel AA'!C105,Hoja4!A5)+COUNTIF('4. Evaluación Nivel AA'!C127,Hoja4!A5)+COUNTIF('4. Evaluación Nivel AA'!C149,Hoja4!A5)+COUNTIF('4. Evaluación Nivel AA'!C171,Hoja4!A5)+COUNTIF('4. Evaluación Nivel AA'!C193,Hoja4!A5)+COUNTIF('4. Evaluación Nivel AA'!C215,Hoja4!A5)+COUNTIF('4. Evaluación Nivel AA'!C237,Hoja4!A5)+COUNTIF('4. Evaluación Nivel AA'!C259,Hoja4!A5)+COUNTIF('4. Evaluación Nivel AA'!C281,Hoja4!A5),"")</f>
        <v/>
      </c>
      <c r="C53" s="55" t="str">
        <f>IF('2.Páginas de la muestra'!B5&gt;11,B53*100/'4.1 Gráficas y estadísticas AA'!B25,"")</f>
        <v/>
      </c>
      <c r="D53" s="32" t="str">
        <f>IF('2.Páginas de la muestra'!B5&gt;11,COUNTIF('4. Evaluación Nivel AA'!C17,Hoja4!A6)+COUNTIF('4. Evaluación Nivel AA'!C39,Hoja4!A6)+COUNTIF('4. Evaluación Nivel AA'!C61,Hoja4!A6)+COUNTIF('4. Evaluación Nivel AA'!C83,Hoja4!A6)+COUNTIF('4. Evaluación Nivel AA'!C105,Hoja4!A6)+COUNTIF('4. Evaluación Nivel AA'!C127,Hoja4!A6)+COUNTIF('4. Evaluación Nivel AA'!C149,Hoja4!A6)+COUNTIF('4. Evaluación Nivel AA'!C171,Hoja4!A6)+COUNTIF('4. Evaluación Nivel AA'!C193,Hoja4!A6)+COUNTIF('4. Evaluación Nivel AA'!C215,Hoja4!A6)+COUNTIF('4. Evaluación Nivel AA'!C237,Hoja4!A6)+COUNTIF('4. Evaluación Nivel AA'!C259,Hoja4!A6)+COUNTIF('4. Evaluación Nivel AA'!C281,Hoja4!A6),"")</f>
        <v/>
      </c>
      <c r="E53" s="55" t="str">
        <f>IF('2.Páginas de la muestra'!B5&gt;11,D53*100/'4.1 Gráficas y estadísticas AA'!B25,"")</f>
        <v/>
      </c>
      <c r="F53" s="32" t="str">
        <f>IF('2.Páginas de la muestra'!B5&gt;11,COUNTIF('4. Evaluación Nivel AA'!C17,Hoja4!A7)+COUNTIF('4. Evaluación Nivel AA'!C39,Hoja4!A7)+COUNTIF('4. Evaluación Nivel AA'!C61,Hoja4!A7)+COUNTIF('4. Evaluación Nivel AA'!C83,Hoja4!A7)+COUNTIF('4. Evaluación Nivel AA'!C105,Hoja4!A7)+COUNTIF('4. Evaluación Nivel AA'!C127,Hoja4!A7)+COUNTIF('4. Evaluación Nivel AA'!C149,Hoja4!A7)+COUNTIF('4. Evaluación Nivel AA'!C171,Hoja4!A7)+COUNTIF('4. Evaluación Nivel AA'!C193,Hoja4!A7)+COUNTIF('4. Evaluación Nivel AA'!C215,Hoja4!A7)+COUNTIF('4. Evaluación Nivel AA'!C237,Hoja4!A7)+COUNTIF('4. Evaluación Nivel AA'!C259,Hoja4!A7)+COUNTIF('4. Evaluación Nivel AA'!C281,Hoja4!A7),"")</f>
        <v/>
      </c>
      <c r="G53" s="55" t="str">
        <f>IF('2.Páginas de la muestra'!B5&gt;11,F53*100/'4.1 Gráficas y estadísticas AA'!B25,"")</f>
        <v/>
      </c>
      <c r="H53" s="56" t="str">
        <f>IF('2.Páginas de la muestra'!B5&gt;11,IF(ISERROR((B53*100)/('4.1 Gráficas y estadísticas AA'!B25-F53)),0,(B53*100)/('4.1 Gráficas y estadísticas AA'!B25-F53)),"")</f>
        <v/>
      </c>
      <c r="I53" s="56" t="str">
        <f>IF('2.Páginas de la muestra'!B5&gt;11,IF(ISERROR((D53*100)/('4.1 Gráficas y estadísticas AA'!B25-F53)),0,(D53*100)/('4.1 Gráficas y estadísticas AA'!B25-F53)),"")</f>
        <v/>
      </c>
      <c r="J53" s="26"/>
    </row>
    <row r="54" spans="1:10" ht="18.75" x14ac:dyDescent="0.3">
      <c r="A54" s="54" t="str">
        <f>'2.Páginas de la muestra'!C20</f>
        <v>ALIAS 13</v>
      </c>
      <c r="B54" s="32" t="str">
        <f>IF('2.Páginas de la muestra'!B5&gt;12,COUNTIF('4. Evaluación Nivel AA'!C18,Hoja4!A5)+COUNTIF('4. Evaluación Nivel AA'!C40,Hoja4!A5)+COUNTIF('4. Evaluación Nivel AA'!C62,Hoja4!A5)+COUNTIF('4. Evaluación Nivel AA'!C84,Hoja4!A5)+COUNTIF('4. Evaluación Nivel AA'!C106,Hoja4!A5)+COUNTIF('4. Evaluación Nivel AA'!C128,Hoja4!A5)+COUNTIF('4. Evaluación Nivel AA'!C150,Hoja4!A5)+COUNTIF('4. Evaluación Nivel AA'!C172,Hoja4!A5)+COUNTIF('4. Evaluación Nivel AA'!C194,Hoja4!A5)+COUNTIF('4. Evaluación Nivel AA'!C216,Hoja4!A5)+COUNTIF('4. Evaluación Nivel AA'!C238,Hoja4!A5)+COUNTIF('4. Evaluación Nivel AA'!C260,Hoja4!A5)+COUNTIF('4. Evaluación Nivel AA'!C282,Hoja4!A5),"")</f>
        <v/>
      </c>
      <c r="C54" s="55" t="str">
        <f>IF('2.Páginas de la muestra'!B5&gt;12,B54*100/'4.1 Gráficas y estadísticas AA'!B25,"")</f>
        <v/>
      </c>
      <c r="D54" s="32" t="str">
        <f>IF('2.Páginas de la muestra'!B5&gt;12,COUNTIF('4. Evaluación Nivel AA'!C18,Hoja4!A6)+COUNTIF('4. Evaluación Nivel AA'!C40,Hoja4!A6)+COUNTIF('4. Evaluación Nivel AA'!C62,Hoja4!A6)+COUNTIF('4. Evaluación Nivel AA'!C84,Hoja4!A6)+COUNTIF('4. Evaluación Nivel AA'!C106,Hoja4!A6)+COUNTIF('4. Evaluación Nivel AA'!C128,Hoja4!A6)+COUNTIF('4. Evaluación Nivel AA'!C150,Hoja4!A6)+COUNTIF('4. Evaluación Nivel AA'!C172,Hoja4!A6)+COUNTIF('4. Evaluación Nivel AA'!C194,Hoja4!A6)+COUNTIF('4. Evaluación Nivel AA'!C216,Hoja4!A6)+COUNTIF('4. Evaluación Nivel AA'!C238,Hoja4!A6)+COUNTIF('4. Evaluación Nivel AA'!C260,Hoja4!A6)+COUNTIF('4. Evaluación Nivel AA'!C282,Hoja4!A6),"")</f>
        <v/>
      </c>
      <c r="E54" s="55" t="str">
        <f>IF('2.Páginas de la muestra'!B5&gt;12,D54*100/'4.1 Gráficas y estadísticas AA'!B25,"")</f>
        <v/>
      </c>
      <c r="F54" s="32" t="str">
        <f>IF('2.Páginas de la muestra'!B5&gt;12,COUNTIF('4. Evaluación Nivel AA'!C18,Hoja4!A7)+COUNTIF('4. Evaluación Nivel AA'!C40,Hoja4!A7)+COUNTIF('4. Evaluación Nivel AA'!C62,Hoja4!A7)+COUNTIF('4. Evaluación Nivel AA'!C84,Hoja4!A7)+COUNTIF('4. Evaluación Nivel AA'!C106,Hoja4!A7)+COUNTIF('4. Evaluación Nivel AA'!C128,Hoja4!A7)+COUNTIF('4. Evaluación Nivel AA'!C150,Hoja4!A7)+COUNTIF('4. Evaluación Nivel AA'!C172,Hoja4!A7)+COUNTIF('4. Evaluación Nivel AA'!C194,Hoja4!A7)+COUNTIF('4. Evaluación Nivel AA'!C216,Hoja4!A7)+COUNTIF('4. Evaluación Nivel AA'!C238,Hoja4!A7)+COUNTIF('4. Evaluación Nivel AA'!C260,Hoja4!A7)+COUNTIF('4. Evaluación Nivel AA'!C282,Hoja4!A7),"")</f>
        <v/>
      </c>
      <c r="G54" s="55" t="str">
        <f>IF('2.Páginas de la muestra'!B5&gt;12,F54*100/'4.1 Gráficas y estadísticas AA'!B25,"")</f>
        <v/>
      </c>
      <c r="H54" s="56" t="str">
        <f>IF('2.Páginas de la muestra'!B5&gt;12,IF(ISERROR((B54*100)/('4.1 Gráficas y estadísticas AA'!B25-F54)),0,(B54*100)/('4.1 Gráficas y estadísticas AA'!B25-F54)),"")</f>
        <v/>
      </c>
      <c r="I54" s="56" t="str">
        <f>IF('2.Páginas de la muestra'!B5&gt;12,IF(ISERROR((D54*100)/('4.1 Gráficas y estadísticas AA'!B25-F54)),0,(D54*100)/('4.1 Gráficas y estadísticas AA'!B25-F54)),"")</f>
        <v/>
      </c>
      <c r="J54" s="26"/>
    </row>
    <row r="55" spans="1:10" ht="18.75" x14ac:dyDescent="0.3">
      <c r="A55" s="54" t="str">
        <f>'2.Páginas de la muestra'!C21</f>
        <v>ALIAS 14</v>
      </c>
      <c r="B55" s="32" t="str">
        <f>IF('2.Páginas de la muestra'!B5&gt;13,COUNTIF('4. Evaluación Nivel AA'!C19,Hoja4!A5)+COUNTIF('4. Evaluación Nivel AA'!C41,Hoja4!A5)+COUNTIF('4. Evaluación Nivel AA'!C63,Hoja4!A5)+COUNTIF('4. Evaluación Nivel AA'!C85,Hoja4!A5)+COUNTIF('4. Evaluación Nivel AA'!C107,Hoja4!A5)+COUNTIF('4. Evaluación Nivel AA'!C129,Hoja4!A5)+COUNTIF('4. Evaluación Nivel AA'!C151,Hoja4!A5)+COUNTIF('4. Evaluación Nivel AA'!C173,Hoja4!A5)+COUNTIF('4. Evaluación Nivel AA'!C195,Hoja4!A5)+COUNTIF('4. Evaluación Nivel AA'!C217,Hoja4!A5)+COUNTIF('4. Evaluación Nivel AA'!C239,Hoja4!A5)+COUNTIF('4. Evaluación Nivel AA'!C261,Hoja4!A5)+COUNTIF('4. Evaluación Nivel AA'!C283,Hoja4!A5),"")</f>
        <v/>
      </c>
      <c r="C55" s="55" t="str">
        <f>IF('2.Páginas de la muestra'!B5&gt;13,B55*100/'4.1 Gráficas y estadísticas AA'!B25,"")</f>
        <v/>
      </c>
      <c r="D55" s="32" t="str">
        <f>IF('2.Páginas de la muestra'!B5&gt;13,COUNTIF('4. Evaluación Nivel AA'!C19,Hoja4!A6)+COUNTIF('4. Evaluación Nivel AA'!C41,Hoja4!A6)+COUNTIF('4. Evaluación Nivel AA'!C63,Hoja4!A6)+COUNTIF('4. Evaluación Nivel AA'!C85,Hoja4!A6)+COUNTIF('4. Evaluación Nivel AA'!C107,Hoja4!A6)+COUNTIF('4. Evaluación Nivel AA'!C129,Hoja4!A6)+COUNTIF('4. Evaluación Nivel AA'!C151,Hoja4!A6)+COUNTIF('4. Evaluación Nivel AA'!C173,Hoja4!A6)+COUNTIF('4. Evaluación Nivel AA'!C195,Hoja4!A6)+COUNTIF('4. Evaluación Nivel AA'!C217,Hoja4!A6)+COUNTIF('4. Evaluación Nivel AA'!C239,Hoja4!A6)+COUNTIF('4. Evaluación Nivel AA'!C261,Hoja4!A6)+COUNTIF('4. Evaluación Nivel AA'!C283,Hoja4!A6),"")</f>
        <v/>
      </c>
      <c r="E55" s="55" t="str">
        <f>IF('2.Páginas de la muestra'!B5&gt;13,D55*100/'4.1 Gráficas y estadísticas AA'!B25,"")</f>
        <v/>
      </c>
      <c r="F55" s="32" t="str">
        <f>IF('2.Páginas de la muestra'!B5&gt;13,COUNTIF('4. Evaluación Nivel AA'!C19,Hoja4!A7)+COUNTIF('4. Evaluación Nivel AA'!C41,Hoja4!A7)+COUNTIF('4. Evaluación Nivel AA'!C63,Hoja4!A7)+COUNTIF('4. Evaluación Nivel AA'!C85,Hoja4!A7)+COUNTIF('4. Evaluación Nivel AA'!C107,Hoja4!A7)+COUNTIF('4. Evaluación Nivel AA'!C129,Hoja4!A7)+COUNTIF('4. Evaluación Nivel AA'!C151,Hoja4!A7)+COUNTIF('4. Evaluación Nivel AA'!C173,Hoja4!A7)+COUNTIF('4. Evaluación Nivel AA'!C195,Hoja4!A7)+COUNTIF('4. Evaluación Nivel AA'!C217,Hoja4!A7)+COUNTIF('4. Evaluación Nivel AA'!C239,Hoja4!A7)+COUNTIF('4. Evaluación Nivel AA'!C261,Hoja4!A7)+COUNTIF('4. Evaluación Nivel AA'!C283,Hoja4!A7),"")</f>
        <v/>
      </c>
      <c r="G55" s="55" t="str">
        <f>IF('2.Páginas de la muestra'!B5&gt;13,F55*100/'4.1 Gráficas y estadísticas AA'!B25,"")</f>
        <v/>
      </c>
      <c r="H55" s="56" t="str">
        <f>IF('2.Páginas de la muestra'!B5&gt;13,IF(ISERROR((B55*100)/('4.1 Gráficas y estadísticas AA'!B25-F55)),0,(B55*100)/('4.1 Gráficas y estadísticas AA'!B25-F55)),"")</f>
        <v/>
      </c>
      <c r="I55" s="56" t="str">
        <f>IF('2.Páginas de la muestra'!B5&gt;13,IF(ISERROR((D55*100)/('4.1 Gráficas y estadísticas AA'!B25-F55)),0,(D55*100)/('4.1 Gráficas y estadísticas AA'!B25-F55)),"")</f>
        <v/>
      </c>
      <c r="J55" s="26"/>
    </row>
    <row r="56" spans="1:10" ht="18.75" x14ac:dyDescent="0.3">
      <c r="A56" s="54" t="str">
        <f>'2.Páginas de la muestra'!C22</f>
        <v>ALIAS 15</v>
      </c>
      <c r="B56" s="32" t="str">
        <f>IF('2.Páginas de la muestra'!B5&gt;14,COUNTIF('4. Evaluación Nivel AA'!C20,Hoja4!A5)+COUNTIF('4. Evaluación Nivel AA'!C42,Hoja4!A5)+COUNTIF('4. Evaluación Nivel AA'!C64,Hoja4!A5)+COUNTIF('4. Evaluación Nivel AA'!C86,Hoja4!A5)+COUNTIF('4. Evaluación Nivel AA'!C108,Hoja4!A5)+COUNTIF('4. Evaluación Nivel AA'!C130,Hoja4!A5)+COUNTIF('4. Evaluación Nivel AA'!C152,Hoja4!A5)+COUNTIF('4. Evaluación Nivel AA'!C174,Hoja4!A5)+COUNTIF('4. Evaluación Nivel AA'!C196,Hoja4!A5)+COUNTIF('4. Evaluación Nivel AA'!C218,Hoja4!A5)+COUNTIF('4. Evaluación Nivel AA'!C240,Hoja4!A5)+COUNTIF('4. Evaluación Nivel AA'!C262,Hoja4!A5)+COUNTIF('4. Evaluación Nivel AA'!C284,Hoja4!A5),"")</f>
        <v/>
      </c>
      <c r="C56" s="55" t="str">
        <f>IF('2.Páginas de la muestra'!B5&gt;14,B56*100/'4.1 Gráficas y estadísticas AA'!B25,"")</f>
        <v/>
      </c>
      <c r="D56" s="32" t="str">
        <f>IF('2.Páginas de la muestra'!B5&gt;14,COUNTIF('4. Evaluación Nivel AA'!C20,Hoja4!A6)+COUNTIF('4. Evaluación Nivel AA'!C42,Hoja4!A6)+COUNTIF('4. Evaluación Nivel AA'!C64,Hoja4!A6)+COUNTIF('4. Evaluación Nivel AA'!C86,Hoja4!A6)+COUNTIF('4. Evaluación Nivel AA'!C108,Hoja4!A6)+COUNTIF('4. Evaluación Nivel AA'!C130,Hoja4!A6)+COUNTIF('4. Evaluación Nivel AA'!C152,Hoja4!A6)+COUNTIF('4. Evaluación Nivel AA'!C174,Hoja4!A6)+COUNTIF('4. Evaluación Nivel AA'!C196,Hoja4!A6)+COUNTIF('4. Evaluación Nivel AA'!C218,Hoja4!A6)+COUNTIF('4. Evaluación Nivel AA'!C240,Hoja4!A6)+COUNTIF('4. Evaluación Nivel AA'!C262,Hoja4!A6)+COUNTIF('4. Evaluación Nivel AA'!C284,Hoja4!A6),"")</f>
        <v/>
      </c>
      <c r="E56" s="55" t="str">
        <f>IF('2.Páginas de la muestra'!B5&gt;14,D56*100/'4.1 Gráficas y estadísticas AA'!B25,"")</f>
        <v/>
      </c>
      <c r="F56" s="32" t="str">
        <f>IF('2.Páginas de la muestra'!B5&gt;14,COUNTIF('4. Evaluación Nivel AA'!C20,Hoja4!A7)+COUNTIF('4. Evaluación Nivel AA'!C42,Hoja4!A7)+COUNTIF('4. Evaluación Nivel AA'!C64,Hoja4!A7)+COUNTIF('4. Evaluación Nivel AA'!C86,Hoja4!A7)+COUNTIF('4. Evaluación Nivel AA'!C108,Hoja4!A7)+COUNTIF('4. Evaluación Nivel AA'!C130,Hoja4!A7)+COUNTIF('4. Evaluación Nivel AA'!C152,Hoja4!A7)+COUNTIF('4. Evaluación Nivel AA'!C174,Hoja4!A7)+COUNTIF('4. Evaluación Nivel AA'!C196,Hoja4!A7)+COUNTIF('4. Evaluación Nivel AA'!C218,Hoja4!A7)+COUNTIF('4. Evaluación Nivel AA'!C240,Hoja4!A7)+COUNTIF('4. Evaluación Nivel AA'!C262,Hoja4!A7)+COUNTIF('4. Evaluación Nivel AA'!C284,Hoja4!A7),"")</f>
        <v/>
      </c>
      <c r="G56" s="55" t="str">
        <f>IF('2.Páginas de la muestra'!B5&gt;14,F56*100/'4.1 Gráficas y estadísticas AA'!B25,"")</f>
        <v/>
      </c>
      <c r="H56" s="56" t="str">
        <f>IF('2.Páginas de la muestra'!B5&gt;14,IF(ISERROR((B56*100)/('4.1 Gráficas y estadísticas AA'!B25-F56)),0,(B56*100)/('4.1 Gráficas y estadísticas AA'!B25-F56)),"")</f>
        <v/>
      </c>
      <c r="I56" s="56" t="str">
        <f>IF('2.Páginas de la muestra'!B5&gt;14,IF(ISERROR((D56*100)/('4.1 Gráficas y estadísticas AA'!B25-F56)),0,(D56*100)/('4.1 Gráficas y estadísticas AA'!B25-F56)),"")</f>
        <v/>
      </c>
      <c r="J56" s="26"/>
    </row>
    <row r="57" spans="1:10" ht="18.75" x14ac:dyDescent="0.3">
      <c r="A57" s="26"/>
      <c r="B57" s="26"/>
      <c r="C57" s="26"/>
      <c r="D57" s="26"/>
      <c r="E57" s="26"/>
      <c r="F57" s="26"/>
      <c r="G57" s="26"/>
      <c r="H57" s="26"/>
      <c r="I57" s="26"/>
      <c r="J57" s="26"/>
    </row>
    <row r="58" spans="1:10" ht="18.75" x14ac:dyDescent="0.3">
      <c r="A58" s="26"/>
      <c r="B58" s="26"/>
      <c r="C58" s="26"/>
      <c r="D58" s="26"/>
      <c r="E58" s="26"/>
      <c r="F58" s="26"/>
      <c r="G58" s="26"/>
      <c r="H58" s="26"/>
      <c r="I58" s="26"/>
      <c r="J58" s="26"/>
    </row>
    <row r="59" spans="1:10" ht="18.75" x14ac:dyDescent="0.3">
      <c r="A59" s="4" t="s">
        <v>42</v>
      </c>
      <c r="B59" s="26"/>
      <c r="C59" s="26"/>
      <c r="D59" s="26"/>
      <c r="E59" s="26"/>
      <c r="F59" s="26"/>
      <c r="G59" s="26"/>
      <c r="H59" s="26"/>
      <c r="I59" s="26"/>
      <c r="J59" s="26"/>
    </row>
    <row r="60" spans="1:10" ht="18.75" x14ac:dyDescent="0.3">
      <c r="A60" s="26"/>
      <c r="B60" s="26"/>
      <c r="C60" s="26"/>
      <c r="D60" s="26"/>
      <c r="E60" s="26"/>
      <c r="F60" s="26"/>
      <c r="G60" s="26"/>
      <c r="H60" s="26"/>
      <c r="I60" s="26"/>
      <c r="J60" s="26"/>
    </row>
    <row r="61" spans="1:10" ht="18.75" x14ac:dyDescent="0.3">
      <c r="A61" s="26"/>
      <c r="B61" s="32" t="s">
        <v>7</v>
      </c>
      <c r="C61" s="51" t="s">
        <v>24</v>
      </c>
      <c r="D61" s="32" t="s">
        <v>23</v>
      </c>
      <c r="E61" s="51" t="s">
        <v>27</v>
      </c>
      <c r="F61" s="32" t="s">
        <v>25</v>
      </c>
      <c r="G61" s="51" t="s">
        <v>28</v>
      </c>
      <c r="H61" s="52" t="s">
        <v>32</v>
      </c>
      <c r="I61" s="53" t="s">
        <v>33</v>
      </c>
      <c r="J61" s="26"/>
    </row>
    <row r="62" spans="1:10" ht="18.75" x14ac:dyDescent="0.3">
      <c r="A62" s="54" t="str">
        <f>'2.Páginas de la muestra'!C8</f>
        <v>Inicio</v>
      </c>
      <c r="B62" s="32">
        <f>IF('2.Páginas de la muestra'!B5&gt;0,'3.1 Gráficas y estadísticas A'!B18+'4.1 Gráficas y estadísticas AA'!B42,"")</f>
        <v>22</v>
      </c>
      <c r="C62" s="55">
        <f>IF('2.Páginas de la muestra'!B5&gt;0,B62*100/'4.1 Gráficas y estadísticas AA'!B32,"")</f>
        <v>57.89473684210526</v>
      </c>
      <c r="D62" s="62">
        <f>IF('2.Páginas de la muestra'!B5&gt;0,'3.1 Gráficas y estadísticas A'!D18+'4.1 Gráficas y estadísticas AA'!D42,"")</f>
        <v>5</v>
      </c>
      <c r="E62" s="55">
        <f>IF('2.Páginas de la muestra'!B5&gt;0,D62*100/'4.1 Gráficas y estadísticas AA'!B32,"")</f>
        <v>13.157894736842104</v>
      </c>
      <c r="F62" s="32">
        <f>IF('2.Páginas de la muestra'!B5&gt;0,'3.1 Gráficas y estadísticas A'!F18+'4.1 Gráficas y estadísticas AA'!F42,"")</f>
        <v>11</v>
      </c>
      <c r="G62" s="55">
        <f>IF('2.Páginas de la muestra'!B5&gt;0,F62*100/'4.1 Gráficas y estadísticas AA'!B32,"")</f>
        <v>28.94736842105263</v>
      </c>
      <c r="H62" s="56">
        <f>IF('2.Páginas de la muestra'!B5&gt;0,IF(ISERROR((B62*100)/('4.1 Gráficas y estadísticas AA'!B32-F62)),0,(B62*100)/('4.1 Gráficas y estadísticas AA'!B32-F62)),"")</f>
        <v>81.481481481481481</v>
      </c>
      <c r="I62" s="56">
        <f>IF('2.Páginas de la muestra'!B5&gt;0,IF(ISERROR((D62*100)/('4.1 Gráficas y estadísticas AA'!B32-F62)),0,(D62*100)/('4.1 Gráficas y estadísticas AA'!B32-F62)),"")</f>
        <v>18.518518518518519</v>
      </c>
      <c r="J62" s="26"/>
    </row>
    <row r="63" spans="1:10" ht="18.75" x14ac:dyDescent="0.3">
      <c r="A63" s="54" t="str">
        <f>'2.Páginas de la muestra'!C9</f>
        <v>login</v>
      </c>
      <c r="B63" s="32" t="str">
        <f>IF('2.Páginas de la muestra'!B5&gt;1,'3.1 Gráficas y estadísticas A'!B19+'4.1 Gráficas y estadísticas AA'!B43,"")</f>
        <v/>
      </c>
      <c r="C63" s="55" t="str">
        <f>IF('2.Páginas de la muestra'!B5&gt;1,B63*100/'4.1 Gráficas y estadísticas AA'!B32,"")</f>
        <v/>
      </c>
      <c r="D63" s="62" t="str">
        <f>IF('2.Páginas de la muestra'!B5&gt;1,'3.1 Gráficas y estadísticas A'!D19+'4.1 Gráficas y estadísticas AA'!D43,"")</f>
        <v/>
      </c>
      <c r="E63" s="55" t="str">
        <f>IF('2.Páginas de la muestra'!B5&gt;1,D63*100/'4.1 Gráficas y estadísticas AA'!B32,"")</f>
        <v/>
      </c>
      <c r="F63" s="32" t="str">
        <f>IF('2.Páginas de la muestra'!B5&gt;1,'3.1 Gráficas y estadísticas A'!F19+'4.1 Gráficas y estadísticas AA'!F43,"")</f>
        <v/>
      </c>
      <c r="G63" s="55" t="str">
        <f>IF('2.Páginas de la muestra'!B5&gt;1,F63*100/'4.1 Gráficas y estadísticas AA'!B32,"")</f>
        <v/>
      </c>
      <c r="H63" s="56" t="str">
        <f>IF('2.Páginas de la muestra'!B5&gt;1,IF(ISERROR((B63*100)/('4.1 Gráficas y estadísticas AA'!B32-F63)),0,(B63*100)/('4.1 Gráficas y estadísticas AA'!B32-F63)),"")</f>
        <v/>
      </c>
      <c r="I63" s="56" t="str">
        <f>IF('2.Páginas de la muestra'!B5&gt;1,IF(ISERROR((D63*100)/('4.1 Gráficas y estadísticas AA'!B32-F63)),0,(D63*100)/('4.1 Gráficas y estadísticas AA'!B32-F63)),"")</f>
        <v/>
      </c>
      <c r="J63" s="26"/>
    </row>
    <row r="64" spans="1:10" ht="18.75" x14ac:dyDescent="0.3">
      <c r="A64" s="54" t="str">
        <f>'2.Páginas de la muestra'!C10</f>
        <v>Inicio-Dashboard</v>
      </c>
      <c r="B64" s="32" t="str">
        <f>IF('2.Páginas de la muestra'!B5&gt;2,'3.1 Gráficas y estadísticas A'!B20+'4.1 Gráficas y estadísticas AA'!B44,"")</f>
        <v/>
      </c>
      <c r="C64" s="55" t="str">
        <f>IF('2.Páginas de la muestra'!B5&gt;2,B64*100/'4.1 Gráficas y estadísticas AA'!B32,"")</f>
        <v/>
      </c>
      <c r="D64" s="62" t="str">
        <f>IF('2.Páginas de la muestra'!B5&gt;2,'3.1 Gráficas y estadísticas A'!D20+'4.1 Gráficas y estadísticas AA'!D44,"")</f>
        <v/>
      </c>
      <c r="E64" s="55" t="str">
        <f>IF('2.Páginas de la muestra'!B5&gt;2,D64*100/'4.1 Gráficas y estadísticas AA'!B32,"")</f>
        <v/>
      </c>
      <c r="F64" s="32" t="str">
        <f>IF('2.Páginas de la muestra'!B5&gt;2,'3.1 Gráficas y estadísticas A'!F20+'4.1 Gráficas y estadísticas AA'!F44,"")</f>
        <v/>
      </c>
      <c r="G64" s="55" t="str">
        <f>IF('2.Páginas de la muestra'!B5&gt;2,F64*100/'4.1 Gráficas y estadísticas AA'!B32,"")</f>
        <v/>
      </c>
      <c r="H64" s="56" t="str">
        <f>IF('2.Páginas de la muestra'!B5&gt;2,IF(ISERROR((B64*100)/('4.1 Gráficas y estadísticas AA'!B32-F64)),0,(B64*100)/('4.1 Gráficas y estadísticas AA'!B32-F64)),"")</f>
        <v/>
      </c>
      <c r="I64" s="56" t="str">
        <f>IF('2.Páginas de la muestra'!B5&gt;2,IF(ISERROR((D64*100)/('4.1 Gráficas y estadísticas AA'!B32-F64)),0,(D64*100)/('4.1 Gráficas y estadísticas AA'!B32-F64)),"")</f>
        <v/>
      </c>
      <c r="J64" s="26"/>
    </row>
    <row r="65" spans="1:10" ht="18.75" x14ac:dyDescent="0.3">
      <c r="A65" s="54" t="str">
        <f>'2.Páginas de la muestra'!C11</f>
        <v>Dashboard-Usuarios</v>
      </c>
      <c r="B65" s="32" t="str">
        <f>IF('2.Páginas de la muestra'!B5&gt;3,'3.1 Gráficas y estadísticas A'!B21+'4.1 Gráficas y estadísticas AA'!B45,"")</f>
        <v/>
      </c>
      <c r="C65" s="55" t="str">
        <f>IF('2.Páginas de la muestra'!B5&gt;3,B65*100/'4.1 Gráficas y estadísticas AA'!B32,"")</f>
        <v/>
      </c>
      <c r="D65" s="62" t="str">
        <f>IF('2.Páginas de la muestra'!B5&gt;3,'3.1 Gráficas y estadísticas A'!D21+'4.1 Gráficas y estadísticas AA'!D45,"")</f>
        <v/>
      </c>
      <c r="E65" s="55" t="str">
        <f>IF('2.Páginas de la muestra'!B5&gt;3,D65*100/'4.1 Gráficas y estadísticas AA'!B32,"")</f>
        <v/>
      </c>
      <c r="F65" s="32" t="str">
        <f>IF('2.Páginas de la muestra'!B5&gt;3,'3.1 Gráficas y estadísticas A'!F21+'4.1 Gráficas y estadísticas AA'!F45,"")</f>
        <v/>
      </c>
      <c r="G65" s="55" t="str">
        <f>IF('2.Páginas de la muestra'!B5&gt;3,F65*100/'4.1 Gráficas y estadísticas AA'!B32,"")</f>
        <v/>
      </c>
      <c r="H65" s="56" t="str">
        <f>IF('2.Páginas de la muestra'!B5&gt;3,IF(ISERROR((B65*100)/('4.1 Gráficas y estadísticas AA'!B32-F65)),0,(B65*100)/('4.1 Gráficas y estadísticas AA'!B32-F65)),"")</f>
        <v/>
      </c>
      <c r="I65" s="56" t="str">
        <f>IF('2.Páginas de la muestra'!B5&gt;3,IF(ISERROR((D65*100)/('4.1 Gráficas y estadísticas AA'!B32-F65)),0,(D65*100)/('4.1 Gráficas y estadísticas AA'!B32-F65)),"")</f>
        <v/>
      </c>
      <c r="J65" s="26"/>
    </row>
    <row r="66" spans="1:10" ht="18.75" x14ac:dyDescent="0.3">
      <c r="A66" s="54" t="str">
        <f>'2.Páginas de la muestra'!C12</f>
        <v>Dashboard-Servicios</v>
      </c>
      <c r="B66" s="32" t="str">
        <f>IF('2.Páginas de la muestra'!B5&gt;4,'3.1 Gráficas y estadísticas A'!B22+'4.1 Gráficas y estadísticas AA'!B46,"")</f>
        <v/>
      </c>
      <c r="C66" s="55" t="str">
        <f>IF('2.Páginas de la muestra'!B5&gt;4,B66*100/'4.1 Gráficas y estadísticas AA'!B32,"")</f>
        <v/>
      </c>
      <c r="D66" s="62" t="str">
        <f>IF('2.Páginas de la muestra'!B5&gt;4,'3.1 Gráficas y estadísticas A'!D22+'4.1 Gráficas y estadísticas AA'!D46,"")</f>
        <v/>
      </c>
      <c r="E66" s="55" t="str">
        <f>IF('2.Páginas de la muestra'!B5&gt;4,D66*100/'4.1 Gráficas y estadísticas AA'!B32,"")</f>
        <v/>
      </c>
      <c r="F66" s="32" t="str">
        <f>IF('2.Páginas de la muestra'!B5&gt;4,'3.1 Gráficas y estadísticas A'!F22+'4.1 Gráficas y estadísticas AA'!F46,"")</f>
        <v/>
      </c>
      <c r="G66" s="55" t="str">
        <f>IF('2.Páginas de la muestra'!B5&gt;4,F66*100/'4.1 Gráficas y estadísticas AA'!B32,"")</f>
        <v/>
      </c>
      <c r="H66" s="56" t="str">
        <f>IF('2.Páginas de la muestra'!B5&gt;4,IF(ISERROR((B66*100)/('4.1 Gráficas y estadísticas AA'!B32-F66)),0,(B66*100)/('4.1 Gráficas y estadísticas AA'!B32-F66)),"")</f>
        <v/>
      </c>
      <c r="I66" s="56" t="str">
        <f>IF('2.Páginas de la muestra'!B5&gt;4,IF(ISERROR((D66*100)/('4.1 Gráficas y estadísticas AA'!B32-F66)),0,(D66*100)/('4.1 Gráficas y estadísticas AA'!B32-F66)),"")</f>
        <v/>
      </c>
      <c r="J66" s="26"/>
    </row>
    <row r="67" spans="1:10" ht="18.75" x14ac:dyDescent="0.3">
      <c r="A67" s="54" t="str">
        <f>'2.Páginas de la muestra'!C13</f>
        <v>Dashboard-Reservas</v>
      </c>
      <c r="B67" s="32" t="str">
        <f>IF('2.Páginas de la muestra'!B5&gt;5,'3.1 Gráficas y estadísticas A'!B23+'4.1 Gráficas y estadísticas AA'!B47,"")</f>
        <v/>
      </c>
      <c r="C67" s="55" t="str">
        <f>IF('2.Páginas de la muestra'!B5&gt;5,B67*100/'4.1 Gráficas y estadísticas AA'!B32,"")</f>
        <v/>
      </c>
      <c r="D67" s="62" t="str">
        <f>IF('2.Páginas de la muestra'!B5&gt;5,'3.1 Gráficas y estadísticas A'!D23+'4.1 Gráficas y estadísticas AA'!D47,"")</f>
        <v/>
      </c>
      <c r="E67" s="55" t="str">
        <f>IF('2.Páginas de la muestra'!B5&gt;5,D67*100/'4.1 Gráficas y estadísticas AA'!B32,"")</f>
        <v/>
      </c>
      <c r="F67" s="32" t="str">
        <f>IF('2.Páginas de la muestra'!B5&gt;5,'3.1 Gráficas y estadísticas A'!F23+'4.1 Gráficas y estadísticas AA'!F47,"")</f>
        <v/>
      </c>
      <c r="G67" s="55" t="str">
        <f>IF('2.Páginas de la muestra'!B5&gt;5,F67*100/'4.1 Gráficas y estadísticas AA'!B32,"")</f>
        <v/>
      </c>
      <c r="H67" s="56" t="str">
        <f>IF('2.Páginas de la muestra'!B5&gt;5,IF(ISERROR((B67*100)/('4.1 Gráficas y estadísticas AA'!B32-F67)),0,(B67*100)/('4.1 Gráficas y estadísticas AA'!B32-F67)),"")</f>
        <v/>
      </c>
      <c r="I67" s="56" t="str">
        <f>IF('2.Páginas de la muestra'!B5&gt;5,IF(ISERROR((D67*100)/('4.1 Gráficas y estadísticas AA'!B32-F67)),0,(D67*100)/('4.1 Gráficas y estadísticas AA'!B32-F67)),"")</f>
        <v/>
      </c>
      <c r="J67" s="26"/>
    </row>
    <row r="68" spans="1:10" ht="18.75" x14ac:dyDescent="0.3">
      <c r="A68" s="54" t="str">
        <f>'2.Páginas de la muestra'!C14</f>
        <v>Dashboard-Reservas-clientes</v>
      </c>
      <c r="B68" s="32" t="str">
        <f>IF('2.Páginas de la muestra'!B5&gt;6,'3.1 Gráficas y estadísticas A'!B24+'4.1 Gráficas y estadísticas AA'!B48,"")</f>
        <v/>
      </c>
      <c r="C68" s="55" t="str">
        <f>IF('2.Páginas de la muestra'!B5&gt;6,B68*100/'4.1 Gráficas y estadísticas AA'!B32,"")</f>
        <v/>
      </c>
      <c r="D68" s="62" t="str">
        <f>IF('2.Páginas de la muestra'!B5&gt;6,'3.1 Gráficas y estadísticas A'!D24+'4.1 Gráficas y estadísticas AA'!D48,"")</f>
        <v/>
      </c>
      <c r="E68" s="55" t="str">
        <f>IF('2.Páginas de la muestra'!B5&gt;6,D68*100/'4.1 Gráficas y estadísticas AA'!B32,"")</f>
        <v/>
      </c>
      <c r="F68" s="32" t="str">
        <f>IF('2.Páginas de la muestra'!B5&gt;6,'3.1 Gráficas y estadísticas A'!F24+'4.1 Gráficas y estadísticas AA'!F48,"")</f>
        <v/>
      </c>
      <c r="G68" s="55" t="str">
        <f>IF('2.Páginas de la muestra'!B5&gt;6,F68*100/'4.1 Gráficas y estadísticas AA'!B32,"")</f>
        <v/>
      </c>
      <c r="H68" s="56" t="str">
        <f>IF('2.Páginas de la muestra'!B5&gt;6,IF(ISERROR((B68*100)/('4.1 Gráficas y estadísticas AA'!B32-F68)),0,(B68*100)/('4.1 Gráficas y estadísticas AA'!B32-F68)),"")</f>
        <v/>
      </c>
      <c r="I68" s="56" t="str">
        <f>IF('2.Páginas de la muestra'!B5&gt;6,IF(ISERROR((D68*100)/('4.1 Gráficas y estadísticas AA'!B32-F68)),0,(D68*100)/('4.1 Gráficas y estadísticas AA'!B32-F68)),"")</f>
        <v/>
      </c>
      <c r="J68" s="26"/>
    </row>
    <row r="69" spans="1:10" ht="18.75" x14ac:dyDescent="0.3">
      <c r="A69" s="54" t="str">
        <f>'2.Páginas de la muestra'!C15</f>
        <v>ALIAS 8</v>
      </c>
      <c r="B69" s="32" t="str">
        <f>IF('2.Páginas de la muestra'!B5&gt;7,'3.1 Gráficas y estadísticas A'!B25+'4.1 Gráficas y estadísticas AA'!B49,"")</f>
        <v/>
      </c>
      <c r="C69" s="55" t="str">
        <f>IF('2.Páginas de la muestra'!B5&gt;7,B69*100/'4.1 Gráficas y estadísticas AA'!B32,"")</f>
        <v/>
      </c>
      <c r="D69" s="62" t="str">
        <f>IF('2.Páginas de la muestra'!B5&gt;7,'3.1 Gráficas y estadísticas A'!D25+'4.1 Gráficas y estadísticas AA'!D49,"")</f>
        <v/>
      </c>
      <c r="E69" s="55" t="str">
        <f>IF('2.Páginas de la muestra'!B5&gt;7,D69*100/'4.1 Gráficas y estadísticas AA'!B32,"")</f>
        <v/>
      </c>
      <c r="F69" s="32" t="str">
        <f>IF('2.Páginas de la muestra'!B5&gt;7,'3.1 Gráficas y estadísticas A'!F25+'4.1 Gráficas y estadísticas AA'!F49,"")</f>
        <v/>
      </c>
      <c r="G69" s="55" t="str">
        <f>IF('2.Páginas de la muestra'!B5&gt;7,F69*100/'4.1 Gráficas y estadísticas AA'!B32,"")</f>
        <v/>
      </c>
      <c r="H69" s="56" t="str">
        <f>IF('2.Páginas de la muestra'!B5&gt;7,IF(ISERROR((B69*100)/('4.1 Gráficas y estadísticas AA'!B32-F69)),0,(B69*100)/('4.1 Gráficas y estadísticas AA'!B32-F69)),"")</f>
        <v/>
      </c>
      <c r="I69" s="56" t="str">
        <f>IF('2.Páginas de la muestra'!B5&gt;7,IF(ISERROR((D69*100)/('4.1 Gráficas y estadísticas AA'!B32-F69)),0,(D69*100)/('4.1 Gráficas y estadísticas AA'!B32-F69)),"")</f>
        <v/>
      </c>
      <c r="J69" s="26"/>
    </row>
    <row r="70" spans="1:10" ht="18.75" x14ac:dyDescent="0.3">
      <c r="A70" s="54" t="str">
        <f>'2.Páginas de la muestra'!C16</f>
        <v>ALIAS 9</v>
      </c>
      <c r="B70" s="32" t="str">
        <f>IF('2.Páginas de la muestra'!B5&gt;8,'3.1 Gráficas y estadísticas A'!B26+'4.1 Gráficas y estadísticas AA'!B50,"")</f>
        <v/>
      </c>
      <c r="C70" s="55" t="str">
        <f>IF('2.Páginas de la muestra'!B5&gt;8,B70*100/'4.1 Gráficas y estadísticas AA'!B32,"")</f>
        <v/>
      </c>
      <c r="D70" s="62" t="str">
        <f>IF('2.Páginas de la muestra'!B5&gt;8,'3.1 Gráficas y estadísticas A'!D26+'4.1 Gráficas y estadísticas AA'!D50,"")</f>
        <v/>
      </c>
      <c r="E70" s="55" t="str">
        <f>IF('2.Páginas de la muestra'!B5&gt;8,D70*100/'4.1 Gráficas y estadísticas AA'!B32,"")</f>
        <v/>
      </c>
      <c r="F70" s="32" t="str">
        <f>IF('2.Páginas de la muestra'!B5&gt;8,'3.1 Gráficas y estadísticas A'!F26+'4.1 Gráficas y estadísticas AA'!F50,"")</f>
        <v/>
      </c>
      <c r="G70" s="55" t="str">
        <f>IF('2.Páginas de la muestra'!B5&gt;8,F70*100/'4.1 Gráficas y estadísticas AA'!B32,"")</f>
        <v/>
      </c>
      <c r="H70" s="56" t="str">
        <f>IF('2.Páginas de la muestra'!B5&gt;8,IF(ISERROR((B70*100)/('4.1 Gráficas y estadísticas AA'!B32-F70)),0,(B70*100)/('4.1 Gráficas y estadísticas AA'!B32-F70)),"")</f>
        <v/>
      </c>
      <c r="I70" s="56" t="str">
        <f>IF('2.Páginas de la muestra'!B5&gt;8,IF(ISERROR((D70*100)/('4.1 Gráficas y estadísticas AA'!B32-F70)),0,(D70*100)/('4.1 Gráficas y estadísticas AA'!B32-F70)),"")</f>
        <v/>
      </c>
      <c r="J70" s="26"/>
    </row>
    <row r="71" spans="1:10" ht="18.75" x14ac:dyDescent="0.3">
      <c r="A71" s="54" t="str">
        <f>'2.Páginas de la muestra'!C17</f>
        <v>ALIAS 10</v>
      </c>
      <c r="B71" s="32" t="str">
        <f>IF('2.Páginas de la muestra'!B5&gt;9,'3.1 Gráficas y estadísticas A'!B27+'4.1 Gráficas y estadísticas AA'!B51,"")</f>
        <v/>
      </c>
      <c r="C71" s="55" t="str">
        <f>IF('2.Páginas de la muestra'!B5&gt;9,B71*100/'4.1 Gráficas y estadísticas AA'!B32,"")</f>
        <v/>
      </c>
      <c r="D71" s="62" t="str">
        <f>IF('2.Páginas de la muestra'!B5&gt;9,'3.1 Gráficas y estadísticas A'!D27+'4.1 Gráficas y estadísticas AA'!D51,"")</f>
        <v/>
      </c>
      <c r="E71" s="55" t="str">
        <f>IF('2.Páginas de la muestra'!B5&gt;9,D71*100/'4.1 Gráficas y estadísticas AA'!B32,"")</f>
        <v/>
      </c>
      <c r="F71" s="32" t="str">
        <f>IF('2.Páginas de la muestra'!B5&gt;9,'3.1 Gráficas y estadísticas A'!F27+'4.1 Gráficas y estadísticas AA'!F51,"")</f>
        <v/>
      </c>
      <c r="G71" s="55" t="str">
        <f>IF('2.Páginas de la muestra'!B5&gt;9,F71*100/'4.1 Gráficas y estadísticas AA'!B32,"")</f>
        <v/>
      </c>
      <c r="H71" s="56" t="str">
        <f>IF('2.Páginas de la muestra'!B5&gt;9,IF(ISERROR((B71*100)/('4.1 Gráficas y estadísticas AA'!B32-F71)),0,(B71*100)/('4.1 Gráficas y estadísticas AA'!B32-F71)),"")</f>
        <v/>
      </c>
      <c r="I71" s="56" t="str">
        <f>IF('2.Páginas de la muestra'!B5&gt;9,IF(ISERROR((D71*100)/('4.1 Gráficas y estadísticas AA'!B32-F71)),0,(D71*100)/('4.1 Gráficas y estadísticas AA'!B32-F71)),"")</f>
        <v/>
      </c>
      <c r="J71" s="26"/>
    </row>
    <row r="72" spans="1:10" ht="18.75" x14ac:dyDescent="0.3">
      <c r="A72" s="54" t="str">
        <f>'2.Páginas de la muestra'!C18</f>
        <v>ALIAS 11</v>
      </c>
      <c r="B72" s="32" t="str">
        <f>IF('2.Páginas de la muestra'!B5&gt;10,'3.1 Gráficas y estadísticas A'!B28+'4.1 Gráficas y estadísticas AA'!B52,"")</f>
        <v/>
      </c>
      <c r="C72" s="55" t="str">
        <f>IF('2.Páginas de la muestra'!B5&gt;10,B72*100/'4.1 Gráficas y estadísticas AA'!B32,"")</f>
        <v/>
      </c>
      <c r="D72" s="62" t="str">
        <f>IF('2.Páginas de la muestra'!B5&gt;10,'3.1 Gráficas y estadísticas A'!D28+'4.1 Gráficas y estadísticas AA'!D52,"")</f>
        <v/>
      </c>
      <c r="E72" s="55" t="str">
        <f>IF('2.Páginas de la muestra'!B5&gt;10,D72*100/'4.1 Gráficas y estadísticas AA'!B32,"")</f>
        <v/>
      </c>
      <c r="F72" s="32" t="str">
        <f>IF('2.Páginas de la muestra'!B5&gt;10,'3.1 Gráficas y estadísticas A'!F28+'4.1 Gráficas y estadísticas AA'!F52,"")</f>
        <v/>
      </c>
      <c r="G72" s="55" t="str">
        <f>IF('2.Páginas de la muestra'!B5&gt;10,F72*100/'4.1 Gráficas y estadísticas AA'!B32,"")</f>
        <v/>
      </c>
      <c r="H72" s="56" t="str">
        <f>IF('2.Páginas de la muestra'!B5&gt;10,IF(ISERROR((B72*100)/('4.1 Gráficas y estadísticas AA'!B32-F72)),0,(B72*100)/('4.1 Gráficas y estadísticas AA'!B32-F72)),"")</f>
        <v/>
      </c>
      <c r="I72" s="56" t="str">
        <f>IF('2.Páginas de la muestra'!B5&gt;10,IF(ISERROR((D72*100)/('4.1 Gráficas y estadísticas AA'!B32-F72)),0,(D72*100)/('4.1 Gráficas y estadísticas AA'!B32-F72)),"")</f>
        <v/>
      </c>
      <c r="J72" s="26"/>
    </row>
    <row r="73" spans="1:10" ht="18.75" x14ac:dyDescent="0.3">
      <c r="A73" s="54" t="str">
        <f>'2.Páginas de la muestra'!C19</f>
        <v>ALIAS 12</v>
      </c>
      <c r="B73" s="32" t="str">
        <f>IF('2.Páginas de la muestra'!B5&gt;11,'3.1 Gráficas y estadísticas A'!B29+'4.1 Gráficas y estadísticas AA'!B53,"")</f>
        <v/>
      </c>
      <c r="C73" s="55" t="str">
        <f>IF('2.Páginas de la muestra'!B5&gt;11,B73*100/'4.1 Gráficas y estadísticas AA'!B32,"")</f>
        <v/>
      </c>
      <c r="D73" s="62" t="str">
        <f>IF('2.Páginas de la muestra'!B5&gt;11,'3.1 Gráficas y estadísticas A'!D29+'4.1 Gráficas y estadísticas AA'!D53,"")</f>
        <v/>
      </c>
      <c r="E73" s="55" t="str">
        <f>IF('2.Páginas de la muestra'!B5&gt;11,D73*100/'4.1 Gráficas y estadísticas AA'!B32,"")</f>
        <v/>
      </c>
      <c r="F73" s="32" t="str">
        <f>IF('2.Páginas de la muestra'!B5&gt;11,'3.1 Gráficas y estadísticas A'!F29+'4.1 Gráficas y estadísticas AA'!F53,"")</f>
        <v/>
      </c>
      <c r="G73" s="55" t="str">
        <f>IF('2.Páginas de la muestra'!B5&gt;11,F73*100/'4.1 Gráficas y estadísticas AA'!B32,"")</f>
        <v/>
      </c>
      <c r="H73" s="56" t="str">
        <f>IF('2.Páginas de la muestra'!B5&gt;11,IF(ISERROR((B73*100)/('4.1 Gráficas y estadísticas AA'!B32-F73)),0,(B73*100)/('4.1 Gráficas y estadísticas AA'!B32-F73)),"")</f>
        <v/>
      </c>
      <c r="I73" s="56" t="str">
        <f>IF('2.Páginas de la muestra'!B5&gt;11,IF(ISERROR((D73*100)/('4.1 Gráficas y estadísticas AA'!B32-F73)),0,(D73*100)/('4.1 Gráficas y estadísticas AA'!B32-F73)),"")</f>
        <v/>
      </c>
      <c r="J73" s="26"/>
    </row>
    <row r="74" spans="1:10" ht="18.75" x14ac:dyDescent="0.3">
      <c r="A74" s="54" t="str">
        <f>'2.Páginas de la muestra'!C20</f>
        <v>ALIAS 13</v>
      </c>
      <c r="B74" s="32" t="str">
        <f>IF('2.Páginas de la muestra'!B5&gt;12,'3.1 Gráficas y estadísticas A'!B30+'4.1 Gráficas y estadísticas AA'!B54,"")</f>
        <v/>
      </c>
      <c r="C74" s="55" t="str">
        <f>IF('2.Páginas de la muestra'!B5&gt;12,B74*100/'4.1 Gráficas y estadísticas AA'!B32,"")</f>
        <v/>
      </c>
      <c r="D74" s="62" t="str">
        <f>IF('2.Páginas de la muestra'!B5&gt;12,'3.1 Gráficas y estadísticas A'!D30+'4.1 Gráficas y estadísticas AA'!D54,"")</f>
        <v/>
      </c>
      <c r="E74" s="55" t="str">
        <f>IF('2.Páginas de la muestra'!B5&gt;12,D74*100/'4.1 Gráficas y estadísticas AA'!B32,"")</f>
        <v/>
      </c>
      <c r="F74" s="32" t="str">
        <f>IF('2.Páginas de la muestra'!B5&gt;12,'3.1 Gráficas y estadísticas A'!F30+'4.1 Gráficas y estadísticas AA'!F54,"")</f>
        <v/>
      </c>
      <c r="G74" s="55" t="str">
        <f>IF('2.Páginas de la muestra'!B5&gt;12,F74*100/'4.1 Gráficas y estadísticas AA'!B32,"")</f>
        <v/>
      </c>
      <c r="H74" s="56" t="str">
        <f>IF('2.Páginas de la muestra'!B5&gt;12,IF(ISERROR((B74*100)/('4.1 Gráficas y estadísticas AA'!B32-F74)),0,(B74*100)/('4.1 Gráficas y estadísticas AA'!B32-F74)),"")</f>
        <v/>
      </c>
      <c r="I74" s="56" t="str">
        <f>IF('2.Páginas de la muestra'!B5&gt;12,IF(ISERROR((D74*100)/('4.1 Gráficas y estadísticas AA'!B32-F74)),0,(D74*100)/('4.1 Gráficas y estadísticas AA'!B32-F74)),"")</f>
        <v/>
      </c>
      <c r="J74" s="26"/>
    </row>
    <row r="75" spans="1:10" ht="18.75" x14ac:dyDescent="0.3">
      <c r="A75" s="54" t="str">
        <f>'2.Páginas de la muestra'!C21</f>
        <v>ALIAS 14</v>
      </c>
      <c r="B75" s="32" t="str">
        <f>IF('2.Páginas de la muestra'!B5&gt;13,'3.1 Gráficas y estadísticas A'!B31+'4.1 Gráficas y estadísticas AA'!B55,"")</f>
        <v/>
      </c>
      <c r="C75" s="55" t="str">
        <f>IF('2.Páginas de la muestra'!B5&gt;13,B75*100/'4.1 Gráficas y estadísticas AA'!B32,"")</f>
        <v/>
      </c>
      <c r="D75" s="62" t="str">
        <f>IF('2.Páginas de la muestra'!B5&gt;13,'3.1 Gráficas y estadísticas A'!D31+'4.1 Gráficas y estadísticas AA'!D55,"")</f>
        <v/>
      </c>
      <c r="E75" s="55" t="str">
        <f>IF('2.Páginas de la muestra'!B5&gt;13,D75*100/'4.1 Gráficas y estadísticas AA'!B32,"")</f>
        <v/>
      </c>
      <c r="F75" s="32" t="str">
        <f>IF('2.Páginas de la muestra'!B5&gt;13,'3.1 Gráficas y estadísticas A'!F31+'4.1 Gráficas y estadísticas AA'!F55,"")</f>
        <v/>
      </c>
      <c r="G75" s="55" t="str">
        <f>IF('2.Páginas de la muestra'!B5&gt;13,F75*100/'4.1 Gráficas y estadísticas AA'!B32,"")</f>
        <v/>
      </c>
      <c r="H75" s="56" t="str">
        <f>IF('2.Páginas de la muestra'!B5&gt;13,IF(ISERROR((B75*100)/('4.1 Gráficas y estadísticas AA'!B32-F75)),0,(B75*100)/('4.1 Gráficas y estadísticas AA'!B32-F75)),"")</f>
        <v/>
      </c>
      <c r="I75" s="56" t="str">
        <f>IF('2.Páginas de la muestra'!B5&gt;13,IF(ISERROR((D75*100)/('4.1 Gráficas y estadísticas AA'!B32-F75)),0,(D75*100)/('4.1 Gráficas y estadísticas AA'!B32-F75)),"")</f>
        <v/>
      </c>
      <c r="J75" s="26"/>
    </row>
    <row r="76" spans="1:10" ht="18.75" x14ac:dyDescent="0.3">
      <c r="A76" s="54" t="str">
        <f>'2.Páginas de la muestra'!C22</f>
        <v>ALIAS 15</v>
      </c>
      <c r="B76" s="32" t="str">
        <f>IF('2.Páginas de la muestra'!B5&gt;14,'3.1 Gráficas y estadísticas A'!B32+'4.1 Gráficas y estadísticas AA'!B56,"")</f>
        <v/>
      </c>
      <c r="C76" s="55" t="str">
        <f>IF('2.Páginas de la muestra'!B5&gt;14,B76*100/'4.1 Gráficas y estadísticas AA'!B32,"")</f>
        <v/>
      </c>
      <c r="D76" s="62" t="str">
        <f>IF('2.Páginas de la muestra'!B5&gt;14,'3.1 Gráficas y estadísticas A'!D32+'4.1 Gráficas y estadísticas AA'!D56,"")</f>
        <v/>
      </c>
      <c r="E76" s="55" t="str">
        <f>IF('2.Páginas de la muestra'!B5&gt;14,D76*100/'4.1 Gráficas y estadísticas AA'!B32,"")</f>
        <v/>
      </c>
      <c r="F76" s="32" t="str">
        <f>IF('2.Páginas de la muestra'!B5&gt;14,'3.1 Gráficas y estadísticas A'!F32+'4.1 Gráficas y estadísticas AA'!F56,"")</f>
        <v/>
      </c>
      <c r="G76" s="55" t="str">
        <f>IF('2.Páginas de la muestra'!B5&gt;14,F76*100/'4.1 Gráficas y estadísticas AA'!B32,"")</f>
        <v/>
      </c>
      <c r="H76" s="56" t="str">
        <f>IF('2.Páginas de la muestra'!B5&gt;14,IF(ISERROR((B76*100)/('4.1 Gráficas y estadísticas AA'!B32-F76)),0,(B76*100)/('4.1 Gráficas y estadísticas AA'!B32-F76)),"")</f>
        <v/>
      </c>
      <c r="I76" s="56" t="str">
        <f>IF('2.Páginas de la muestra'!B5&gt;14,IF(ISERROR((D76*100)/('4.1 Gráficas y estadísticas AA'!B32-F76)),0,(D76*100)/('4.1 Gráficas y estadísticas AA'!B32-F76)),"")</f>
        <v/>
      </c>
      <c r="J76" s="26"/>
    </row>
    <row r="80" spans="1:10" ht="18.75" x14ac:dyDescent="0.3">
      <c r="A80" s="4" t="s">
        <v>48</v>
      </c>
    </row>
    <row r="81" spans="1:1" ht="18.75" x14ac:dyDescent="0.3">
      <c r="A81" s="26" t="s">
        <v>310</v>
      </c>
    </row>
    <row r="114" spans="1:10" x14ac:dyDescent="0.25">
      <c r="A114" s="2" t="s">
        <v>157</v>
      </c>
    </row>
    <row r="116" spans="1:10" ht="15.75" thickBot="1" x14ac:dyDescent="0.3"/>
    <row r="117" spans="1:10" ht="15.75" thickTop="1" x14ac:dyDescent="0.25">
      <c r="A117" s="194"/>
      <c r="B117" s="194"/>
      <c r="C117" s="194"/>
      <c r="D117" s="194"/>
      <c r="E117" s="194"/>
      <c r="F117" s="194"/>
      <c r="G117" s="194"/>
      <c r="H117" s="194"/>
      <c r="I117" s="194"/>
      <c r="J117" s="194"/>
    </row>
    <row r="118" spans="1:10" x14ac:dyDescent="0.25">
      <c r="A118" s="23" t="s">
        <v>44</v>
      </c>
      <c r="B118" s="190" t="s">
        <v>2</v>
      </c>
      <c r="C118" s="190"/>
      <c r="D118" s="190"/>
      <c r="E118" s="190"/>
      <c r="F118" s="190"/>
      <c r="G118" s="190"/>
      <c r="H118" s="190"/>
      <c r="I118" s="190"/>
      <c r="J118" s="190"/>
    </row>
    <row r="119" spans="1:10" x14ac:dyDescent="0.25">
      <c r="A119" s="24" t="s">
        <v>173</v>
      </c>
      <c r="B119" s="191" t="s">
        <v>47</v>
      </c>
      <c r="C119" s="192"/>
      <c r="D119" s="192"/>
      <c r="E119" s="192"/>
      <c r="F119" s="192"/>
      <c r="G119" s="192"/>
      <c r="H119" s="192"/>
      <c r="I119" s="192"/>
      <c r="J119" s="192"/>
    </row>
    <row r="120" spans="1:10" x14ac:dyDescent="0.25">
      <c r="A120" s="24" t="s">
        <v>45</v>
      </c>
      <c r="B120" s="192" t="s">
        <v>46</v>
      </c>
      <c r="C120" s="192"/>
      <c r="D120" s="192"/>
      <c r="E120" s="192"/>
      <c r="F120" s="192"/>
      <c r="G120" s="192"/>
      <c r="H120" s="192"/>
      <c r="I120" s="192"/>
      <c r="J120" s="192"/>
    </row>
    <row r="121" spans="1:10" x14ac:dyDescent="0.25">
      <c r="A121" s="25" t="s">
        <v>171</v>
      </c>
      <c r="B121" s="193" t="s">
        <v>437</v>
      </c>
      <c r="C121" s="193"/>
      <c r="D121" s="193"/>
      <c r="E121" s="193"/>
      <c r="F121" s="193"/>
      <c r="G121" s="193"/>
      <c r="H121" s="193"/>
      <c r="I121" s="193"/>
      <c r="J121" s="193"/>
    </row>
    <row r="122" spans="1:10" x14ac:dyDescent="0.25">
      <c r="A122" s="24" t="s">
        <v>172</v>
      </c>
      <c r="B122" s="188" t="s">
        <v>52</v>
      </c>
      <c r="C122" s="188"/>
      <c r="D122" s="188"/>
      <c r="E122" s="188"/>
      <c r="F122" s="188"/>
      <c r="G122" s="188"/>
      <c r="H122" s="188"/>
      <c r="I122" s="188"/>
      <c r="J122" s="188"/>
    </row>
    <row r="123" spans="1:10" x14ac:dyDescent="0.25">
      <c r="A123" s="22"/>
      <c r="B123" s="22"/>
      <c r="C123" s="22"/>
      <c r="D123" s="22"/>
      <c r="E123" s="22"/>
      <c r="F123" s="22"/>
      <c r="G123" s="22"/>
      <c r="H123" s="22"/>
      <c r="I123" s="22"/>
      <c r="J123" s="22"/>
    </row>
  </sheetData>
  <sheetProtection password="A80B" sheet="1" objects="1" scenarios="1"/>
  <mergeCells count="8">
    <mergeCell ref="B122:J122"/>
    <mergeCell ref="A1:D2"/>
    <mergeCell ref="A117:G117"/>
    <mergeCell ref="B118:J118"/>
    <mergeCell ref="B119:J119"/>
    <mergeCell ref="B120:J120"/>
    <mergeCell ref="B121:J121"/>
    <mergeCell ref="H117:J117"/>
  </mergeCells>
  <hyperlinks>
    <hyperlink ref="B120" r:id="rId1"/>
    <hyperlink ref="B119"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election sqref="A1:D2"/>
    </sheetView>
  </sheetViews>
  <sheetFormatPr baseColWidth="10" defaultRowHeight="15" x14ac:dyDescent="0.25"/>
  <cols>
    <col min="1" max="1" width="20.25" style="2" customWidth="1"/>
    <col min="2" max="2" width="67.125" customWidth="1"/>
    <col min="3" max="3" width="22.75" customWidth="1"/>
    <col min="4" max="4" width="23.875" customWidth="1"/>
    <col min="5" max="5" width="26.625" customWidth="1"/>
  </cols>
  <sheetData>
    <row r="1" spans="1:21" s="8" customFormat="1" ht="28.5" customHeight="1" x14ac:dyDescent="0.25">
      <c r="A1" s="189" t="s">
        <v>170</v>
      </c>
      <c r="B1" s="189"/>
      <c r="C1" s="189"/>
      <c r="D1" s="189"/>
      <c r="G1" s="8" t="s">
        <v>358</v>
      </c>
    </row>
    <row r="2" spans="1:21" s="8" customFormat="1" ht="15" customHeight="1" x14ac:dyDescent="0.25">
      <c r="A2" s="189"/>
      <c r="B2" s="189"/>
      <c r="C2" s="189"/>
      <c r="D2" s="189"/>
    </row>
    <row r="3" spans="1:21" s="8" customFormat="1" ht="23.25" x14ac:dyDescent="0.25">
      <c r="A3" s="31" t="s">
        <v>356</v>
      </c>
    </row>
    <row r="5" spans="1:21" ht="21" x14ac:dyDescent="0.35">
      <c r="B5" s="4" t="s">
        <v>166</v>
      </c>
      <c r="C5" s="105" t="s">
        <v>49</v>
      </c>
      <c r="D5" s="105" t="s">
        <v>50</v>
      </c>
      <c r="E5" s="105" t="s">
        <v>51</v>
      </c>
      <c r="G5" s="5" t="s">
        <v>167</v>
      </c>
      <c r="H5" s="6"/>
      <c r="I5" s="6"/>
      <c r="U5" s="5" t="s">
        <v>167</v>
      </c>
    </row>
    <row r="6" spans="1:21" ht="47.25" x14ac:dyDescent="0.25">
      <c r="A6" s="201" t="s">
        <v>6</v>
      </c>
      <c r="B6" s="106" t="s">
        <v>90</v>
      </c>
      <c r="C6" s="107">
        <f>'3. Evaluación Nivel A'!C24</f>
        <v>0</v>
      </c>
      <c r="D6" s="107">
        <f>'3. Evaluación Nivel A'!C25</f>
        <v>3</v>
      </c>
      <c r="E6" s="107">
        <f>'3. Evaluación Nivel A'!C26</f>
        <v>4</v>
      </c>
    </row>
    <row r="7" spans="1:21" ht="63" x14ac:dyDescent="0.25">
      <c r="A7" s="201"/>
      <c r="B7" s="108" t="s">
        <v>96</v>
      </c>
      <c r="C7" s="109">
        <f>'3. Evaluación Nivel A'!C46</f>
        <v>0</v>
      </c>
      <c r="D7" s="109">
        <f>'3. Evaluación Nivel A'!C47</f>
        <v>0</v>
      </c>
      <c r="E7" s="109">
        <f>'3. Evaluación Nivel A'!C48</f>
        <v>7</v>
      </c>
    </row>
    <row r="8" spans="1:21" ht="63" x14ac:dyDescent="0.25">
      <c r="A8" s="201"/>
      <c r="B8" s="110" t="s">
        <v>393</v>
      </c>
      <c r="C8" s="111">
        <f>'3. Evaluación Nivel A'!C68</f>
        <v>0</v>
      </c>
      <c r="D8" s="111">
        <f>'3. Evaluación Nivel A'!C69</f>
        <v>0</v>
      </c>
      <c r="E8" s="111">
        <f>'3. Evaluación Nivel A'!C70</f>
        <v>7</v>
      </c>
    </row>
    <row r="9" spans="1:21" ht="78.75" x14ac:dyDescent="0.25">
      <c r="A9" s="201"/>
      <c r="B9" s="112" t="s">
        <v>97</v>
      </c>
      <c r="C9" s="109">
        <f>'3. Evaluación Nivel A'!C90</f>
        <v>0</v>
      </c>
      <c r="D9" s="109">
        <f>'3. Evaluación Nivel A'!C91</f>
        <v>0</v>
      </c>
      <c r="E9" s="109">
        <f>'3. Evaluación Nivel A'!C92</f>
        <v>7</v>
      </c>
    </row>
    <row r="10" spans="1:21" ht="47.25" x14ac:dyDescent="0.25">
      <c r="A10" s="201"/>
      <c r="B10" s="113" t="s">
        <v>98</v>
      </c>
      <c r="C10" s="111">
        <f>'3. Evaluación Nivel A'!C112</f>
        <v>5</v>
      </c>
      <c r="D10" s="111">
        <f>'3. Evaluación Nivel A'!C113</f>
        <v>1</v>
      </c>
      <c r="E10" s="111">
        <f>'3. Evaluación Nivel A'!C114</f>
        <v>1</v>
      </c>
    </row>
    <row r="11" spans="1:21" ht="47.25" x14ac:dyDescent="0.25">
      <c r="A11" s="201"/>
      <c r="B11" s="112" t="s">
        <v>99</v>
      </c>
      <c r="C11" s="109">
        <f>'3. Evaluación Nivel A'!C134</f>
        <v>6</v>
      </c>
      <c r="D11" s="109">
        <f>'3. Evaluación Nivel A'!C135</f>
        <v>0</v>
      </c>
      <c r="E11" s="109">
        <f>'3. Evaluación Nivel A'!C136</f>
        <v>1</v>
      </c>
    </row>
    <row r="12" spans="1:21" ht="63" x14ac:dyDescent="0.25">
      <c r="A12" s="201"/>
      <c r="B12" s="113" t="s">
        <v>92</v>
      </c>
      <c r="C12" s="107">
        <f>'3. Evaluación Nivel A'!C156</f>
        <v>7</v>
      </c>
      <c r="D12" s="107">
        <f>'3. Evaluación Nivel A'!C157</f>
        <v>0</v>
      </c>
      <c r="E12" s="107">
        <f>'3. Evaluación Nivel A'!C158</f>
        <v>0</v>
      </c>
    </row>
    <row r="13" spans="1:21" ht="47.25" x14ac:dyDescent="0.25">
      <c r="A13" s="201"/>
      <c r="B13" s="112" t="s">
        <v>93</v>
      </c>
      <c r="C13" s="109">
        <f>'3. Evaluación Nivel A'!C178</f>
        <v>5</v>
      </c>
      <c r="D13" s="109">
        <f>'3. Evaluación Nivel A'!C179</f>
        <v>2</v>
      </c>
      <c r="E13" s="109">
        <f>'3. Evaluación Nivel A'!C180</f>
        <v>0</v>
      </c>
    </row>
    <row r="14" spans="1:21" ht="63" x14ac:dyDescent="0.25">
      <c r="A14" s="201"/>
      <c r="B14" s="113" t="s">
        <v>94</v>
      </c>
      <c r="C14" s="111">
        <f>'3. Evaluación Nivel A'!C200</f>
        <v>0</v>
      </c>
      <c r="D14" s="111">
        <f>'3. Evaluación Nivel A'!C201</f>
        <v>0</v>
      </c>
      <c r="E14" s="111">
        <f>'3. Evaluación Nivel A'!C202</f>
        <v>7</v>
      </c>
    </row>
    <row r="15" spans="1:21" ht="78.75" x14ac:dyDescent="0.25">
      <c r="A15" s="201"/>
      <c r="B15" s="112" t="s">
        <v>95</v>
      </c>
      <c r="C15" s="109">
        <f>'3. Evaluación Nivel A'!C222</f>
        <v>0</v>
      </c>
      <c r="D15" s="109">
        <f>'3. Evaluación Nivel A'!C223</f>
        <v>7</v>
      </c>
      <c r="E15" s="109">
        <f>'3. Evaluación Nivel A'!C224</f>
        <v>0</v>
      </c>
    </row>
    <row r="16" spans="1:21" ht="78.75" x14ac:dyDescent="0.25">
      <c r="A16" s="201"/>
      <c r="B16" s="113" t="s">
        <v>100</v>
      </c>
      <c r="C16" s="111">
        <f>'3. Evaluación Nivel A'!C244</f>
        <v>0</v>
      </c>
      <c r="D16" s="111">
        <f>'3. Evaluación Nivel A'!C245</f>
        <v>7</v>
      </c>
      <c r="E16" s="111">
        <f>'3. Evaluación Nivel A'!C246</f>
        <v>0</v>
      </c>
    </row>
    <row r="17" spans="1:21" ht="15.75" x14ac:dyDescent="0.25">
      <c r="A17" s="201"/>
      <c r="B17" s="112" t="s">
        <v>63</v>
      </c>
      <c r="C17" s="109">
        <f>'3. Evaluación Nivel A'!C266</f>
        <v>0</v>
      </c>
      <c r="D17" s="109">
        <f>'3. Evaluación Nivel A'!C267</f>
        <v>0</v>
      </c>
      <c r="E17" s="109">
        <f>'3. Evaluación Nivel A'!C268</f>
        <v>7</v>
      </c>
    </row>
    <row r="18" spans="1:21" ht="15.75" x14ac:dyDescent="0.25">
      <c r="A18" s="201"/>
      <c r="B18" s="113" t="s">
        <v>101</v>
      </c>
      <c r="C18" s="111">
        <f>'3. Evaluación Nivel A'!C288</f>
        <v>0</v>
      </c>
      <c r="D18" s="111">
        <f>'3. Evaluación Nivel A'!C289</f>
        <v>0</v>
      </c>
      <c r="E18" s="111">
        <f>'3. Evaluación Nivel A'!C290</f>
        <v>7</v>
      </c>
    </row>
    <row r="19" spans="1:21" ht="47.25" x14ac:dyDescent="0.25">
      <c r="A19" s="201"/>
      <c r="B19" s="112" t="s">
        <v>102</v>
      </c>
      <c r="C19" s="109">
        <f>'3. Evaluación Nivel A'!C310</f>
        <v>0</v>
      </c>
      <c r="D19" s="109">
        <f>'3. Evaluación Nivel A'!C311</f>
        <v>0</v>
      </c>
      <c r="E19" s="109">
        <f>'3. Evaluación Nivel A'!C312</f>
        <v>7</v>
      </c>
    </row>
    <row r="20" spans="1:21" ht="31.5" x14ac:dyDescent="0.25">
      <c r="A20" s="201"/>
      <c r="B20" s="113" t="s">
        <v>103</v>
      </c>
      <c r="C20" s="111">
        <f>'3. Evaluación Nivel A'!C332</f>
        <v>0</v>
      </c>
      <c r="D20" s="111">
        <f>'3. Evaluación Nivel A'!C333</f>
        <v>0</v>
      </c>
      <c r="E20" s="111">
        <f>'3. Evaluación Nivel A'!C334</f>
        <v>7</v>
      </c>
    </row>
    <row r="21" spans="1:21" ht="31.5" x14ac:dyDescent="0.25">
      <c r="A21" s="201"/>
      <c r="B21" s="112" t="s">
        <v>104</v>
      </c>
      <c r="C21" s="109">
        <f>'3. Evaluación Nivel A'!C354</f>
        <v>7</v>
      </c>
      <c r="D21" s="109">
        <f>'3. Evaluación Nivel A'!C355</f>
        <v>0</v>
      </c>
      <c r="E21" s="109">
        <f>'3. Evaluación Nivel A'!C356</f>
        <v>0</v>
      </c>
    </row>
    <row r="22" spans="1:21" ht="63" x14ac:dyDescent="0.25">
      <c r="A22" s="201"/>
      <c r="B22" s="113" t="s">
        <v>105</v>
      </c>
      <c r="C22" s="107">
        <f>'3. Evaluación Nivel A'!C376</f>
        <v>7</v>
      </c>
      <c r="D22" s="107">
        <f>'3. Evaluación Nivel A'!C377</f>
        <v>0</v>
      </c>
      <c r="E22" s="107">
        <f>'3. Evaluación Nivel A'!C378</f>
        <v>0</v>
      </c>
    </row>
    <row r="23" spans="1:21" ht="63" x14ac:dyDescent="0.25">
      <c r="A23" s="201"/>
      <c r="B23" s="112" t="s">
        <v>106</v>
      </c>
      <c r="C23" s="114">
        <f>'3. Evaluación Nivel A'!C398</f>
        <v>7</v>
      </c>
      <c r="D23" s="114">
        <f>'3. Evaluación Nivel A'!C399</f>
        <v>0</v>
      </c>
      <c r="E23" s="114">
        <f>'3. Evaluación Nivel A'!C400</f>
        <v>0</v>
      </c>
    </row>
    <row r="24" spans="1:21" s="8" customFormat="1" ht="31.5" x14ac:dyDescent="0.25">
      <c r="A24" s="201"/>
      <c r="B24" s="113" t="s">
        <v>107</v>
      </c>
      <c r="C24" s="107">
        <f>'3. Evaluación Nivel A'!C420</f>
        <v>7</v>
      </c>
      <c r="D24" s="114">
        <f>'3. Evaluación Nivel A'!C421</f>
        <v>0</v>
      </c>
      <c r="E24" s="111">
        <f>'3. Evaluación Nivel A'!C422</f>
        <v>0</v>
      </c>
    </row>
    <row r="25" spans="1:21" s="8" customFormat="1" ht="31.5" x14ac:dyDescent="0.25">
      <c r="A25" s="201"/>
      <c r="B25" s="112" t="s">
        <v>108</v>
      </c>
      <c r="C25" s="114">
        <f>'3. Evaluación Nivel A'!C442</f>
        <v>7</v>
      </c>
      <c r="D25" s="114">
        <f>'3. Evaluación Nivel A'!C443</f>
        <v>0</v>
      </c>
      <c r="E25" s="109">
        <f>'3. Evaluación Nivel A'!C444</f>
        <v>0</v>
      </c>
    </row>
    <row r="26" spans="1:21" s="8" customFormat="1" ht="63" x14ac:dyDescent="0.25">
      <c r="A26" s="201"/>
      <c r="B26" s="113" t="s">
        <v>109</v>
      </c>
      <c r="C26" s="107">
        <f>'3. Evaluación Nivel A'!C464</f>
        <v>7</v>
      </c>
      <c r="D26" s="114">
        <f>'3. Evaluación Nivel A'!C465</f>
        <v>0</v>
      </c>
      <c r="E26" s="111">
        <f>'3. Evaluación Nivel A'!C466</f>
        <v>0</v>
      </c>
    </row>
    <row r="27" spans="1:21" s="8" customFormat="1" ht="47.25" x14ac:dyDescent="0.25">
      <c r="A27" s="201"/>
      <c r="B27" s="112" t="s">
        <v>110</v>
      </c>
      <c r="C27" s="114">
        <f>'3. Evaluación Nivel A'!C486</f>
        <v>7</v>
      </c>
      <c r="D27" s="114">
        <f>'3. Evaluación Nivel A'!C487</f>
        <v>0</v>
      </c>
      <c r="E27" s="109">
        <f>'3. Evaluación Nivel A'!C488</f>
        <v>0</v>
      </c>
    </row>
    <row r="28" spans="1:21" s="8" customFormat="1" ht="31.5" x14ac:dyDescent="0.25">
      <c r="A28" s="201"/>
      <c r="B28" s="113" t="s">
        <v>111</v>
      </c>
      <c r="C28" s="107">
        <f>'3. Evaluación Nivel A'!C508</f>
        <v>7</v>
      </c>
      <c r="D28" s="114">
        <f>'3. Evaluación Nivel A'!C509</f>
        <v>0</v>
      </c>
      <c r="E28" s="111">
        <f>'3. Evaluación Nivel A'!C510</f>
        <v>0</v>
      </c>
    </row>
    <row r="29" spans="1:21" s="8" customFormat="1" ht="78.75" x14ac:dyDescent="0.25">
      <c r="A29" s="201"/>
      <c r="B29" s="112" t="s">
        <v>112</v>
      </c>
      <c r="C29" s="114">
        <f>'3. Evaluación Nivel A'!C530</f>
        <v>7</v>
      </c>
      <c r="D29" s="114">
        <f>'3. Evaluación Nivel A'!C531</f>
        <v>0</v>
      </c>
      <c r="E29" s="109">
        <f>'3. Evaluación Nivel A'!C532</f>
        <v>0</v>
      </c>
    </row>
    <row r="30" spans="1:21" ht="110.25" x14ac:dyDescent="0.35">
      <c r="A30" s="201"/>
      <c r="B30" s="113" t="s">
        <v>113</v>
      </c>
      <c r="C30" s="107">
        <f>'3. Evaluación Nivel A'!C552</f>
        <v>7</v>
      </c>
      <c r="D30" s="114">
        <f>'3. Evaluación Nivel A'!C553</f>
        <v>0</v>
      </c>
      <c r="E30" s="111">
        <f>'3. Evaluación Nivel A'!C554</f>
        <v>0</v>
      </c>
      <c r="G30" s="5" t="s">
        <v>168</v>
      </c>
      <c r="U30" s="5" t="s">
        <v>168</v>
      </c>
    </row>
    <row r="31" spans="1:21" ht="31.5" x14ac:dyDescent="0.25">
      <c r="A31" s="201" t="s">
        <v>22</v>
      </c>
      <c r="B31" s="115" t="s">
        <v>114</v>
      </c>
      <c r="C31" s="116">
        <f>'4. Evaluación Nivel AA'!C23</f>
        <v>0</v>
      </c>
      <c r="D31" s="116">
        <f>'4. Evaluación Nivel AA'!C24</f>
        <v>0</v>
      </c>
      <c r="E31" s="116">
        <f>'4. Evaluación Nivel AA'!C25</f>
        <v>7</v>
      </c>
    </row>
    <row r="32" spans="1:21" ht="47.25" x14ac:dyDescent="0.25">
      <c r="A32" s="201"/>
      <c r="B32" s="108" t="s">
        <v>115</v>
      </c>
      <c r="C32" s="109">
        <f>'4. Evaluación Nivel AA'!C45</f>
        <v>0</v>
      </c>
      <c r="D32" s="109">
        <f>'4. Evaluación Nivel AA'!C46</f>
        <v>0</v>
      </c>
      <c r="E32" s="109">
        <f>'4. Evaluación Nivel AA'!C47</f>
        <v>7</v>
      </c>
    </row>
    <row r="33" spans="1:19" ht="15.75" x14ac:dyDescent="0.25">
      <c r="A33" s="201"/>
      <c r="B33" s="115" t="s">
        <v>78</v>
      </c>
      <c r="C33" s="116">
        <f>'4. Evaluación Nivel AA'!C67</f>
        <v>7</v>
      </c>
      <c r="D33" s="116">
        <f>'4. Evaluación Nivel AA'!C68</f>
        <v>0</v>
      </c>
      <c r="E33" s="116">
        <f>'4. Evaluación Nivel AA'!C69</f>
        <v>0</v>
      </c>
    </row>
    <row r="34" spans="1:19" ht="47.25" x14ac:dyDescent="0.25">
      <c r="A34" s="201"/>
      <c r="B34" s="108" t="s">
        <v>116</v>
      </c>
      <c r="C34" s="114">
        <f>'4. Evaluación Nivel AA'!C89</f>
        <v>0</v>
      </c>
      <c r="D34" s="114">
        <f>'4. Evaluación Nivel AA'!C90</f>
        <v>7</v>
      </c>
      <c r="E34" s="114">
        <f>'4. Evaluación Nivel AA'!C91</f>
        <v>0</v>
      </c>
    </row>
    <row r="35" spans="1:19" ht="15.75" x14ac:dyDescent="0.25">
      <c r="A35" s="201"/>
      <c r="B35" s="115" t="s">
        <v>82</v>
      </c>
      <c r="C35" s="116">
        <f>'4. Evaluación Nivel AA'!C111</f>
        <v>7</v>
      </c>
      <c r="D35" s="116">
        <f>'4. Evaluación Nivel AA'!C112</f>
        <v>0</v>
      </c>
      <c r="E35" s="116">
        <f>'4. Evaluación Nivel AA'!C113</f>
        <v>0</v>
      </c>
    </row>
    <row r="36" spans="1:19" ht="47.25" x14ac:dyDescent="0.25">
      <c r="A36" s="201"/>
      <c r="B36" s="108" t="s">
        <v>117</v>
      </c>
      <c r="C36" s="109">
        <f>'4. Evaluación Nivel AA'!C133</f>
        <v>0</v>
      </c>
      <c r="D36" s="109">
        <f>'4. Evaluación Nivel AA'!C134</f>
        <v>7</v>
      </c>
      <c r="E36" s="109">
        <f>'4. Evaluación Nivel AA'!C135</f>
        <v>0</v>
      </c>
    </row>
    <row r="37" spans="1:19" ht="31.5" x14ac:dyDescent="0.25">
      <c r="A37" s="201"/>
      <c r="B37" s="115" t="s">
        <v>118</v>
      </c>
      <c r="C37" s="117">
        <f>'4. Evaluación Nivel AA'!C155</f>
        <v>7</v>
      </c>
      <c r="D37" s="117">
        <f>'4. Evaluación Nivel AA'!C156</f>
        <v>0</v>
      </c>
      <c r="E37" s="117">
        <f>'4. Evaluación Nivel AA'!C157</f>
        <v>0</v>
      </c>
    </row>
    <row r="38" spans="1:19" ht="47.25" x14ac:dyDescent="0.25">
      <c r="A38" s="201"/>
      <c r="B38" s="108" t="s">
        <v>119</v>
      </c>
      <c r="C38" s="109">
        <f>'4. Evaluación Nivel AA'!C177</f>
        <v>7</v>
      </c>
      <c r="D38" s="109">
        <f>'4. Evaluación Nivel AA'!C178</f>
        <v>0</v>
      </c>
      <c r="E38" s="109">
        <f>'4. Evaluación Nivel AA'!C179</f>
        <v>0</v>
      </c>
    </row>
    <row r="39" spans="1:19" ht="63" x14ac:dyDescent="0.25">
      <c r="A39" s="201"/>
      <c r="B39" s="115" t="s">
        <v>120</v>
      </c>
      <c r="C39" s="116">
        <f>'4. Evaluación Nivel AA'!C199</f>
        <v>0</v>
      </c>
      <c r="D39" s="116">
        <f>'4. Evaluación Nivel AA'!C200</f>
        <v>0</v>
      </c>
      <c r="E39" s="116">
        <f>'4. Evaluación Nivel AA'!C201</f>
        <v>7</v>
      </c>
    </row>
    <row r="40" spans="1:19" ht="63" x14ac:dyDescent="0.25">
      <c r="A40" s="201"/>
      <c r="B40" s="108" t="s">
        <v>121</v>
      </c>
      <c r="C40" s="109">
        <f>'4. Evaluación Nivel AA'!C221</f>
        <v>7</v>
      </c>
      <c r="D40" s="109">
        <f>'4. Evaluación Nivel AA'!C222</f>
        <v>0</v>
      </c>
      <c r="E40" s="109">
        <f>'4. Evaluación Nivel AA'!C223</f>
        <v>0</v>
      </c>
    </row>
    <row r="41" spans="1:19" ht="47.25" x14ac:dyDescent="0.25">
      <c r="A41" s="201"/>
      <c r="B41" s="115" t="s">
        <v>122</v>
      </c>
      <c r="C41" s="117">
        <f>'4. Evaluación Nivel AA'!C243</f>
        <v>7</v>
      </c>
      <c r="D41" s="117">
        <f>'4. Evaluación Nivel AA'!C244</f>
        <v>0</v>
      </c>
      <c r="E41" s="117">
        <f>'4. Evaluación Nivel AA'!C245</f>
        <v>0</v>
      </c>
    </row>
    <row r="42" spans="1:19" ht="63" x14ac:dyDescent="0.25">
      <c r="A42" s="201"/>
      <c r="B42" s="108" t="s">
        <v>123</v>
      </c>
      <c r="C42" s="109">
        <f>'4. Evaluación Nivel AA'!C265</f>
        <v>7</v>
      </c>
      <c r="D42" s="109">
        <f>'4. Evaluación Nivel AA'!C266</f>
        <v>0</v>
      </c>
      <c r="E42" s="109">
        <f>'4. Evaluación Nivel AA'!C267</f>
        <v>0</v>
      </c>
    </row>
    <row r="43" spans="1:19" ht="78.75" x14ac:dyDescent="0.25">
      <c r="A43" s="201"/>
      <c r="B43" s="118" t="s">
        <v>124</v>
      </c>
      <c r="C43" s="117">
        <f>'4. Evaluación Nivel AA'!C287</f>
        <v>7</v>
      </c>
      <c r="D43" s="117">
        <f>'4. Evaluación Nivel AA'!C288</f>
        <v>0</v>
      </c>
      <c r="E43" s="117">
        <f>'4. Evaluación Nivel AA'!C289</f>
        <v>0</v>
      </c>
    </row>
    <row r="45" spans="1:19" ht="15.75" thickBot="1" x14ac:dyDescent="0.3"/>
    <row r="46" spans="1:19" s="8" customFormat="1" ht="15.75" thickTop="1" x14ac:dyDescent="0.25">
      <c r="A46" s="195"/>
      <c r="B46" s="195"/>
      <c r="C46" s="195"/>
      <c r="D46" s="195"/>
      <c r="E46" s="195"/>
      <c r="F46" s="195"/>
      <c r="G46" s="195"/>
      <c r="H46" s="195"/>
      <c r="I46" s="195"/>
      <c r="J46" s="195"/>
      <c r="K46" s="195"/>
      <c r="L46" s="195"/>
      <c r="M46" s="195"/>
      <c r="N46" s="195"/>
      <c r="O46" s="195"/>
      <c r="P46" s="195"/>
      <c r="Q46" s="195"/>
      <c r="R46" s="195"/>
      <c r="S46" s="195"/>
    </row>
    <row r="47" spans="1:19" s="8" customFormat="1" x14ac:dyDescent="0.25">
      <c r="A47" s="120" t="s">
        <v>44</v>
      </c>
      <c r="B47" s="196" t="s">
        <v>2</v>
      </c>
      <c r="C47" s="196"/>
      <c r="D47" s="196"/>
      <c r="E47" s="196"/>
      <c r="F47" s="196"/>
      <c r="G47" s="196"/>
      <c r="H47" s="196"/>
      <c r="I47" s="196"/>
      <c r="J47" s="196"/>
      <c r="K47" s="3"/>
      <c r="L47" s="3"/>
      <c r="M47" s="3"/>
      <c r="N47" s="3"/>
      <c r="O47" s="3"/>
      <c r="P47" s="3"/>
      <c r="Q47" s="3"/>
      <c r="R47" s="3"/>
      <c r="S47" s="3"/>
    </row>
    <row r="48" spans="1:19" s="8" customFormat="1" x14ac:dyDescent="0.25">
      <c r="A48" s="121" t="s">
        <v>173</v>
      </c>
      <c r="B48" s="197" t="s">
        <v>47</v>
      </c>
      <c r="C48" s="198"/>
      <c r="D48" s="198"/>
      <c r="E48" s="198"/>
      <c r="F48" s="198"/>
      <c r="G48" s="198"/>
      <c r="H48" s="198"/>
      <c r="I48" s="198"/>
      <c r="J48" s="198"/>
      <c r="K48" s="3"/>
      <c r="L48" s="3"/>
      <c r="M48" s="3"/>
      <c r="N48" s="3"/>
      <c r="O48" s="3"/>
      <c r="P48" s="3"/>
      <c r="Q48" s="3"/>
      <c r="R48" s="3"/>
      <c r="S48" s="3"/>
    </row>
    <row r="49" spans="1:19" s="8" customFormat="1" x14ac:dyDescent="0.25">
      <c r="A49" s="121" t="s">
        <v>45</v>
      </c>
      <c r="B49" s="198" t="s">
        <v>46</v>
      </c>
      <c r="C49" s="198"/>
      <c r="D49" s="198"/>
      <c r="E49" s="198"/>
      <c r="F49" s="198"/>
      <c r="G49" s="198"/>
      <c r="H49" s="198"/>
      <c r="I49" s="198"/>
      <c r="J49" s="198"/>
      <c r="K49" s="3"/>
      <c r="L49" s="3"/>
      <c r="M49" s="3"/>
      <c r="N49" s="3"/>
      <c r="O49" s="3"/>
      <c r="P49" s="3"/>
      <c r="Q49" s="3"/>
      <c r="R49" s="3"/>
      <c r="S49" s="3"/>
    </row>
    <row r="50" spans="1:19" s="8" customFormat="1" x14ac:dyDescent="0.25">
      <c r="A50" s="122" t="s">
        <v>171</v>
      </c>
      <c r="B50" s="199" t="s">
        <v>437</v>
      </c>
      <c r="C50" s="199"/>
      <c r="D50" s="199"/>
      <c r="E50" s="199"/>
      <c r="F50" s="199"/>
      <c r="G50" s="199"/>
      <c r="H50" s="199"/>
      <c r="I50" s="199"/>
      <c r="J50" s="199"/>
      <c r="K50" s="3"/>
      <c r="L50" s="3"/>
      <c r="M50" s="3"/>
      <c r="N50" s="3"/>
      <c r="O50" s="3"/>
      <c r="P50" s="3"/>
      <c r="Q50" s="3"/>
      <c r="R50" s="3"/>
      <c r="S50" s="3"/>
    </row>
    <row r="51" spans="1:19" s="8" customFormat="1" x14ac:dyDescent="0.25">
      <c r="A51" s="121" t="s">
        <v>172</v>
      </c>
      <c r="B51" s="200" t="s">
        <v>52</v>
      </c>
      <c r="C51" s="200"/>
      <c r="D51" s="200"/>
      <c r="E51" s="200"/>
      <c r="F51" s="200"/>
      <c r="G51" s="200"/>
      <c r="H51" s="200"/>
      <c r="I51" s="200"/>
      <c r="J51" s="200"/>
      <c r="K51" s="3"/>
      <c r="L51" s="3"/>
      <c r="M51" s="3"/>
      <c r="N51" s="3"/>
      <c r="O51" s="3"/>
      <c r="P51" s="3"/>
      <c r="Q51" s="3"/>
      <c r="R51" s="3"/>
      <c r="S51" s="3"/>
    </row>
    <row r="52" spans="1:19" s="8" customFormat="1" x14ac:dyDescent="0.25">
      <c r="A52" s="3"/>
      <c r="B52" s="3"/>
      <c r="C52" s="3"/>
      <c r="D52" s="3"/>
      <c r="E52" s="3"/>
      <c r="F52" s="3"/>
      <c r="G52" s="3"/>
      <c r="H52" s="3"/>
      <c r="I52" s="3"/>
      <c r="J52" s="3"/>
      <c r="K52" s="3"/>
      <c r="L52" s="3"/>
      <c r="M52" s="3"/>
      <c r="N52" s="3"/>
      <c r="O52" s="3"/>
      <c r="P52" s="3"/>
      <c r="Q52" s="3"/>
      <c r="R52" s="3"/>
      <c r="S52" s="3"/>
    </row>
  </sheetData>
  <sheetProtection password="BD42" sheet="1" objects="1" scenarios="1"/>
  <mergeCells count="11">
    <mergeCell ref="B48:J48"/>
    <mergeCell ref="B49:J49"/>
    <mergeCell ref="B50:J50"/>
    <mergeCell ref="B51:J51"/>
    <mergeCell ref="A6:A30"/>
    <mergeCell ref="A31:A43"/>
    <mergeCell ref="O46:S46"/>
    <mergeCell ref="A1:D2"/>
    <mergeCell ref="A46:G46"/>
    <mergeCell ref="B47:J47"/>
    <mergeCell ref="H46:N46"/>
  </mergeCells>
  <hyperlinks>
    <hyperlink ref="B49" r:id="rId1"/>
    <hyperlink ref="B48" r:id="rId2"/>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workbookViewId="0">
      <selection sqref="A1:H2"/>
    </sheetView>
  </sheetViews>
  <sheetFormatPr baseColWidth="10" defaultRowHeight="15" x14ac:dyDescent="0.25"/>
  <cols>
    <col min="1" max="1" width="20" style="9" customWidth="1"/>
    <col min="2" max="2" width="44.75" style="9" customWidth="1"/>
    <col min="3" max="8" width="23.25" style="9" customWidth="1"/>
    <col min="9" max="257" width="11.375" style="9"/>
    <col min="258" max="264" width="23.25" style="9" customWidth="1"/>
    <col min="265" max="513" width="11.375" style="9"/>
    <col min="514" max="520" width="23.25" style="9" customWidth="1"/>
    <col min="521" max="769" width="11.375" style="9"/>
    <col min="770" max="776" width="23.25" style="9" customWidth="1"/>
    <col min="777" max="1025" width="11.375" style="9"/>
    <col min="1026" max="1032" width="23.25" style="9" customWidth="1"/>
    <col min="1033" max="1281" width="11.375" style="9"/>
    <col min="1282" max="1288" width="23.25" style="9" customWidth="1"/>
    <col min="1289" max="1537" width="11.375" style="9"/>
    <col min="1538" max="1544" width="23.25" style="9" customWidth="1"/>
    <col min="1545" max="1793" width="11.375" style="9"/>
    <col min="1794" max="1800" width="23.25" style="9" customWidth="1"/>
    <col min="1801" max="2049" width="11.375" style="9"/>
    <col min="2050" max="2056" width="23.25" style="9" customWidth="1"/>
    <col min="2057" max="2305" width="11.375" style="9"/>
    <col min="2306" max="2312" width="23.25" style="9" customWidth="1"/>
    <col min="2313" max="2561" width="11.375" style="9"/>
    <col min="2562" max="2568" width="23.25" style="9" customWidth="1"/>
    <col min="2569" max="2817" width="11.375" style="9"/>
    <col min="2818" max="2824" width="23.25" style="9" customWidth="1"/>
    <col min="2825" max="3073" width="11.375" style="9"/>
    <col min="3074" max="3080" width="23.25" style="9" customWidth="1"/>
    <col min="3081" max="3329" width="11.375" style="9"/>
    <col min="3330" max="3336" width="23.25" style="9" customWidth="1"/>
    <col min="3337" max="3585" width="11.375" style="9"/>
    <col min="3586" max="3592" width="23.25" style="9" customWidth="1"/>
    <col min="3593" max="3841" width="11.375" style="9"/>
    <col min="3842" max="3848" width="23.25" style="9" customWidth="1"/>
    <col min="3849" max="4097" width="11.375" style="9"/>
    <col min="4098" max="4104" width="23.25" style="9" customWidth="1"/>
    <col min="4105" max="4353" width="11.375" style="9"/>
    <col min="4354" max="4360" width="23.25" style="9" customWidth="1"/>
    <col min="4361" max="4609" width="11.375" style="9"/>
    <col min="4610" max="4616" width="23.25" style="9" customWidth="1"/>
    <col min="4617" max="4865" width="11.375" style="9"/>
    <col min="4866" max="4872" width="23.25" style="9" customWidth="1"/>
    <col min="4873" max="5121" width="11.375" style="9"/>
    <col min="5122" max="5128" width="23.25" style="9" customWidth="1"/>
    <col min="5129" max="5377" width="11.375" style="9"/>
    <col min="5378" max="5384" width="23.25" style="9" customWidth="1"/>
    <col min="5385" max="5633" width="11.375" style="9"/>
    <col min="5634" max="5640" width="23.25" style="9" customWidth="1"/>
    <col min="5641" max="5889" width="11.375" style="9"/>
    <col min="5890" max="5896" width="23.25" style="9" customWidth="1"/>
    <col min="5897" max="6145" width="11.375" style="9"/>
    <col min="6146" max="6152" width="23.25" style="9" customWidth="1"/>
    <col min="6153" max="6401" width="11.375" style="9"/>
    <col min="6402" max="6408" width="23.25" style="9" customWidth="1"/>
    <col min="6409" max="6657" width="11.375" style="9"/>
    <col min="6658" max="6664" width="23.25" style="9" customWidth="1"/>
    <col min="6665" max="6913" width="11.375" style="9"/>
    <col min="6914" max="6920" width="23.25" style="9" customWidth="1"/>
    <col min="6921" max="7169" width="11.375" style="9"/>
    <col min="7170" max="7176" width="23.25" style="9" customWidth="1"/>
    <col min="7177" max="7425" width="11.375" style="9"/>
    <col min="7426" max="7432" width="23.25" style="9" customWidth="1"/>
    <col min="7433" max="7681" width="11.375" style="9"/>
    <col min="7682" max="7688" width="23.25" style="9" customWidth="1"/>
    <col min="7689" max="7937" width="11.375" style="9"/>
    <col min="7938" max="7944" width="23.25" style="9" customWidth="1"/>
    <col min="7945" max="8193" width="11.375" style="9"/>
    <col min="8194" max="8200" width="23.25" style="9" customWidth="1"/>
    <col min="8201" max="8449" width="11.375" style="9"/>
    <col min="8450" max="8456" width="23.25" style="9" customWidth="1"/>
    <col min="8457" max="8705" width="11.375" style="9"/>
    <col min="8706" max="8712" width="23.25" style="9" customWidth="1"/>
    <col min="8713" max="8961" width="11.375" style="9"/>
    <col min="8962" max="8968" width="23.25" style="9" customWidth="1"/>
    <col min="8969" max="9217" width="11.375" style="9"/>
    <col min="9218" max="9224" width="23.25" style="9" customWidth="1"/>
    <col min="9225" max="9473" width="11.375" style="9"/>
    <col min="9474" max="9480" width="23.25" style="9" customWidth="1"/>
    <col min="9481" max="9729" width="11.375" style="9"/>
    <col min="9730" max="9736" width="23.25" style="9" customWidth="1"/>
    <col min="9737" max="9985" width="11.375" style="9"/>
    <col min="9986" max="9992" width="23.25" style="9" customWidth="1"/>
    <col min="9993" max="10241" width="11.375" style="9"/>
    <col min="10242" max="10248" width="23.25" style="9" customWidth="1"/>
    <col min="10249" max="10497" width="11.375" style="9"/>
    <col min="10498" max="10504" width="23.25" style="9" customWidth="1"/>
    <col min="10505" max="10753" width="11.375" style="9"/>
    <col min="10754" max="10760" width="23.25" style="9" customWidth="1"/>
    <col min="10761" max="11009" width="11.375" style="9"/>
    <col min="11010" max="11016" width="23.25" style="9" customWidth="1"/>
    <col min="11017" max="11265" width="11.375" style="9"/>
    <col min="11266" max="11272" width="23.25" style="9" customWidth="1"/>
    <col min="11273" max="11521" width="11.375" style="9"/>
    <col min="11522" max="11528" width="23.25" style="9" customWidth="1"/>
    <col min="11529" max="11777" width="11.375" style="9"/>
    <col min="11778" max="11784" width="23.25" style="9" customWidth="1"/>
    <col min="11785" max="12033" width="11.375" style="9"/>
    <col min="12034" max="12040" width="23.25" style="9" customWidth="1"/>
    <col min="12041" max="12289" width="11.375" style="9"/>
    <col min="12290" max="12296" width="23.25" style="9" customWidth="1"/>
    <col min="12297" max="12545" width="11.375" style="9"/>
    <col min="12546" max="12552" width="23.25" style="9" customWidth="1"/>
    <col min="12553" max="12801" width="11.375" style="9"/>
    <col min="12802" max="12808" width="23.25" style="9" customWidth="1"/>
    <col min="12809" max="13057" width="11.375" style="9"/>
    <col min="13058" max="13064" width="23.25" style="9" customWidth="1"/>
    <col min="13065" max="13313" width="11.375" style="9"/>
    <col min="13314" max="13320" width="23.25" style="9" customWidth="1"/>
    <col min="13321" max="13569" width="11.375" style="9"/>
    <col min="13570" max="13576" width="23.25" style="9" customWidth="1"/>
    <col min="13577" max="13825" width="11.375" style="9"/>
    <col min="13826" max="13832" width="23.25" style="9" customWidth="1"/>
    <col min="13833" max="14081" width="11.375" style="9"/>
    <col min="14082" max="14088" width="23.25" style="9" customWidth="1"/>
    <col min="14089" max="14337" width="11.375" style="9"/>
    <col min="14338" max="14344" width="23.25" style="9" customWidth="1"/>
    <col min="14345" max="14593" width="11.375" style="9"/>
    <col min="14594" max="14600" width="23.25" style="9" customWidth="1"/>
    <col min="14601" max="14849" width="11.375" style="9"/>
    <col min="14850" max="14856" width="23.25" style="9" customWidth="1"/>
    <col min="14857" max="15105" width="11.375" style="9"/>
    <col min="15106" max="15112" width="23.25" style="9" customWidth="1"/>
    <col min="15113" max="15361" width="11.375" style="9"/>
    <col min="15362" max="15368" width="23.25" style="9" customWidth="1"/>
    <col min="15369" max="15617" width="11.375" style="9"/>
    <col min="15618" max="15624" width="23.25" style="9" customWidth="1"/>
    <col min="15625" max="15873" width="11.375" style="9"/>
    <col min="15874" max="15880" width="23.25" style="9" customWidth="1"/>
    <col min="15881" max="16129" width="11.375" style="9"/>
    <col min="16130" max="16136" width="23.25" style="9" customWidth="1"/>
    <col min="16137" max="16384" width="11.375" style="9"/>
  </cols>
  <sheetData>
    <row r="1" spans="1:20" s="8" customFormat="1" ht="28.5" customHeight="1" x14ac:dyDescent="0.25">
      <c r="A1" s="189" t="s">
        <v>170</v>
      </c>
      <c r="B1" s="189"/>
      <c r="C1" s="189"/>
      <c r="D1" s="189"/>
      <c r="E1" s="189"/>
      <c r="F1" s="189"/>
      <c r="G1" s="189"/>
      <c r="H1" s="189"/>
      <c r="I1" s="8" t="s">
        <v>358</v>
      </c>
    </row>
    <row r="2" spans="1:20" s="8" customFormat="1" ht="15" customHeight="1" x14ac:dyDescent="0.25">
      <c r="A2" s="189"/>
      <c r="B2" s="189"/>
      <c r="C2" s="189"/>
      <c r="D2" s="189"/>
      <c r="E2" s="189"/>
      <c r="F2" s="189"/>
      <c r="G2" s="189"/>
      <c r="H2" s="189"/>
      <c r="I2" s="8" t="s">
        <v>432</v>
      </c>
    </row>
    <row r="3" spans="1:20" s="8" customFormat="1" ht="23.25" x14ac:dyDescent="0.25">
      <c r="A3" s="31" t="s">
        <v>436</v>
      </c>
    </row>
    <row r="4" spans="1:20" s="8" customFormat="1" ht="28.5" customHeight="1" x14ac:dyDescent="0.25">
      <c r="A4" s="164" t="s">
        <v>442</v>
      </c>
    </row>
    <row r="5" spans="1:20" ht="28.5" customHeight="1" x14ac:dyDescent="0.25">
      <c r="A5" s="167" t="s">
        <v>440</v>
      </c>
      <c r="L5" s="14"/>
      <c r="M5" s="14"/>
      <c r="N5" s="14"/>
      <c r="O5" s="14"/>
      <c r="P5" s="14"/>
      <c r="Q5" s="14"/>
      <c r="R5" s="14"/>
    </row>
    <row r="6" spans="1:20" ht="19.5" thickBot="1" x14ac:dyDescent="0.35">
      <c r="B6" s="202" t="str">
        <f>'1.Datos generales'!B6</f>
        <v>Barber App</v>
      </c>
      <c r="C6" s="202"/>
      <c r="D6" s="202"/>
      <c r="E6" s="202"/>
      <c r="F6" s="202"/>
      <c r="G6" s="202"/>
      <c r="H6" s="202"/>
      <c r="K6" s="15"/>
      <c r="L6" s="16"/>
      <c r="M6" s="16"/>
      <c r="N6" s="17" t="s">
        <v>140</v>
      </c>
      <c r="O6" s="17" t="s">
        <v>141</v>
      </c>
      <c r="P6" s="17" t="s">
        <v>142</v>
      </c>
      <c r="Q6" s="17" t="s">
        <v>143</v>
      </c>
      <c r="R6" s="17" t="s">
        <v>144</v>
      </c>
      <c r="S6" s="17" t="s">
        <v>145</v>
      </c>
      <c r="T6" s="18"/>
    </row>
    <row r="7" spans="1:20" ht="19.5" thickBot="1" x14ac:dyDescent="0.35">
      <c r="B7" s="63" t="s">
        <v>3</v>
      </c>
      <c r="C7" s="64" t="s">
        <v>146</v>
      </c>
      <c r="D7" s="65" t="s">
        <v>147</v>
      </c>
      <c r="E7" s="64" t="s">
        <v>148</v>
      </c>
      <c r="F7" s="65" t="s">
        <v>149</v>
      </c>
      <c r="G7" s="64" t="s">
        <v>150</v>
      </c>
      <c r="H7" s="65" t="s">
        <v>151</v>
      </c>
      <c r="K7" s="15"/>
      <c r="L7" s="16"/>
      <c r="M7" s="16"/>
      <c r="N7" s="16"/>
      <c r="O7" s="18"/>
      <c r="P7" s="18"/>
      <c r="Q7" s="18"/>
      <c r="R7" s="18"/>
      <c r="S7" s="18"/>
    </row>
    <row r="8" spans="1:20" ht="19.5" thickBot="1" x14ac:dyDescent="0.35">
      <c r="B8" s="161" t="str">
        <f>'2.Páginas de la muestra'!C8</f>
        <v>Inicio</v>
      </c>
      <c r="C8" s="66">
        <f>'7. Resultados detalle página'!G10</f>
        <v>82.352941176470594</v>
      </c>
      <c r="D8" s="66">
        <f>IF('1.Datos generales'!B10="AA",'7. Resultados detalle página'!G30,"")</f>
        <v>81.481481481481481</v>
      </c>
      <c r="E8" s="66">
        <f>IF('2.Páginas de la muestra'!B5&gt;0,'7. Resultados detalle página'!G49,"")</f>
        <v>75</v>
      </c>
      <c r="F8" s="66">
        <f>IF('2.Páginas de la muestra'!B5&gt;0,'7. Resultados detalle página'!G68,"")</f>
        <v>62.5</v>
      </c>
      <c r="G8" s="66">
        <f>IF('2.Páginas de la muestra'!B5&gt;0,'7. Resultados detalle página'!G87,"")</f>
        <v>100</v>
      </c>
      <c r="H8" s="67">
        <f>IF('2.Páginas de la muestra'!B5&gt;0,'7. Resultados detalle página'!G106,"")</f>
        <v>100</v>
      </c>
      <c r="K8" s="15"/>
      <c r="L8" s="17" t="s">
        <v>140</v>
      </c>
      <c r="M8" s="17" t="s">
        <v>141</v>
      </c>
      <c r="N8" s="16" t="s">
        <v>152</v>
      </c>
      <c r="O8" s="18"/>
      <c r="P8" s="18"/>
      <c r="Q8" s="18"/>
      <c r="R8" s="18"/>
      <c r="S8" s="18"/>
    </row>
    <row r="9" spans="1:20" ht="19.5" thickBot="1" x14ac:dyDescent="0.35">
      <c r="B9" s="162" t="str">
        <f>'2.Páginas de la muestra'!C9</f>
        <v>login</v>
      </c>
      <c r="C9" s="66" t="str">
        <f>'7. Resultados detalle página'!G11</f>
        <v/>
      </c>
      <c r="D9" s="66" t="str">
        <f>IF('1.Datos generales'!B10="AA",'7. Resultados detalle página'!G31,"")</f>
        <v/>
      </c>
      <c r="E9" s="66" t="str">
        <f>IF('2.Páginas de la muestra'!B5&gt;1,'7. Resultados detalle página'!G50,"")</f>
        <v/>
      </c>
      <c r="F9" s="66" t="str">
        <f>IF('2.Páginas de la muestra'!B5&gt;1,'7. Resultados detalle página'!G69,"")</f>
        <v/>
      </c>
      <c r="G9" s="66" t="str">
        <f>IF('2.Páginas de la muestra'!B5&gt;1,'7. Resultados detalle página'!G88,"")</f>
        <v/>
      </c>
      <c r="H9" s="67" t="str">
        <f>IF('2.Páginas de la muestra'!B5&gt;1,'7. Resultados detalle página'!G107,"")</f>
        <v/>
      </c>
      <c r="K9" s="15"/>
      <c r="L9" s="19">
        <f>C23</f>
        <v>82.352941176470594</v>
      </c>
      <c r="M9" s="19">
        <f>D23</f>
        <v>81.481481481481481</v>
      </c>
      <c r="N9" s="20">
        <f>100-(M9+L9)</f>
        <v>-63.834422657952075</v>
      </c>
      <c r="O9" s="18"/>
      <c r="P9" s="18"/>
      <c r="Q9" s="18"/>
      <c r="R9" s="18"/>
      <c r="S9" s="18"/>
    </row>
    <row r="10" spans="1:20" ht="19.5" thickBot="1" x14ac:dyDescent="0.35">
      <c r="B10" s="162" t="str">
        <f>'2.Páginas de la muestra'!C10</f>
        <v>Inicio-Dashboard</v>
      </c>
      <c r="C10" s="66" t="str">
        <f>'7. Resultados detalle página'!G12</f>
        <v/>
      </c>
      <c r="D10" s="66" t="str">
        <f>IF('1.Datos generales'!B10="AA",'7. Resultados detalle página'!G32,"")</f>
        <v/>
      </c>
      <c r="E10" s="66" t="str">
        <f>IF('2.Páginas de la muestra'!B5&gt;2,'7. Resultados detalle página'!G51,"")</f>
        <v/>
      </c>
      <c r="F10" s="66" t="str">
        <f>IF('2.Páginas de la muestra'!B5&gt;2,'7. Resultados detalle página'!G70,"")</f>
        <v/>
      </c>
      <c r="G10" s="66" t="str">
        <f>IF('2.Páginas de la muestra'!B5&gt;2,'7. Resultados detalle página'!G89,"")</f>
        <v/>
      </c>
      <c r="H10" s="67" t="str">
        <f>IF('2.Páginas de la muestra'!B5&gt;2,'7. Resultados detalle página'!G108,"")</f>
        <v/>
      </c>
      <c r="K10" s="15"/>
      <c r="L10" s="21"/>
      <c r="M10" s="21"/>
      <c r="N10" s="21"/>
      <c r="O10" s="14"/>
      <c r="P10" s="14"/>
      <c r="Q10" s="14"/>
      <c r="R10" s="14"/>
    </row>
    <row r="11" spans="1:20" ht="19.5" thickBot="1" x14ac:dyDescent="0.35">
      <c r="B11" s="162" t="str">
        <f>'2.Páginas de la muestra'!C11</f>
        <v>Dashboard-Usuarios</v>
      </c>
      <c r="C11" s="66" t="str">
        <f>'7. Resultados detalle página'!G13</f>
        <v/>
      </c>
      <c r="D11" s="66" t="str">
        <f>IF('1.Datos generales'!B10="AA",'7. Resultados detalle página'!G33,"")</f>
        <v/>
      </c>
      <c r="E11" s="66" t="str">
        <f>IF('2.Páginas de la muestra'!B5&gt;3,'7. Resultados detalle página'!G52,"")</f>
        <v/>
      </c>
      <c r="F11" s="66" t="str">
        <f>IF('2.Páginas de la muestra'!B5&gt;3,'7. Resultados detalle página'!G71,"")</f>
        <v/>
      </c>
      <c r="G11" s="66" t="str">
        <f>IF('2.Páginas de la muestra'!B5&gt;3,'7. Resultados detalle página'!G90,"")</f>
        <v/>
      </c>
      <c r="H11" s="67" t="str">
        <f>IF('2.Páginas de la muestra'!B5&gt;3,'7. Resultados detalle página'!G109,"")</f>
        <v/>
      </c>
      <c r="K11" s="15"/>
      <c r="L11" s="21"/>
      <c r="M11" s="21"/>
      <c r="N11" s="21"/>
      <c r="O11" s="14"/>
      <c r="P11" s="14"/>
      <c r="Q11" s="14"/>
      <c r="R11" s="14"/>
    </row>
    <row r="12" spans="1:20" ht="19.5" thickBot="1" x14ac:dyDescent="0.35">
      <c r="B12" s="162" t="str">
        <f>'2.Páginas de la muestra'!C12</f>
        <v>Dashboard-Servicios</v>
      </c>
      <c r="C12" s="66" t="str">
        <f>'7. Resultados detalle página'!G14</f>
        <v/>
      </c>
      <c r="D12" s="66" t="str">
        <f>IF('1.Datos generales'!B10="AA",'7. Resultados detalle página'!G34,"")</f>
        <v/>
      </c>
      <c r="E12" s="66" t="str">
        <f>IF('2.Páginas de la muestra'!B5&gt;4,'7. Resultados detalle página'!G53,"")</f>
        <v/>
      </c>
      <c r="F12" s="66" t="str">
        <f>IF('2.Páginas de la muestra'!B5&gt;4,'7. Resultados detalle página'!G72,"")</f>
        <v/>
      </c>
      <c r="G12" s="66" t="str">
        <f>IF('2.Páginas de la muestra'!B5&gt;4,'7. Resultados detalle página'!G91,"")</f>
        <v/>
      </c>
      <c r="H12" s="67" t="str">
        <f>IF('2.Páginas de la muestra'!B5&gt;4,'7. Resultados detalle página'!G110,"")</f>
        <v/>
      </c>
      <c r="K12" s="15"/>
      <c r="L12" s="21"/>
      <c r="M12" s="21"/>
      <c r="N12" s="21"/>
      <c r="O12" s="14"/>
      <c r="P12" s="14"/>
      <c r="Q12" s="14"/>
      <c r="R12" s="14"/>
    </row>
    <row r="13" spans="1:20" ht="19.5" thickBot="1" x14ac:dyDescent="0.35">
      <c r="B13" s="163" t="str">
        <f>'2.Páginas de la muestra'!C13</f>
        <v>Dashboard-Reservas</v>
      </c>
      <c r="C13" s="66" t="str">
        <f>'7. Resultados detalle página'!G15</f>
        <v/>
      </c>
      <c r="D13" s="66" t="str">
        <f>IF('1.Datos generales'!B10="AA",'7. Resultados detalle página'!G35,"")</f>
        <v/>
      </c>
      <c r="E13" s="66" t="str">
        <f>IF('2.Páginas de la muestra'!B5&gt;5,'7. Resultados detalle página'!G54,"")</f>
        <v/>
      </c>
      <c r="F13" s="66" t="str">
        <f>IF('2.Páginas de la muestra'!B5&gt;5,'7. Resultados detalle página'!G73,"")</f>
        <v/>
      </c>
      <c r="G13" s="66" t="str">
        <f>IF('2.Páginas de la muestra'!B5&gt;5,'7. Resultados detalle página'!G92,"")</f>
        <v/>
      </c>
      <c r="H13" s="67" t="str">
        <f>IF('2.Páginas de la muestra'!B5&gt;5,'7. Resultados detalle página'!G111,"")</f>
        <v/>
      </c>
    </row>
    <row r="14" spans="1:20" ht="19.5" thickBot="1" x14ac:dyDescent="0.35">
      <c r="B14" s="163" t="str">
        <f>'2.Páginas de la muestra'!C14</f>
        <v>Dashboard-Reservas-clientes</v>
      </c>
      <c r="C14" s="66" t="str">
        <f>'7. Resultados detalle página'!G16</f>
        <v/>
      </c>
      <c r="D14" s="66" t="str">
        <f>IF('1.Datos generales'!B10="AA",'7. Resultados detalle página'!G36,"")</f>
        <v/>
      </c>
      <c r="E14" s="66" t="str">
        <f>IF('2.Páginas de la muestra'!B5&gt;6,'7. Resultados detalle página'!G55,"")</f>
        <v/>
      </c>
      <c r="F14" s="66" t="str">
        <f>IF('2.Páginas de la muestra'!B5&gt;6,'7. Resultados detalle página'!G74,"")</f>
        <v/>
      </c>
      <c r="G14" s="66" t="str">
        <f>IF('2.Páginas de la muestra'!B5&gt;6,'7. Resultados detalle página'!G93,"")</f>
        <v/>
      </c>
      <c r="H14" s="67" t="str">
        <f>IF('2.Páginas de la muestra'!B5&gt;6,'7. Resultados detalle página'!G112,"")</f>
        <v/>
      </c>
    </row>
    <row r="15" spans="1:20" ht="19.5" thickBot="1" x14ac:dyDescent="0.35">
      <c r="B15" s="163" t="str">
        <f>'2.Páginas de la muestra'!C15</f>
        <v>ALIAS 8</v>
      </c>
      <c r="C15" s="66" t="str">
        <f>'7. Resultados detalle página'!G17</f>
        <v/>
      </c>
      <c r="D15" s="66" t="str">
        <f>IF('1.Datos generales'!B10="AA",'7. Resultados detalle página'!G37,"")</f>
        <v/>
      </c>
      <c r="E15" s="66" t="str">
        <f>IF('2.Páginas de la muestra'!B5&gt;7,'7. Resultados detalle página'!G56,"")</f>
        <v/>
      </c>
      <c r="F15" s="66" t="str">
        <f>IF('2.Páginas de la muestra'!B5&gt;7,'7. Resultados detalle página'!G75,"")</f>
        <v/>
      </c>
      <c r="G15" s="66" t="str">
        <f>IF('2.Páginas de la muestra'!B5&gt;7,'7. Resultados detalle página'!G94,"")</f>
        <v/>
      </c>
      <c r="H15" s="67" t="str">
        <f>IF('2.Páginas de la muestra'!B5&gt;7,'7. Resultados detalle página'!G113,"")</f>
        <v/>
      </c>
    </row>
    <row r="16" spans="1:20" ht="19.5" thickBot="1" x14ac:dyDescent="0.35">
      <c r="B16" s="163" t="str">
        <f>'2.Páginas de la muestra'!C16</f>
        <v>ALIAS 9</v>
      </c>
      <c r="C16" s="66" t="str">
        <f>'7. Resultados detalle página'!G18</f>
        <v/>
      </c>
      <c r="D16" s="66" t="str">
        <f>IF('1.Datos generales'!B10="AA",'7. Resultados detalle página'!G38,"")</f>
        <v/>
      </c>
      <c r="E16" s="66" t="str">
        <f>IF('2.Páginas de la muestra'!B5&gt;8,'7. Resultados detalle página'!G57,"")</f>
        <v/>
      </c>
      <c r="F16" s="66" t="str">
        <f>IF('2.Páginas de la muestra'!B5&gt;8,'7. Resultados detalle página'!G76,"")</f>
        <v/>
      </c>
      <c r="G16" s="66" t="str">
        <f>IF('2.Páginas de la muestra'!B5&gt;8,'7. Resultados detalle página'!G95,"")</f>
        <v/>
      </c>
      <c r="H16" s="67" t="str">
        <f>IF('2.Páginas de la muestra'!B5&gt;8,'7. Resultados detalle página'!G114,"")</f>
        <v/>
      </c>
    </row>
    <row r="17" spans="2:11" ht="19.5" thickBot="1" x14ac:dyDescent="0.35">
      <c r="B17" s="163" t="str">
        <f>'2.Páginas de la muestra'!C17</f>
        <v>ALIAS 10</v>
      </c>
      <c r="C17" s="66" t="str">
        <f>'7. Resultados detalle página'!G19</f>
        <v/>
      </c>
      <c r="D17" s="66" t="str">
        <f>IF('1.Datos generales'!B10="AA",'7. Resultados detalle página'!G39,"")</f>
        <v/>
      </c>
      <c r="E17" s="66" t="str">
        <f>IF('2.Páginas de la muestra'!B5&gt;9,'7. Resultados detalle página'!G58,"")</f>
        <v/>
      </c>
      <c r="F17" s="66" t="str">
        <f>IF('2.Páginas de la muestra'!B5&gt;9,'7. Resultados detalle página'!G77,"")</f>
        <v/>
      </c>
      <c r="G17" s="66" t="str">
        <f>IF('2.Páginas de la muestra'!B5&gt;9,'7. Resultados detalle página'!G96,"")</f>
        <v/>
      </c>
      <c r="H17" s="67" t="str">
        <f>IF('2.Páginas de la muestra'!B5&gt;9,'7. Resultados detalle página'!G115,"")</f>
        <v/>
      </c>
    </row>
    <row r="18" spans="2:11" ht="19.5" thickBot="1" x14ac:dyDescent="0.35">
      <c r="B18" s="163" t="str">
        <f>'2.Páginas de la muestra'!C18</f>
        <v>ALIAS 11</v>
      </c>
      <c r="C18" s="66" t="str">
        <f>'7. Resultados detalle página'!G20</f>
        <v/>
      </c>
      <c r="D18" s="66" t="str">
        <f>IF('1.Datos generales'!B10="AA",'7. Resultados detalle página'!G40,"")</f>
        <v/>
      </c>
      <c r="E18" s="66" t="str">
        <f>IF('2.Páginas de la muestra'!B5&gt;10,'7. Resultados detalle página'!G59,"")</f>
        <v/>
      </c>
      <c r="F18" s="66" t="str">
        <f>IF('2.Páginas de la muestra'!B5&gt;10,'7. Resultados detalle página'!G78,"")</f>
        <v/>
      </c>
      <c r="G18" s="66" t="str">
        <f>IF('2.Páginas de la muestra'!B5&gt;10,'7. Resultados detalle página'!G97,"")</f>
        <v/>
      </c>
      <c r="H18" s="67" t="str">
        <f>IF('2.Páginas de la muestra'!B5&gt;10,'7. Resultados detalle página'!G116,"")</f>
        <v/>
      </c>
    </row>
    <row r="19" spans="2:11" ht="19.5" thickBot="1" x14ac:dyDescent="0.35">
      <c r="B19" s="163" t="str">
        <f>'2.Páginas de la muestra'!C19</f>
        <v>ALIAS 12</v>
      </c>
      <c r="C19" s="66" t="str">
        <f>'7. Resultados detalle página'!G21</f>
        <v/>
      </c>
      <c r="D19" s="66" t="str">
        <f>IF('1.Datos generales'!B10="AA",'7. Resultados detalle página'!G41,"")</f>
        <v/>
      </c>
      <c r="E19" s="66" t="str">
        <f>IF('2.Páginas de la muestra'!B5&gt;11,'7. Resultados detalle página'!G60,"")</f>
        <v/>
      </c>
      <c r="F19" s="66" t="str">
        <f>IF('2.Páginas de la muestra'!B5&gt;11,'7. Resultados detalle página'!G79,"")</f>
        <v/>
      </c>
      <c r="G19" s="66" t="str">
        <f>IF('2.Páginas de la muestra'!B5&gt;11,'7. Resultados detalle página'!G98,"")</f>
        <v/>
      </c>
      <c r="H19" s="67" t="str">
        <f>IF('2.Páginas de la muestra'!B5&gt;11,'7. Resultados detalle página'!G117,"")</f>
        <v/>
      </c>
    </row>
    <row r="20" spans="2:11" ht="19.5" thickBot="1" x14ac:dyDescent="0.35">
      <c r="B20" s="163" t="str">
        <f>'2.Páginas de la muestra'!C20</f>
        <v>ALIAS 13</v>
      </c>
      <c r="C20" s="66" t="str">
        <f>'7. Resultados detalle página'!G22</f>
        <v/>
      </c>
      <c r="D20" s="66" t="str">
        <f>IF('1.Datos generales'!B10="AA",'7. Resultados detalle página'!G42,"")</f>
        <v/>
      </c>
      <c r="E20" s="66" t="str">
        <f>IF('2.Páginas de la muestra'!B5&gt;12,'7. Resultados detalle página'!G61,"")</f>
        <v/>
      </c>
      <c r="F20" s="66" t="str">
        <f>IF('2.Páginas de la muestra'!B5&gt;12,'7. Resultados detalle página'!G80,"")</f>
        <v/>
      </c>
      <c r="G20" s="66" t="str">
        <f>IF('2.Páginas de la muestra'!B5&gt;12,'7. Resultados detalle página'!G99,"")</f>
        <v/>
      </c>
      <c r="H20" s="67" t="str">
        <f>IF('2.Páginas de la muestra'!B5&gt;12,'7. Resultados detalle página'!G118,"")</f>
        <v/>
      </c>
    </row>
    <row r="21" spans="2:11" ht="19.5" thickBot="1" x14ac:dyDescent="0.35">
      <c r="B21" s="163" t="str">
        <f>'2.Páginas de la muestra'!C21</f>
        <v>ALIAS 14</v>
      </c>
      <c r="C21" s="66" t="str">
        <f>'7. Resultados detalle página'!G23</f>
        <v/>
      </c>
      <c r="D21" s="66" t="str">
        <f>IF('1.Datos generales'!B10="AA",'7. Resultados detalle página'!G43,"")</f>
        <v/>
      </c>
      <c r="E21" s="66" t="str">
        <f>IF('2.Páginas de la muestra'!B5&gt;13,'7. Resultados detalle página'!G62,"")</f>
        <v/>
      </c>
      <c r="F21" s="66" t="str">
        <f>IF('2.Páginas de la muestra'!B5&gt;13,'7. Resultados detalle página'!G81,"")</f>
        <v/>
      </c>
      <c r="G21" s="66" t="str">
        <f>IF('2.Páginas de la muestra'!B5&gt;13,'7. Resultados detalle página'!G100,"")</f>
        <v/>
      </c>
      <c r="H21" s="67" t="str">
        <f>IF('2.Páginas de la muestra'!B5&gt;13,'7. Resultados detalle página'!G119,"")</f>
        <v/>
      </c>
    </row>
    <row r="22" spans="2:11" ht="19.5" thickBot="1" x14ac:dyDescent="0.35">
      <c r="B22" s="163" t="str">
        <f>'2.Páginas de la muestra'!C22</f>
        <v>ALIAS 15</v>
      </c>
      <c r="C22" s="66" t="str">
        <f>'7. Resultados detalle página'!G24</f>
        <v/>
      </c>
      <c r="D22" s="66" t="str">
        <f>IF('1.Datos generales'!B10="AA",'7. Resultados detalle página'!G44,"")</f>
        <v/>
      </c>
      <c r="E22" s="66" t="str">
        <f>IF('2.Páginas de la muestra'!B5&gt;14,'7. Resultados detalle página'!G63,"")</f>
        <v/>
      </c>
      <c r="F22" s="66" t="str">
        <f>IF('2.Páginas de la muestra'!B5&gt;14,'7. Resultados detalle página'!G82,"")</f>
        <v/>
      </c>
      <c r="G22" s="66" t="str">
        <f>IF('2.Páginas de la muestra'!B5&gt;14,'7. Resultados detalle página'!G101,"")</f>
        <v/>
      </c>
      <c r="H22" s="67" t="str">
        <f>IF('2.Páginas de la muestra'!B5&gt;14,'7. Resultados detalle página'!G120,"")</f>
        <v/>
      </c>
    </row>
    <row r="23" spans="2:11" ht="19.5" thickBot="1" x14ac:dyDescent="0.35">
      <c r="B23" s="68" t="s">
        <v>133</v>
      </c>
      <c r="C23" s="69">
        <f t="shared" ref="C23:H23" si="0">AVERAGE(C8:C22)</f>
        <v>82.352941176470594</v>
      </c>
      <c r="D23" s="70">
        <f>IF('1.Datos generales'!B10="AA",AVERAGE(D8:D22),"")</f>
        <v>81.481481481481481</v>
      </c>
      <c r="E23" s="69">
        <f t="shared" si="0"/>
        <v>75</v>
      </c>
      <c r="F23" s="69">
        <f t="shared" si="0"/>
        <v>62.5</v>
      </c>
      <c r="G23" s="69">
        <f t="shared" si="0"/>
        <v>100</v>
      </c>
      <c r="H23" s="69">
        <f t="shared" si="0"/>
        <v>100</v>
      </c>
    </row>
    <row r="25" spans="2:11" s="164" customFormat="1" ht="30.75" customHeight="1" x14ac:dyDescent="0.25">
      <c r="B25" s="203" t="s">
        <v>435</v>
      </c>
      <c r="C25" s="203"/>
      <c r="D25" s="203"/>
      <c r="E25" s="203"/>
      <c r="F25" s="203"/>
      <c r="G25" s="203"/>
      <c r="H25" s="203"/>
      <c r="I25" s="203"/>
    </row>
    <row r="26" spans="2:11" ht="18.75" x14ac:dyDescent="0.3">
      <c r="B26" s="71"/>
      <c r="C26" s="71"/>
      <c r="D26" s="71"/>
      <c r="E26" s="71"/>
      <c r="F26" s="71"/>
      <c r="G26" s="71"/>
      <c r="H26" s="71"/>
      <c r="I26" s="71"/>
      <c r="J26" s="71"/>
      <c r="K26" s="71"/>
    </row>
    <row r="27" spans="2:11" ht="18.75" x14ac:dyDescent="0.3">
      <c r="B27" s="71"/>
      <c r="C27" s="71"/>
      <c r="D27" s="71"/>
      <c r="E27" s="71"/>
      <c r="F27" s="71"/>
      <c r="G27" s="71"/>
      <c r="H27" s="71"/>
      <c r="I27" s="71"/>
      <c r="J27" s="71"/>
      <c r="K27" s="71"/>
    </row>
    <row r="28" spans="2:11" ht="18.75" x14ac:dyDescent="0.3">
      <c r="B28" s="71"/>
      <c r="C28" s="71"/>
      <c r="D28" s="71"/>
      <c r="E28" s="71"/>
      <c r="F28" s="71"/>
      <c r="G28" s="71"/>
      <c r="H28" s="71"/>
      <c r="I28" s="71"/>
      <c r="J28" s="71"/>
      <c r="K28" s="71"/>
    </row>
    <row r="29" spans="2:11" ht="18.75" x14ac:dyDescent="0.3">
      <c r="B29" s="71"/>
      <c r="C29" s="71"/>
      <c r="D29" s="71"/>
      <c r="E29" s="71"/>
      <c r="F29" s="71"/>
      <c r="G29" s="71"/>
      <c r="H29" s="71"/>
      <c r="I29" s="71"/>
      <c r="J29" s="71"/>
      <c r="K29" s="71"/>
    </row>
    <row r="30" spans="2:11" ht="18.75" x14ac:dyDescent="0.3">
      <c r="B30" s="71"/>
      <c r="C30" s="71"/>
      <c r="D30" s="71"/>
      <c r="E30" s="71"/>
      <c r="F30" s="71"/>
      <c r="G30" s="71"/>
      <c r="H30" s="71"/>
      <c r="I30" s="71"/>
      <c r="J30" s="71"/>
      <c r="K30" s="71"/>
    </row>
    <row r="31" spans="2:11" ht="18.75" x14ac:dyDescent="0.3">
      <c r="B31" s="71"/>
      <c r="C31" s="71"/>
      <c r="D31" s="71"/>
      <c r="E31" s="71"/>
      <c r="F31" s="71"/>
      <c r="G31" s="71"/>
      <c r="H31" s="71"/>
      <c r="I31" s="71"/>
      <c r="J31" s="71"/>
      <c r="K31" s="71"/>
    </row>
    <row r="32" spans="2:11" ht="18.75" x14ac:dyDescent="0.3">
      <c r="B32" s="71"/>
      <c r="C32" s="71"/>
      <c r="D32" s="71"/>
      <c r="E32" s="71"/>
      <c r="F32" s="71"/>
      <c r="G32" s="71"/>
      <c r="H32" s="71"/>
      <c r="I32" s="71"/>
      <c r="J32" s="71"/>
      <c r="K32" s="71"/>
    </row>
    <row r="33" spans="1:11" ht="18.75" x14ac:dyDescent="0.3">
      <c r="B33" s="71"/>
      <c r="C33" s="71"/>
      <c r="D33" s="71"/>
      <c r="E33" s="71"/>
      <c r="F33" s="71"/>
      <c r="G33" s="71"/>
      <c r="H33" s="71"/>
      <c r="I33" s="71"/>
      <c r="J33" s="71"/>
      <c r="K33" s="71"/>
    </row>
    <row r="34" spans="1:11" ht="18.75" x14ac:dyDescent="0.3">
      <c r="B34" s="71"/>
      <c r="C34" s="71"/>
      <c r="D34" s="71"/>
      <c r="E34" s="71"/>
      <c r="F34" s="71"/>
      <c r="G34" s="71"/>
      <c r="H34" s="71"/>
      <c r="I34" s="71"/>
      <c r="J34" s="71"/>
      <c r="K34" s="71"/>
    </row>
    <row r="35" spans="1:11" ht="18.75" x14ac:dyDescent="0.3">
      <c r="B35" s="71"/>
      <c r="C35" s="71"/>
      <c r="D35" s="71"/>
      <c r="E35" s="71"/>
      <c r="F35" s="71"/>
      <c r="G35" s="71"/>
      <c r="H35" s="71"/>
      <c r="I35" s="71"/>
      <c r="J35" s="71"/>
      <c r="K35" s="71"/>
    </row>
    <row r="36" spans="1:11" ht="18.75" x14ac:dyDescent="0.3">
      <c r="B36" s="71"/>
      <c r="C36" s="71"/>
      <c r="D36" s="71"/>
      <c r="E36" s="71"/>
      <c r="F36" s="71"/>
      <c r="G36" s="71"/>
      <c r="H36" s="71"/>
      <c r="I36" s="71"/>
      <c r="J36" s="71"/>
      <c r="K36" s="71"/>
    </row>
    <row r="37" spans="1:11" ht="18.75" x14ac:dyDescent="0.3">
      <c r="B37" s="71"/>
      <c r="C37" s="71"/>
      <c r="D37" s="71"/>
      <c r="E37" s="71"/>
      <c r="F37" s="71"/>
      <c r="G37" s="71"/>
      <c r="H37" s="71"/>
      <c r="I37" s="71"/>
      <c r="J37" s="71"/>
      <c r="K37" s="71"/>
    </row>
    <row r="38" spans="1:11" ht="18.75" x14ac:dyDescent="0.3">
      <c r="B38" s="71"/>
      <c r="C38" s="71"/>
      <c r="D38" s="71"/>
      <c r="E38" s="71"/>
      <c r="F38" s="71"/>
      <c r="G38" s="71"/>
      <c r="H38" s="71"/>
      <c r="I38" s="71"/>
      <c r="J38" s="71"/>
      <c r="K38" s="71"/>
    </row>
    <row r="39" spans="1:11" ht="18.75" x14ac:dyDescent="0.3">
      <c r="B39" s="71"/>
      <c r="C39" s="71"/>
      <c r="D39" s="71"/>
      <c r="E39" s="71"/>
      <c r="F39" s="71"/>
      <c r="G39" s="71"/>
      <c r="H39" s="71"/>
      <c r="I39" s="71"/>
      <c r="J39" s="71"/>
      <c r="K39" s="71"/>
    </row>
    <row r="40" spans="1:11" ht="18.75" x14ac:dyDescent="0.3">
      <c r="B40" s="71"/>
      <c r="C40" s="71"/>
      <c r="D40" s="71"/>
      <c r="E40" s="71"/>
      <c r="F40" s="71"/>
      <c r="G40" s="71"/>
      <c r="H40" s="71"/>
      <c r="I40" s="71"/>
      <c r="J40" s="71"/>
      <c r="K40" s="71"/>
    </row>
    <row r="41" spans="1:11" ht="18.75" x14ac:dyDescent="0.3">
      <c r="B41" s="71"/>
      <c r="C41" s="71"/>
      <c r="D41" s="71"/>
      <c r="E41" s="71"/>
      <c r="F41" s="71"/>
      <c r="G41" s="71"/>
      <c r="H41" s="71"/>
      <c r="I41" s="71"/>
      <c r="J41" s="71"/>
      <c r="K41" s="71"/>
    </row>
    <row r="42" spans="1:11" ht="18.75" x14ac:dyDescent="0.3">
      <c r="B42" s="71"/>
      <c r="C42" s="71"/>
      <c r="D42" s="71"/>
      <c r="E42" s="71"/>
      <c r="F42" s="71"/>
      <c r="G42" s="71"/>
      <c r="H42" s="71"/>
      <c r="I42" s="71"/>
      <c r="J42" s="71"/>
      <c r="K42" s="71"/>
    </row>
    <row r="43" spans="1:11" ht="18.75" x14ac:dyDescent="0.3">
      <c r="B43" s="71"/>
      <c r="C43" s="71"/>
      <c r="D43" s="71"/>
      <c r="E43" s="71"/>
      <c r="F43" s="71"/>
      <c r="G43" s="71"/>
      <c r="H43" s="71"/>
      <c r="I43" s="71"/>
      <c r="J43" s="71"/>
      <c r="K43" s="71"/>
    </row>
    <row r="44" spans="1:11" s="8" customFormat="1" x14ac:dyDescent="0.25"/>
    <row r="45" spans="1:11" s="8" customFormat="1" x14ac:dyDescent="0.25"/>
    <row r="46" spans="1:11" s="8" customFormat="1" x14ac:dyDescent="0.25"/>
    <row r="47" spans="1:11" s="8" customFormat="1" ht="34.5" customHeight="1" thickBot="1" x14ac:dyDescent="0.3">
      <c r="B47" s="170" t="s">
        <v>445</v>
      </c>
    </row>
    <row r="48" spans="1:11" ht="15.75" thickTop="1" x14ac:dyDescent="0.25">
      <c r="A48" s="194"/>
      <c r="B48" s="194"/>
      <c r="C48" s="194"/>
      <c r="D48" s="194"/>
      <c r="E48" s="194"/>
      <c r="F48" s="194"/>
      <c r="G48" s="194"/>
      <c r="H48" s="194"/>
      <c r="I48" s="194"/>
      <c r="J48" s="194"/>
    </row>
    <row r="49" spans="1:10" x14ac:dyDescent="0.25">
      <c r="A49" s="23" t="s">
        <v>44</v>
      </c>
      <c r="B49" s="190" t="s">
        <v>2</v>
      </c>
      <c r="C49" s="190"/>
      <c r="D49" s="190"/>
      <c r="E49" s="190"/>
      <c r="F49" s="190"/>
      <c r="G49" s="190"/>
      <c r="H49" s="190"/>
      <c r="I49" s="190"/>
      <c r="J49" s="190"/>
    </row>
    <row r="50" spans="1:10" x14ac:dyDescent="0.25">
      <c r="A50" s="24" t="s">
        <v>173</v>
      </c>
      <c r="B50" s="191" t="s">
        <v>47</v>
      </c>
      <c r="C50" s="192"/>
      <c r="D50" s="192"/>
      <c r="E50" s="192"/>
      <c r="F50" s="192"/>
      <c r="G50" s="192"/>
      <c r="H50" s="192"/>
      <c r="I50" s="192"/>
      <c r="J50" s="192"/>
    </row>
    <row r="51" spans="1:10" x14ac:dyDescent="0.25">
      <c r="A51" s="24" t="s">
        <v>45</v>
      </c>
      <c r="B51" s="192" t="s">
        <v>46</v>
      </c>
      <c r="C51" s="192"/>
      <c r="D51" s="192"/>
      <c r="E51" s="192"/>
      <c r="F51" s="192"/>
      <c r="G51" s="192"/>
      <c r="H51" s="192"/>
      <c r="I51" s="192"/>
      <c r="J51" s="192"/>
    </row>
    <row r="52" spans="1:10" x14ac:dyDescent="0.25">
      <c r="A52" s="25" t="s">
        <v>171</v>
      </c>
      <c r="B52" s="193" t="s">
        <v>437</v>
      </c>
      <c r="C52" s="193"/>
      <c r="D52" s="193"/>
      <c r="E52" s="193"/>
      <c r="F52" s="193"/>
      <c r="G52" s="193"/>
      <c r="H52" s="193"/>
      <c r="I52" s="193"/>
      <c r="J52" s="193"/>
    </row>
    <row r="53" spans="1:10" x14ac:dyDescent="0.25">
      <c r="A53" s="24" t="s">
        <v>172</v>
      </c>
      <c r="B53" s="188" t="s">
        <v>52</v>
      </c>
      <c r="C53" s="188"/>
      <c r="D53" s="188"/>
      <c r="E53" s="188"/>
      <c r="F53" s="188"/>
      <c r="G53" s="188"/>
      <c r="H53" s="188"/>
      <c r="I53" s="188"/>
      <c r="J53" s="188"/>
    </row>
    <row r="54" spans="1:10" x14ac:dyDescent="0.25">
      <c r="A54" s="22"/>
      <c r="B54" s="22"/>
      <c r="C54" s="22"/>
      <c r="D54" s="22"/>
      <c r="E54" s="22"/>
      <c r="F54" s="22"/>
      <c r="G54" s="22"/>
      <c r="H54" s="22"/>
      <c r="I54" s="22"/>
      <c r="J54" s="22"/>
    </row>
  </sheetData>
  <sheetProtection password="BD42" sheet="1" objects="1" scenarios="1"/>
  <mergeCells count="10">
    <mergeCell ref="B52:J52"/>
    <mergeCell ref="B53:J53"/>
    <mergeCell ref="B6:H6"/>
    <mergeCell ref="A1:H2"/>
    <mergeCell ref="A48:G48"/>
    <mergeCell ref="B49:J49"/>
    <mergeCell ref="B50:J50"/>
    <mergeCell ref="B51:J51"/>
    <mergeCell ref="H48:J48"/>
    <mergeCell ref="B25:I25"/>
  </mergeCells>
  <conditionalFormatting sqref="C8:H23">
    <cfRule type="cellIs" dxfId="10" priority="1" operator="equal">
      <formula>""</formula>
    </cfRule>
  </conditionalFormatting>
  <hyperlinks>
    <hyperlink ref="B51" r:id="rId1"/>
    <hyperlink ref="B50"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showGridLines="0" workbookViewId="0">
      <selection sqref="A1:H2"/>
    </sheetView>
  </sheetViews>
  <sheetFormatPr baseColWidth="10" defaultRowHeight="15" x14ac:dyDescent="0.25"/>
  <cols>
    <col min="1" max="1" width="17" style="9" customWidth="1"/>
    <col min="2" max="2" width="11.375" style="9"/>
    <col min="3" max="3" width="15.875" style="9" customWidth="1"/>
    <col min="4" max="6" width="22.875" style="9" customWidth="1"/>
    <col min="7" max="7" width="27.25" style="9" customWidth="1"/>
    <col min="8" max="8" width="11.375" style="9" customWidth="1"/>
    <col min="9" max="9" width="30.875" style="9" customWidth="1"/>
    <col min="10" max="15" width="20.875" style="9" customWidth="1"/>
    <col min="16" max="16" width="33.125" style="9" customWidth="1"/>
    <col min="17" max="17" width="32.875" style="9" customWidth="1"/>
    <col min="18" max="253" width="11.375" style="9"/>
    <col min="254" max="257" width="22.875" style="9" customWidth="1"/>
    <col min="258" max="258" width="11.375" style="9" customWidth="1"/>
    <col min="259" max="264" width="11.375" style="9"/>
    <col min="265" max="273" width="20.875" style="9" customWidth="1"/>
    <col min="274" max="509" width="11.375" style="9"/>
    <col min="510" max="513" width="22.875" style="9" customWidth="1"/>
    <col min="514" max="514" width="11.375" style="9" customWidth="1"/>
    <col min="515" max="520" width="11.375" style="9"/>
    <col min="521" max="529" width="20.875" style="9" customWidth="1"/>
    <col min="530" max="765" width="11.375" style="9"/>
    <col min="766" max="769" width="22.875" style="9" customWidth="1"/>
    <col min="770" max="770" width="11.375" style="9" customWidth="1"/>
    <col min="771" max="776" width="11.375" style="9"/>
    <col min="777" max="785" width="20.875" style="9" customWidth="1"/>
    <col min="786" max="1021" width="11.375" style="9"/>
    <col min="1022" max="1025" width="22.875" style="9" customWidth="1"/>
    <col min="1026" max="1026" width="11.375" style="9" customWidth="1"/>
    <col min="1027" max="1032" width="11.375" style="9"/>
    <col min="1033" max="1041" width="20.875" style="9" customWidth="1"/>
    <col min="1042" max="1277" width="11.375" style="9"/>
    <col min="1278" max="1281" width="22.875" style="9" customWidth="1"/>
    <col min="1282" max="1282" width="11.375" style="9" customWidth="1"/>
    <col min="1283" max="1288" width="11.375" style="9"/>
    <col min="1289" max="1297" width="20.875" style="9" customWidth="1"/>
    <col min="1298" max="1533" width="11.375" style="9"/>
    <col min="1534" max="1537" width="22.875" style="9" customWidth="1"/>
    <col min="1538" max="1538" width="11.375" style="9" customWidth="1"/>
    <col min="1539" max="1544" width="11.375" style="9"/>
    <col min="1545" max="1553" width="20.875" style="9" customWidth="1"/>
    <col min="1554" max="1789" width="11.375" style="9"/>
    <col min="1790" max="1793" width="22.875" style="9" customWidth="1"/>
    <col min="1794" max="1794" width="11.375" style="9" customWidth="1"/>
    <col min="1795" max="1800" width="11.375" style="9"/>
    <col min="1801" max="1809" width="20.875" style="9" customWidth="1"/>
    <col min="1810" max="2045" width="11.375" style="9"/>
    <col min="2046" max="2049" width="22.875" style="9" customWidth="1"/>
    <col min="2050" max="2050" width="11.375" style="9" customWidth="1"/>
    <col min="2051" max="2056" width="11.375" style="9"/>
    <col min="2057" max="2065" width="20.875" style="9" customWidth="1"/>
    <col min="2066" max="2301" width="11.375" style="9"/>
    <col min="2302" max="2305" width="22.875" style="9" customWidth="1"/>
    <col min="2306" max="2306" width="11.375" style="9" customWidth="1"/>
    <col min="2307" max="2312" width="11.375" style="9"/>
    <col min="2313" max="2321" width="20.875" style="9" customWidth="1"/>
    <col min="2322" max="2557" width="11.375" style="9"/>
    <col min="2558" max="2561" width="22.875" style="9" customWidth="1"/>
    <col min="2562" max="2562" width="11.375" style="9" customWidth="1"/>
    <col min="2563" max="2568" width="11.375" style="9"/>
    <col min="2569" max="2577" width="20.875" style="9" customWidth="1"/>
    <col min="2578" max="2813" width="11.375" style="9"/>
    <col min="2814" max="2817" width="22.875" style="9" customWidth="1"/>
    <col min="2818" max="2818" width="11.375" style="9" customWidth="1"/>
    <col min="2819" max="2824" width="11.375" style="9"/>
    <col min="2825" max="2833" width="20.875" style="9" customWidth="1"/>
    <col min="2834" max="3069" width="11.375" style="9"/>
    <col min="3070" max="3073" width="22.875" style="9" customWidth="1"/>
    <col min="3074" max="3074" width="11.375" style="9" customWidth="1"/>
    <col min="3075" max="3080" width="11.375" style="9"/>
    <col min="3081" max="3089" width="20.875" style="9" customWidth="1"/>
    <col min="3090" max="3325" width="11.375" style="9"/>
    <col min="3326" max="3329" width="22.875" style="9" customWidth="1"/>
    <col min="3330" max="3330" width="11.375" style="9" customWidth="1"/>
    <col min="3331" max="3336" width="11.375" style="9"/>
    <col min="3337" max="3345" width="20.875" style="9" customWidth="1"/>
    <col min="3346" max="3581" width="11.375" style="9"/>
    <col min="3582" max="3585" width="22.875" style="9" customWidth="1"/>
    <col min="3586" max="3586" width="11.375" style="9" customWidth="1"/>
    <col min="3587" max="3592" width="11.375" style="9"/>
    <col min="3593" max="3601" width="20.875" style="9" customWidth="1"/>
    <col min="3602" max="3837" width="11.375" style="9"/>
    <col min="3838" max="3841" width="22.875" style="9" customWidth="1"/>
    <col min="3842" max="3842" width="11.375" style="9" customWidth="1"/>
    <col min="3843" max="3848" width="11.375" style="9"/>
    <col min="3849" max="3857" width="20.875" style="9" customWidth="1"/>
    <col min="3858" max="4093" width="11.375" style="9"/>
    <col min="4094" max="4097" width="22.875" style="9" customWidth="1"/>
    <col min="4098" max="4098" width="11.375" style="9" customWidth="1"/>
    <col min="4099" max="4104" width="11.375" style="9"/>
    <col min="4105" max="4113" width="20.875" style="9" customWidth="1"/>
    <col min="4114" max="4349" width="11.375" style="9"/>
    <col min="4350" max="4353" width="22.875" style="9" customWidth="1"/>
    <col min="4354" max="4354" width="11.375" style="9" customWidth="1"/>
    <col min="4355" max="4360" width="11.375" style="9"/>
    <col min="4361" max="4369" width="20.875" style="9" customWidth="1"/>
    <col min="4370" max="4605" width="11.375" style="9"/>
    <col min="4606" max="4609" width="22.875" style="9" customWidth="1"/>
    <col min="4610" max="4610" width="11.375" style="9" customWidth="1"/>
    <col min="4611" max="4616" width="11.375" style="9"/>
    <col min="4617" max="4625" width="20.875" style="9" customWidth="1"/>
    <col min="4626" max="4861" width="11.375" style="9"/>
    <col min="4862" max="4865" width="22.875" style="9" customWidth="1"/>
    <col min="4866" max="4866" width="11.375" style="9" customWidth="1"/>
    <col min="4867" max="4872" width="11.375" style="9"/>
    <col min="4873" max="4881" width="20.875" style="9" customWidth="1"/>
    <col min="4882" max="5117" width="11.375" style="9"/>
    <col min="5118" max="5121" width="22.875" style="9" customWidth="1"/>
    <col min="5122" max="5122" width="11.375" style="9" customWidth="1"/>
    <col min="5123" max="5128" width="11.375" style="9"/>
    <col min="5129" max="5137" width="20.875" style="9" customWidth="1"/>
    <col min="5138" max="5373" width="11.375" style="9"/>
    <col min="5374" max="5377" width="22.875" style="9" customWidth="1"/>
    <col min="5378" max="5378" width="11.375" style="9" customWidth="1"/>
    <col min="5379" max="5384" width="11.375" style="9"/>
    <col min="5385" max="5393" width="20.875" style="9" customWidth="1"/>
    <col min="5394" max="5629" width="11.375" style="9"/>
    <col min="5630" max="5633" width="22.875" style="9" customWidth="1"/>
    <col min="5634" max="5634" width="11.375" style="9" customWidth="1"/>
    <col min="5635" max="5640" width="11.375" style="9"/>
    <col min="5641" max="5649" width="20.875" style="9" customWidth="1"/>
    <col min="5650" max="5885" width="11.375" style="9"/>
    <col min="5886" max="5889" width="22.875" style="9" customWidth="1"/>
    <col min="5890" max="5890" width="11.375" style="9" customWidth="1"/>
    <col min="5891" max="5896" width="11.375" style="9"/>
    <col min="5897" max="5905" width="20.875" style="9" customWidth="1"/>
    <col min="5906" max="6141" width="11.375" style="9"/>
    <col min="6142" max="6145" width="22.875" style="9" customWidth="1"/>
    <col min="6146" max="6146" width="11.375" style="9" customWidth="1"/>
    <col min="6147" max="6152" width="11.375" style="9"/>
    <col min="6153" max="6161" width="20.875" style="9" customWidth="1"/>
    <col min="6162" max="6397" width="11.375" style="9"/>
    <col min="6398" max="6401" width="22.875" style="9" customWidth="1"/>
    <col min="6402" max="6402" width="11.375" style="9" customWidth="1"/>
    <col min="6403" max="6408" width="11.375" style="9"/>
    <col min="6409" max="6417" width="20.875" style="9" customWidth="1"/>
    <col min="6418" max="6653" width="11.375" style="9"/>
    <col min="6654" max="6657" width="22.875" style="9" customWidth="1"/>
    <col min="6658" max="6658" width="11.375" style="9" customWidth="1"/>
    <col min="6659" max="6664" width="11.375" style="9"/>
    <col min="6665" max="6673" width="20.875" style="9" customWidth="1"/>
    <col min="6674" max="6909" width="11.375" style="9"/>
    <col min="6910" max="6913" width="22.875" style="9" customWidth="1"/>
    <col min="6914" max="6914" width="11.375" style="9" customWidth="1"/>
    <col min="6915" max="6920" width="11.375" style="9"/>
    <col min="6921" max="6929" width="20.875" style="9" customWidth="1"/>
    <col min="6930" max="7165" width="11.375" style="9"/>
    <col min="7166" max="7169" width="22.875" style="9" customWidth="1"/>
    <col min="7170" max="7170" width="11.375" style="9" customWidth="1"/>
    <col min="7171" max="7176" width="11.375" style="9"/>
    <col min="7177" max="7185" width="20.875" style="9" customWidth="1"/>
    <col min="7186" max="7421" width="11.375" style="9"/>
    <col min="7422" max="7425" width="22.875" style="9" customWidth="1"/>
    <col min="7426" max="7426" width="11.375" style="9" customWidth="1"/>
    <col min="7427" max="7432" width="11.375" style="9"/>
    <col min="7433" max="7441" width="20.875" style="9" customWidth="1"/>
    <col min="7442" max="7677" width="11.375" style="9"/>
    <col min="7678" max="7681" width="22.875" style="9" customWidth="1"/>
    <col min="7682" max="7682" width="11.375" style="9" customWidth="1"/>
    <col min="7683" max="7688" width="11.375" style="9"/>
    <col min="7689" max="7697" width="20.875" style="9" customWidth="1"/>
    <col min="7698" max="7933" width="11.375" style="9"/>
    <col min="7934" max="7937" width="22.875" style="9" customWidth="1"/>
    <col min="7938" max="7938" width="11.375" style="9" customWidth="1"/>
    <col min="7939" max="7944" width="11.375" style="9"/>
    <col min="7945" max="7953" width="20.875" style="9" customWidth="1"/>
    <col min="7954" max="8189" width="11.375" style="9"/>
    <col min="8190" max="8193" width="22.875" style="9" customWidth="1"/>
    <col min="8194" max="8194" width="11.375" style="9" customWidth="1"/>
    <col min="8195" max="8200" width="11.375" style="9"/>
    <col min="8201" max="8209" width="20.875" style="9" customWidth="1"/>
    <col min="8210" max="8445" width="11.375" style="9"/>
    <col min="8446" max="8449" width="22.875" style="9" customWidth="1"/>
    <col min="8450" max="8450" width="11.375" style="9" customWidth="1"/>
    <col min="8451" max="8456" width="11.375" style="9"/>
    <col min="8457" max="8465" width="20.875" style="9" customWidth="1"/>
    <col min="8466" max="8701" width="11.375" style="9"/>
    <col min="8702" max="8705" width="22.875" style="9" customWidth="1"/>
    <col min="8706" max="8706" width="11.375" style="9" customWidth="1"/>
    <col min="8707" max="8712" width="11.375" style="9"/>
    <col min="8713" max="8721" width="20.875" style="9" customWidth="1"/>
    <col min="8722" max="8957" width="11.375" style="9"/>
    <col min="8958" max="8961" width="22.875" style="9" customWidth="1"/>
    <col min="8962" max="8962" width="11.375" style="9" customWidth="1"/>
    <col min="8963" max="8968" width="11.375" style="9"/>
    <col min="8969" max="8977" width="20.875" style="9" customWidth="1"/>
    <col min="8978" max="9213" width="11.375" style="9"/>
    <col min="9214" max="9217" width="22.875" style="9" customWidth="1"/>
    <col min="9218" max="9218" width="11.375" style="9" customWidth="1"/>
    <col min="9219" max="9224" width="11.375" style="9"/>
    <col min="9225" max="9233" width="20.875" style="9" customWidth="1"/>
    <col min="9234" max="9469" width="11.375" style="9"/>
    <col min="9470" max="9473" width="22.875" style="9" customWidth="1"/>
    <col min="9474" max="9474" width="11.375" style="9" customWidth="1"/>
    <col min="9475" max="9480" width="11.375" style="9"/>
    <col min="9481" max="9489" width="20.875" style="9" customWidth="1"/>
    <col min="9490" max="9725" width="11.375" style="9"/>
    <col min="9726" max="9729" width="22.875" style="9" customWidth="1"/>
    <col min="9730" max="9730" width="11.375" style="9" customWidth="1"/>
    <col min="9731" max="9736" width="11.375" style="9"/>
    <col min="9737" max="9745" width="20.875" style="9" customWidth="1"/>
    <col min="9746" max="9981" width="11.375" style="9"/>
    <col min="9982" max="9985" width="22.875" style="9" customWidth="1"/>
    <col min="9986" max="9986" width="11.375" style="9" customWidth="1"/>
    <col min="9987" max="9992" width="11.375" style="9"/>
    <col min="9993" max="10001" width="20.875" style="9" customWidth="1"/>
    <col min="10002" max="10237" width="11.375" style="9"/>
    <col min="10238" max="10241" width="22.875" style="9" customWidth="1"/>
    <col min="10242" max="10242" width="11.375" style="9" customWidth="1"/>
    <col min="10243" max="10248" width="11.375" style="9"/>
    <col min="10249" max="10257" width="20.875" style="9" customWidth="1"/>
    <col min="10258" max="10493" width="11.375" style="9"/>
    <col min="10494" max="10497" width="22.875" style="9" customWidth="1"/>
    <col min="10498" max="10498" width="11.375" style="9" customWidth="1"/>
    <col min="10499" max="10504" width="11.375" style="9"/>
    <col min="10505" max="10513" width="20.875" style="9" customWidth="1"/>
    <col min="10514" max="10749" width="11.375" style="9"/>
    <col min="10750" max="10753" width="22.875" style="9" customWidth="1"/>
    <col min="10754" max="10754" width="11.375" style="9" customWidth="1"/>
    <col min="10755" max="10760" width="11.375" style="9"/>
    <col min="10761" max="10769" width="20.875" style="9" customWidth="1"/>
    <col min="10770" max="11005" width="11.375" style="9"/>
    <col min="11006" max="11009" width="22.875" style="9" customWidth="1"/>
    <col min="11010" max="11010" width="11.375" style="9" customWidth="1"/>
    <col min="11011" max="11016" width="11.375" style="9"/>
    <col min="11017" max="11025" width="20.875" style="9" customWidth="1"/>
    <col min="11026" max="11261" width="11.375" style="9"/>
    <col min="11262" max="11265" width="22.875" style="9" customWidth="1"/>
    <col min="11266" max="11266" width="11.375" style="9" customWidth="1"/>
    <col min="11267" max="11272" width="11.375" style="9"/>
    <col min="11273" max="11281" width="20.875" style="9" customWidth="1"/>
    <col min="11282" max="11517" width="11.375" style="9"/>
    <col min="11518" max="11521" width="22.875" style="9" customWidth="1"/>
    <col min="11522" max="11522" width="11.375" style="9" customWidth="1"/>
    <col min="11523" max="11528" width="11.375" style="9"/>
    <col min="11529" max="11537" width="20.875" style="9" customWidth="1"/>
    <col min="11538" max="11773" width="11.375" style="9"/>
    <col min="11774" max="11777" width="22.875" style="9" customWidth="1"/>
    <col min="11778" max="11778" width="11.375" style="9" customWidth="1"/>
    <col min="11779" max="11784" width="11.375" style="9"/>
    <col min="11785" max="11793" width="20.875" style="9" customWidth="1"/>
    <col min="11794" max="12029" width="11.375" style="9"/>
    <col min="12030" max="12033" width="22.875" style="9" customWidth="1"/>
    <col min="12034" max="12034" width="11.375" style="9" customWidth="1"/>
    <col min="12035" max="12040" width="11.375" style="9"/>
    <col min="12041" max="12049" width="20.875" style="9" customWidth="1"/>
    <col min="12050" max="12285" width="11.375" style="9"/>
    <col min="12286" max="12289" width="22.875" style="9" customWidth="1"/>
    <col min="12290" max="12290" width="11.375" style="9" customWidth="1"/>
    <col min="12291" max="12296" width="11.375" style="9"/>
    <col min="12297" max="12305" width="20.875" style="9" customWidth="1"/>
    <col min="12306" max="12541" width="11.375" style="9"/>
    <col min="12542" max="12545" width="22.875" style="9" customWidth="1"/>
    <col min="12546" max="12546" width="11.375" style="9" customWidth="1"/>
    <col min="12547" max="12552" width="11.375" style="9"/>
    <col min="12553" max="12561" width="20.875" style="9" customWidth="1"/>
    <col min="12562" max="12797" width="11.375" style="9"/>
    <col min="12798" max="12801" width="22.875" style="9" customWidth="1"/>
    <col min="12802" max="12802" width="11.375" style="9" customWidth="1"/>
    <col min="12803" max="12808" width="11.375" style="9"/>
    <col min="12809" max="12817" width="20.875" style="9" customWidth="1"/>
    <col min="12818" max="13053" width="11.375" style="9"/>
    <col min="13054" max="13057" width="22.875" style="9" customWidth="1"/>
    <col min="13058" max="13058" width="11.375" style="9" customWidth="1"/>
    <col min="13059" max="13064" width="11.375" style="9"/>
    <col min="13065" max="13073" width="20.875" style="9" customWidth="1"/>
    <col min="13074" max="13309" width="11.375" style="9"/>
    <col min="13310" max="13313" width="22.875" style="9" customWidth="1"/>
    <col min="13314" max="13314" width="11.375" style="9" customWidth="1"/>
    <col min="13315" max="13320" width="11.375" style="9"/>
    <col min="13321" max="13329" width="20.875" style="9" customWidth="1"/>
    <col min="13330" max="13565" width="11.375" style="9"/>
    <col min="13566" max="13569" width="22.875" style="9" customWidth="1"/>
    <col min="13570" max="13570" width="11.375" style="9" customWidth="1"/>
    <col min="13571" max="13576" width="11.375" style="9"/>
    <col min="13577" max="13585" width="20.875" style="9" customWidth="1"/>
    <col min="13586" max="13821" width="11.375" style="9"/>
    <col min="13822" max="13825" width="22.875" style="9" customWidth="1"/>
    <col min="13826" max="13826" width="11.375" style="9" customWidth="1"/>
    <col min="13827" max="13832" width="11.375" style="9"/>
    <col min="13833" max="13841" width="20.875" style="9" customWidth="1"/>
    <col min="13842" max="14077" width="11.375" style="9"/>
    <col min="14078" max="14081" width="22.875" style="9" customWidth="1"/>
    <col min="14082" max="14082" width="11.375" style="9" customWidth="1"/>
    <col min="14083" max="14088" width="11.375" style="9"/>
    <col min="14089" max="14097" width="20.875" style="9" customWidth="1"/>
    <col min="14098" max="14333" width="11.375" style="9"/>
    <col min="14334" max="14337" width="22.875" style="9" customWidth="1"/>
    <col min="14338" max="14338" width="11.375" style="9" customWidth="1"/>
    <col min="14339" max="14344" width="11.375" style="9"/>
    <col min="14345" max="14353" width="20.875" style="9" customWidth="1"/>
    <col min="14354" max="14589" width="11.375" style="9"/>
    <col min="14590" max="14593" width="22.875" style="9" customWidth="1"/>
    <col min="14594" max="14594" width="11.375" style="9" customWidth="1"/>
    <col min="14595" max="14600" width="11.375" style="9"/>
    <col min="14601" max="14609" width="20.875" style="9" customWidth="1"/>
    <col min="14610" max="14845" width="11.375" style="9"/>
    <col min="14846" max="14849" width="22.875" style="9" customWidth="1"/>
    <col min="14850" max="14850" width="11.375" style="9" customWidth="1"/>
    <col min="14851" max="14856" width="11.375" style="9"/>
    <col min="14857" max="14865" width="20.875" style="9" customWidth="1"/>
    <col min="14866" max="15101" width="11.375" style="9"/>
    <col min="15102" max="15105" width="22.875" style="9" customWidth="1"/>
    <col min="15106" max="15106" width="11.375" style="9" customWidth="1"/>
    <col min="15107" max="15112" width="11.375" style="9"/>
    <col min="15113" max="15121" width="20.875" style="9" customWidth="1"/>
    <col min="15122" max="15357" width="11.375" style="9"/>
    <col min="15358" max="15361" width="22.875" style="9" customWidth="1"/>
    <col min="15362" max="15362" width="11.375" style="9" customWidth="1"/>
    <col min="15363" max="15368" width="11.375" style="9"/>
    <col min="15369" max="15377" width="20.875" style="9" customWidth="1"/>
    <col min="15378" max="15613" width="11.375" style="9"/>
    <col min="15614" max="15617" width="22.875" style="9" customWidth="1"/>
    <col min="15618" max="15618" width="11.375" style="9" customWidth="1"/>
    <col min="15619" max="15624" width="11.375" style="9"/>
    <col min="15625" max="15633" width="20.875" style="9" customWidth="1"/>
    <col min="15634" max="15869" width="11.375" style="9"/>
    <col min="15870" max="15873" width="22.875" style="9" customWidth="1"/>
    <col min="15874" max="15874" width="11.375" style="9" customWidth="1"/>
    <col min="15875" max="15880" width="11.375" style="9"/>
    <col min="15881" max="15889" width="20.875" style="9" customWidth="1"/>
    <col min="15890" max="16125" width="11.375" style="9"/>
    <col min="16126" max="16129" width="22.875" style="9" customWidth="1"/>
    <col min="16130" max="16130" width="11.375" style="9" customWidth="1"/>
    <col min="16131" max="16136" width="11.375" style="9"/>
    <col min="16137" max="16145" width="20.875" style="9" customWidth="1"/>
    <col min="16146" max="16384" width="11.375" style="9"/>
  </cols>
  <sheetData>
    <row r="1" spans="1:18" s="8" customFormat="1" ht="28.5" customHeight="1" x14ac:dyDescent="0.25">
      <c r="A1" s="189" t="s">
        <v>170</v>
      </c>
      <c r="B1" s="189"/>
      <c r="C1" s="189"/>
      <c r="D1" s="189"/>
      <c r="E1" s="189"/>
      <c r="F1" s="189"/>
      <c r="G1" s="189"/>
      <c r="H1" s="189"/>
      <c r="I1" s="8" t="s">
        <v>359</v>
      </c>
    </row>
    <row r="2" spans="1:18" s="8" customFormat="1" ht="15" customHeight="1" x14ac:dyDescent="0.25">
      <c r="A2" s="189"/>
      <c r="B2" s="189"/>
      <c r="C2" s="189"/>
      <c r="D2" s="189"/>
      <c r="E2" s="189"/>
      <c r="F2" s="189"/>
      <c r="G2" s="189"/>
      <c r="H2" s="189"/>
      <c r="I2" s="8" t="s">
        <v>432</v>
      </c>
    </row>
    <row r="3" spans="1:18" s="8" customFormat="1" ht="23.25" x14ac:dyDescent="0.25">
      <c r="A3" s="31" t="s">
        <v>357</v>
      </c>
    </row>
    <row r="4" spans="1:18" s="8" customFormat="1" ht="24" customHeight="1" x14ac:dyDescent="0.25">
      <c r="A4" s="164" t="s">
        <v>442</v>
      </c>
    </row>
    <row r="5" spans="1:18" ht="29.25" customHeight="1" thickBot="1" x14ac:dyDescent="0.3">
      <c r="A5" s="167" t="s">
        <v>440</v>
      </c>
      <c r="J5" s="9">
        <f>IF('1.Datos generales'!B10="A",9,14)</f>
        <v>14</v>
      </c>
      <c r="K5" s="9" t="s">
        <v>441</v>
      </c>
    </row>
    <row r="6" spans="1:18" ht="19.5" thickBot="1" x14ac:dyDescent="0.35">
      <c r="B6" s="217" t="str">
        <f>'1.Datos generales'!B6</f>
        <v>Barber App</v>
      </c>
      <c r="C6" s="218"/>
      <c r="D6" s="218"/>
      <c r="E6" s="218"/>
      <c r="F6" s="218"/>
      <c r="G6" s="219"/>
      <c r="H6" s="10"/>
      <c r="I6" s="119" t="s">
        <v>126</v>
      </c>
      <c r="J6" s="83" t="s">
        <v>7</v>
      </c>
      <c r="K6" s="84" t="s">
        <v>128</v>
      </c>
      <c r="L6" s="83" t="s">
        <v>23</v>
      </c>
      <c r="M6" s="84" t="s">
        <v>27</v>
      </c>
      <c r="N6" s="83" t="s">
        <v>25</v>
      </c>
      <c r="O6" s="84" t="s">
        <v>28</v>
      </c>
      <c r="P6" s="85" t="s">
        <v>32</v>
      </c>
      <c r="Q6" s="86" t="s">
        <v>33</v>
      </c>
    </row>
    <row r="7" spans="1:18" ht="19.5" thickBot="1" x14ac:dyDescent="0.35">
      <c r="B7" s="72"/>
      <c r="C7" s="72"/>
      <c r="D7" s="72"/>
      <c r="E7" s="72"/>
      <c r="F7" s="72"/>
      <c r="G7" s="72"/>
      <c r="H7" s="11"/>
      <c r="I7" s="87" t="str">
        <f>'2.Páginas de la muestra'!C8</f>
        <v>Inicio</v>
      </c>
      <c r="J7" s="88">
        <f>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A'!C183,Hoja4!A5)+COUNTIF('4. Evaluación Nivel AA'!C6,Hoja4!A5)+COUNTIF('4. Evaluación Nivel AA'!C28,Hoja4!A5)+COUNTIF('4. Evaluación Nivel AA'!C50,Hoja4!A5)+COUNTIF('4. Evaluación Nivel AA'!C72,Hoja4!A5)+COUNTIF('4. Evaluación Nivel AA'!C94,Hoja4!A5)</f>
        <v>6</v>
      </c>
      <c r="K7" s="89">
        <f>J7*100/J5</f>
        <v>42.857142857142854</v>
      </c>
      <c r="L7" s="83">
        <f>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A'!C183,Hoja4!A6)+COUNTIF('4. Evaluación Nivel AA'!C6,Hoja4!A6)+COUNTIF('4. Evaluación Nivel AA'!C28,Hoja4!A6)+COUNTIF('4. Evaluación Nivel AA'!C50,Hoja4!A6)+COUNTIF('4. Evaluación Nivel AA'!C72,Hoja4!A6)+COUNTIF('4. Evaluación Nivel AA'!C94,Hoja4!A6)</f>
        <v>2</v>
      </c>
      <c r="M7" s="90">
        <f>L7*100/J5</f>
        <v>14.285714285714286</v>
      </c>
      <c r="N7" s="83">
        <f>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A'!C183,Hoja4!A7)+COUNTIF('4. Evaluación Nivel AA'!C6,Hoja4!A7)+COUNTIF('4. Evaluación Nivel AA'!C28,Hoja4!A7)+COUNTIF('4. Evaluación Nivel AA'!C50,Hoja4!A7)+COUNTIF('4. Evaluación Nivel AA'!C72,Hoja4!A7)+COUNTIF('4. Evaluación Nivel AA'!C94,Hoja4!A7)</f>
        <v>6</v>
      </c>
      <c r="O7" s="90">
        <f>N7*100/J5</f>
        <v>42.857142857142854</v>
      </c>
      <c r="P7" s="91">
        <f>IF(ISERROR((J7*100)/(J5-N7)),0,(J7*100)/(J5-N7))</f>
        <v>75</v>
      </c>
      <c r="Q7" s="91">
        <f>IF(ISERROR((L7*100)/(J5-N7)),0,(L7*100)/(J5-N7))</f>
        <v>25</v>
      </c>
    </row>
    <row r="8" spans="1:18" ht="19.5" thickBot="1" x14ac:dyDescent="0.35">
      <c r="B8" s="220" t="s">
        <v>127</v>
      </c>
      <c r="C8" s="220"/>
      <c r="D8" s="220"/>
      <c r="E8" s="220"/>
      <c r="F8" s="220"/>
      <c r="G8" s="220"/>
      <c r="H8" s="12"/>
      <c r="I8" s="92" t="str">
        <f>'2.Páginas de la muestra'!C9</f>
        <v>login</v>
      </c>
      <c r="J8" s="88">
        <f>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A'!C184,Hoja4!A5)+COUNTIF('4. Evaluación Nivel AA'!C7,Hoja4!A5)+COUNTIF('4. Evaluación Nivel AA'!C29,Hoja4!A5)+COUNTIF('4. Evaluación Nivel AA'!C51,Hoja4!A5)+COUNTIF('4. Evaluación Nivel AA'!C73,Hoja4!A5)+COUNTIF('4. Evaluación Nivel AA'!C95,Hoja4!A5)</f>
        <v>4</v>
      </c>
      <c r="K8" s="89">
        <f>J8*100/J5</f>
        <v>28.571428571428573</v>
      </c>
      <c r="L8" s="83">
        <f>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A'!C184,Hoja4!A6)+COUNTIF('4. Evaluación Nivel AA'!C7,Hoja4!A6)+COUNTIF('4. Evaluación Nivel AA'!C29,Hoja4!A6)+COUNTIF('4. Evaluación Nivel AA'!C51,Hoja4!A6)+COUNTIF('4. Evaluación Nivel AA'!C73,Hoja4!A6)+COUNTIF('4. Evaluación Nivel AA'!C95,Hoja4!A6)</f>
        <v>3</v>
      </c>
      <c r="M8" s="90">
        <f>L8*100/J5</f>
        <v>21.428571428571427</v>
      </c>
      <c r="N8" s="83">
        <f>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A'!C184,Hoja4!A7)+COUNTIF('4. Evaluación Nivel AA'!C7,Hoja4!A7)+COUNTIF('4. Evaluación Nivel AA'!C29,Hoja4!A7)+COUNTIF('4. Evaluación Nivel AA'!C51,Hoja4!A7)+COUNTIF('4. Evaluación Nivel AA'!C73,Hoja4!A7)+COUNTIF('4. Evaluación Nivel AA'!C95,Hoja4!A7)</f>
        <v>7</v>
      </c>
      <c r="O8" s="90">
        <f>N8*100/J5</f>
        <v>50</v>
      </c>
      <c r="P8" s="91">
        <f>IF(ISERROR((J8*100)/(J5-N8)),0,(J8*100)/(J5-N8))</f>
        <v>57.142857142857146</v>
      </c>
      <c r="Q8" s="91">
        <f>IF(ISERROR((L8*100)/(J5-N8)),0,(L8*100)/(J5-N8))</f>
        <v>42.857142857142854</v>
      </c>
    </row>
    <row r="9" spans="1:18" ht="19.5" thickBot="1" x14ac:dyDescent="0.35">
      <c r="B9" s="206" t="s">
        <v>3</v>
      </c>
      <c r="C9" s="207"/>
      <c r="D9" s="73" t="s">
        <v>128</v>
      </c>
      <c r="E9" s="73" t="s">
        <v>129</v>
      </c>
      <c r="F9" s="74" t="s">
        <v>130</v>
      </c>
      <c r="G9" s="73" t="s">
        <v>131</v>
      </c>
      <c r="I9" s="92" t="str">
        <f>'2.Páginas de la muestra'!C10</f>
        <v>Inicio-Dashboard</v>
      </c>
      <c r="J9" s="88">
        <f>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A'!C185,Hoja4!A5)+COUNTIF('4. Evaluación Nivel AA'!C8,Hoja4!A5)+COUNTIF('4. Evaluación Nivel AA'!C30,Hoja4!A5)+COUNTIF('4. Evaluación Nivel AA'!C52,Hoja4!A5)+COUNTIF('4. Evaluación Nivel AA'!C74,Hoja4!A5)+COUNTIF('4. Evaluación Nivel AA'!C96,Hoja4!A5)</f>
        <v>5</v>
      </c>
      <c r="K9" s="89">
        <f>J9*100/J5</f>
        <v>35.714285714285715</v>
      </c>
      <c r="L9" s="83">
        <f>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A'!C185,Hoja4!A6)+COUNTIF('4. Evaluación Nivel AA'!C8,Hoja4!A6)+COUNTIF('4. Evaluación Nivel AA'!C30,Hoja4!A6)+COUNTIF('4. Evaluación Nivel AA'!C52,Hoja4!A6)+COUNTIF('4. Evaluación Nivel AA'!C74,Hoja4!A6)+COUNTIF('4. Evaluación Nivel AA'!C96,Hoja4!A6)</f>
        <v>2</v>
      </c>
      <c r="M9" s="90">
        <f>L9*100/J5</f>
        <v>14.285714285714286</v>
      </c>
      <c r="N9" s="83">
        <f>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A'!C185,Hoja4!A7)+COUNTIF('4. Evaluación Nivel AA'!C8,Hoja4!A7)+COUNTIF('4. Evaluación Nivel AA'!C30,Hoja4!A7)+COUNTIF('4. Evaluación Nivel AA'!C52,Hoja4!A7)+COUNTIF('4. Evaluación Nivel AA'!C74,Hoja4!A7)+COUNTIF('4. Evaluación Nivel AA'!C96,Hoja4!A7)</f>
        <v>7</v>
      </c>
      <c r="O9" s="90">
        <f>N9*100/J5</f>
        <v>50</v>
      </c>
      <c r="P9" s="91">
        <f>IF(ISERROR((J9*100)/(J5-N9)),0,(J9*100)/(J5-N9))</f>
        <v>71.428571428571431</v>
      </c>
      <c r="Q9" s="91">
        <f>IF(ISERROR((L9*100)/(J5-N9)),0,(L9*100)/(J5-N9))</f>
        <v>28.571428571428573</v>
      </c>
    </row>
    <row r="10" spans="1:18" ht="19.5" thickBot="1" x14ac:dyDescent="0.35">
      <c r="B10" s="221" t="str">
        <f>'2.Páginas de la muestra'!C8</f>
        <v>Inicio</v>
      </c>
      <c r="C10" s="222"/>
      <c r="D10" s="75">
        <f>'3.1 Gráficas y estadísticas A'!C18</f>
        <v>56</v>
      </c>
      <c r="E10" s="75">
        <f>'3.1 Gráficas y estadísticas A'!E18</f>
        <v>12</v>
      </c>
      <c r="F10" s="76">
        <f>'3.1 Gráficas y estadísticas A'!G18</f>
        <v>32</v>
      </c>
      <c r="G10" s="77">
        <f>'3.1 Gráficas y estadísticas A'!H18</f>
        <v>82.352941176470594</v>
      </c>
      <c r="I10" s="92" t="str">
        <f>'2.Páginas de la muestra'!C11</f>
        <v>Dashboard-Usuarios</v>
      </c>
      <c r="J10" s="88">
        <f>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A'!C186,Hoja4!A5)+COUNTIF('4. Evaluación Nivel AA'!C9,Hoja4!A5)+COUNTIF('4. Evaluación Nivel AA'!C31,Hoja4!A5)+COUNTIF('4. Evaluación Nivel AA'!C53,Hoja4!A5)+COUNTIF('4. Evaluación Nivel AA'!C75,Hoja4!A5)+COUNTIF('4. Evaluación Nivel AA'!C97,Hoja4!A5)</f>
        <v>5</v>
      </c>
      <c r="K10" s="89">
        <f>J10*100/J5</f>
        <v>35.714285714285715</v>
      </c>
      <c r="L10" s="83">
        <f>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A'!C186,Hoja4!A6)+COUNTIF('4. Evaluación Nivel AA'!C9,Hoja4!A6)+COUNTIF('4. Evaluación Nivel AA'!C31,Hoja4!A6)+COUNTIF('4. Evaluación Nivel AA'!C53,Hoja4!A6)+COUNTIF('4. Evaluación Nivel AA'!C75,Hoja4!A6)+COUNTIF('4. Evaluación Nivel AA'!C97,Hoja4!A6)</f>
        <v>2</v>
      </c>
      <c r="M10" s="90">
        <f>L10*100/J5</f>
        <v>14.285714285714286</v>
      </c>
      <c r="N10" s="83">
        <f>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A'!C186,Hoja4!A7)+COUNTIF('4. Evaluación Nivel AA'!C9,Hoja4!A7)+COUNTIF('4. Evaluación Nivel AA'!C31,Hoja4!A7)+COUNTIF('4. Evaluación Nivel AA'!C53,Hoja4!A7)+COUNTIF('4. Evaluación Nivel AA'!C75,Hoja4!A7)+COUNTIF('4. Evaluación Nivel AA'!C97,Hoja4!A7)</f>
        <v>7</v>
      </c>
      <c r="O10" s="90">
        <f>N10*100/J5</f>
        <v>50</v>
      </c>
      <c r="P10" s="91">
        <f>IF(ISERROR((J10*100)/(J5-N10)),0,(J10*100)/(J5-N10))</f>
        <v>71.428571428571431</v>
      </c>
      <c r="Q10" s="91">
        <f>IF(ISERROR((L10*100)/(J5-N10)),0,(L10*100)/(J5-N10))</f>
        <v>28.571428571428573</v>
      </c>
    </row>
    <row r="11" spans="1:18" ht="19.5" thickBot="1" x14ac:dyDescent="0.35">
      <c r="B11" s="210" t="str">
        <f>'2.Páginas de la muestra'!C9</f>
        <v>login</v>
      </c>
      <c r="C11" s="212"/>
      <c r="D11" s="78" t="str">
        <f>'3.1 Gráficas y estadísticas A'!C19</f>
        <v/>
      </c>
      <c r="E11" s="78" t="str">
        <f>'3.1 Gráficas y estadísticas A'!E19</f>
        <v/>
      </c>
      <c r="F11" s="79" t="str">
        <f>'3.1 Gráficas y estadísticas A'!G19</f>
        <v/>
      </c>
      <c r="G11" s="80" t="str">
        <f>'3.1 Gráficas y estadísticas A'!H19</f>
        <v/>
      </c>
      <c r="I11" s="93" t="str">
        <f>'2.Páginas de la muestra'!C12</f>
        <v>Dashboard-Servicios</v>
      </c>
      <c r="J11" s="94">
        <f>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A'!C187,Hoja4!A5)+COUNTIF('4. Evaluación Nivel AA'!C10,Hoja4!A5)+COUNTIF('4. Evaluación Nivel AA'!C32,Hoja4!A5)+COUNTIF('4. Evaluación Nivel AA'!C54,Hoja4!A5)+COUNTIF('4. Evaluación Nivel AA'!C76,Hoja4!A5)+COUNTIF('4. Evaluación Nivel AA'!C98,Hoja4!A5)</f>
        <v>6</v>
      </c>
      <c r="K11" s="95">
        <f>J11*100/J5</f>
        <v>42.857142857142854</v>
      </c>
      <c r="L11" s="96">
        <f>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A'!C187,Hoja4!A6)+COUNTIF('4. Evaluación Nivel AA'!C10,Hoja4!A6)+COUNTIF('4. Evaluación Nivel AA'!C32,Hoja4!A6)+COUNTIF('4. Evaluación Nivel AA'!C54,Hoja4!A6)+COUNTIF('4. Evaluación Nivel AA'!C76,Hoja4!A6)+COUNTIF('4. Evaluación Nivel AA'!C98,Hoja4!A6)</f>
        <v>1</v>
      </c>
      <c r="M11" s="97">
        <f>L11*100/J5</f>
        <v>7.1428571428571432</v>
      </c>
      <c r="N11" s="96">
        <f>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A'!C187,Hoja4!A7)+COUNTIF('4. Evaluación Nivel AA'!C10,Hoja4!A7)+COUNTIF('4. Evaluación Nivel AA'!C32,Hoja4!A7)+COUNTIF('4. Evaluación Nivel AA'!C54,Hoja4!A7)+COUNTIF('4. Evaluación Nivel AA'!C76,Hoja4!A7)+COUNTIF('4. Evaluación Nivel AA'!C98,Hoja4!A7)</f>
        <v>7</v>
      </c>
      <c r="O11" s="97">
        <f>N11*100/J5</f>
        <v>50</v>
      </c>
      <c r="P11" s="91">
        <f>IF(ISERROR((J11*100)/(J5-N11)),0,(J11*100)/(J5-N11))</f>
        <v>85.714285714285708</v>
      </c>
      <c r="Q11" s="91">
        <f>IF(ISERROR((L11*100)/(J5-N11)),0,(L11*100)/(J5-N11))</f>
        <v>14.285714285714286</v>
      </c>
    </row>
    <row r="12" spans="1:18" ht="19.5" thickBot="1" x14ac:dyDescent="0.35">
      <c r="B12" s="210" t="str">
        <f>'2.Páginas de la muestra'!C10</f>
        <v>Inicio-Dashboard</v>
      </c>
      <c r="C12" s="212"/>
      <c r="D12" s="78" t="str">
        <f>'3.1 Gráficas y estadísticas A'!C20</f>
        <v/>
      </c>
      <c r="E12" s="78" t="str">
        <f>'3.1 Gráficas y estadísticas A'!E20</f>
        <v/>
      </c>
      <c r="F12" s="79" t="str">
        <f>'3.1 Gráficas y estadísticas A'!G20</f>
        <v/>
      </c>
      <c r="G12" s="80" t="str">
        <f>'3.1 Gráficas y estadísticas A'!H20</f>
        <v/>
      </c>
      <c r="I12" s="98" t="str">
        <f>'2.Páginas de la muestra'!C13</f>
        <v>Dashboard-Reservas</v>
      </c>
      <c r="J12" s="99">
        <f>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A'!C188,Hoja4!A5)+COUNTIF('4. Evaluación Nivel AA'!C11,Hoja4!A5)+COUNTIF('4. Evaluación Nivel AA'!C33,Hoja4!A5)+COUNTIF('4. Evaluación Nivel AA'!C55,Hoja4!A5)+COUNTIF('4. Evaluación Nivel AA'!C77,Hoja4!A5)+COUNTIF('4. Evaluación Nivel AA'!C99,Hoja4!A5)</f>
        <v>5</v>
      </c>
      <c r="K12" s="100">
        <f>J12*100/J5</f>
        <v>35.714285714285715</v>
      </c>
      <c r="L12" s="101">
        <f>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A'!C188,Hoja4!A6)+COUNTIF('4. Evaluación Nivel AA'!C11,Hoja4!A6)+COUNTIF('4. Evaluación Nivel AA'!C33,Hoja4!A6)+COUNTIF('4. Evaluación Nivel AA'!C55,Hoja4!A6)+COUNTIF('4. Evaluación Nivel AA'!C77,Hoja4!A6)+COUNTIF('4. Evaluación Nivel AA'!C99,Hoja4!A6)</f>
        <v>2</v>
      </c>
      <c r="M12" s="102">
        <f>L12*100/J5</f>
        <v>14.285714285714286</v>
      </c>
      <c r="N12" s="101">
        <f>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A'!C188,Hoja4!A7)+COUNTIF('4. Evaluación Nivel AA'!C11,Hoja4!A7)+COUNTIF('4. Evaluación Nivel AA'!C33,Hoja4!A7)+COUNTIF('4. Evaluación Nivel AA'!C55,Hoja4!A7)+COUNTIF('4. Evaluación Nivel AA'!C77,Hoja4!A7)+COUNTIF('4. Evaluación Nivel AA'!C99,Hoja4!A7)</f>
        <v>7</v>
      </c>
      <c r="O12" s="102">
        <f>N12*100/J5</f>
        <v>50</v>
      </c>
      <c r="P12" s="91">
        <f>IF(ISERROR((J12*100)/(J5-N12)),0,(J12*100)/(J5-N12))</f>
        <v>71.428571428571431</v>
      </c>
      <c r="Q12" s="91">
        <f>IF(ISERROR((L12*100)/(J5-N12)),0,(L12*100)/(J5-N12))</f>
        <v>28.571428571428573</v>
      </c>
    </row>
    <row r="13" spans="1:18" ht="19.5" thickBot="1" x14ac:dyDescent="0.35">
      <c r="B13" s="210" t="str">
        <f>'2.Páginas de la muestra'!C11</f>
        <v>Dashboard-Usuarios</v>
      </c>
      <c r="C13" s="212"/>
      <c r="D13" s="78" t="str">
        <f>'3.1 Gráficas y estadísticas A'!C21</f>
        <v/>
      </c>
      <c r="E13" s="78" t="str">
        <f>'3.1 Gráficas y estadísticas A'!E21</f>
        <v/>
      </c>
      <c r="F13" s="79" t="str">
        <f>'3.1 Gráficas y estadísticas A'!G21</f>
        <v/>
      </c>
      <c r="G13" s="80" t="str">
        <f>'3.1 Gráficas y estadísticas A'!H21</f>
        <v/>
      </c>
      <c r="I13" s="98" t="str">
        <f>'2.Páginas de la muestra'!C14</f>
        <v>Dashboard-Reservas-clientes</v>
      </c>
      <c r="J13" s="99">
        <f>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A'!C189,Hoja4!A5)+COUNTIF('4. Evaluación Nivel AA'!C12,Hoja4!A5)+COUNTIF('4. Evaluación Nivel AA'!C34,Hoja4!A5)+COUNTIF('4. Evaluación Nivel AA'!C56,Hoja4!A5)+COUNTIF('4. Evaluación Nivel AA'!C78,Hoja4!A5)+COUNTIF('4. Evaluación Nivel AA'!C100,Hoja4!A5)</f>
        <v>6</v>
      </c>
      <c r="K13" s="100">
        <f>J13*100/J5</f>
        <v>42.857142857142854</v>
      </c>
      <c r="L13" s="101">
        <f>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A'!C189,Hoja4!A6)+COUNTIF('4. Evaluación Nivel AA'!C12,Hoja4!A6)+COUNTIF('4. Evaluación Nivel AA'!C34,Hoja4!A6)+COUNTIF('4. Evaluación Nivel AA'!C56,Hoja4!A6)+COUNTIF('4. Evaluación Nivel AA'!C78,Hoja4!A6)+COUNTIF('4. Evaluación Nivel AA'!C100,Hoja4!A6)</f>
        <v>1</v>
      </c>
      <c r="M13" s="102">
        <f>L13*100/J5</f>
        <v>7.1428571428571432</v>
      </c>
      <c r="N13" s="101">
        <f>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A'!C189,Hoja4!A7)+COUNTIF('4. Evaluación Nivel AA'!C12,Hoja4!A7)+COUNTIF('4. Evaluación Nivel AA'!C34,Hoja4!A7)+COUNTIF('4. Evaluación Nivel AA'!C56,Hoja4!A7)+COUNTIF('4. Evaluación Nivel AA'!C78,Hoja4!A7)+COUNTIF('4. Evaluación Nivel AA'!C100,Hoja4!A7)</f>
        <v>7</v>
      </c>
      <c r="O13" s="102">
        <f>N13*100/J5</f>
        <v>50</v>
      </c>
      <c r="P13" s="91">
        <f>IF(ISERROR((J13*100)/(J5-N13)),0,(J13*100)/(J5-N13))</f>
        <v>85.714285714285708</v>
      </c>
      <c r="Q13" s="91">
        <f>IF(ISERROR((L13*100)/(J5-N13)),0,(L13*100)/(J5-N13))</f>
        <v>14.285714285714286</v>
      </c>
      <c r="R13" s="13"/>
    </row>
    <row r="14" spans="1:18" ht="19.5" thickBot="1" x14ac:dyDescent="0.35">
      <c r="B14" s="210" t="str">
        <f>'2.Páginas de la muestra'!C12</f>
        <v>Dashboard-Servicios</v>
      </c>
      <c r="C14" s="212"/>
      <c r="D14" s="78" t="str">
        <f>'3.1 Gráficas y estadísticas A'!C22</f>
        <v/>
      </c>
      <c r="E14" s="78" t="str">
        <f>'3.1 Gráficas y estadísticas A'!E22</f>
        <v/>
      </c>
      <c r="F14" s="79" t="str">
        <f>'3.1 Gráficas y estadísticas A'!G22</f>
        <v/>
      </c>
      <c r="G14" s="80" t="str">
        <f>'3.1 Gráficas y estadísticas A'!H22</f>
        <v/>
      </c>
      <c r="I14" s="98" t="str">
        <f>'2.Páginas de la muestra'!C15</f>
        <v>ALIAS 8</v>
      </c>
      <c r="J14" s="99">
        <f>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A'!C190,Hoja4!A5)+COUNTIF('4. Evaluación Nivel AA'!C13,Hoja4!A5)+COUNTIF('4. Evaluación Nivel AA'!C35,Hoja4!A5)+COUNTIF('4. Evaluación Nivel AA'!C57,Hoja4!A5)+COUNTIF('4. Evaluación Nivel AA'!C79,Hoja4!A5)+COUNTIF('4. Evaluación Nivel AA'!C101,Hoja4!A5)</f>
        <v>0</v>
      </c>
      <c r="K14" s="100">
        <f>J14*100/J5</f>
        <v>0</v>
      </c>
      <c r="L14" s="101">
        <f>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A'!C190,Hoja4!A6)+COUNTIF('4. Evaluación Nivel AA'!C13,Hoja4!A6)+COUNTIF('4. Evaluación Nivel AA'!C35,Hoja4!A6)+COUNTIF('4. Evaluación Nivel AA'!C57,Hoja4!A6)+COUNTIF('4. Evaluación Nivel AA'!C79,Hoja4!A6)+COUNTIF('4. Evaluación Nivel AA'!C101,Hoja4!A6)</f>
        <v>0</v>
      </c>
      <c r="M14" s="102">
        <f>L14*100/J5</f>
        <v>0</v>
      </c>
      <c r="N14" s="101">
        <f>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A'!C190,Hoja4!A7)+COUNTIF('4. Evaluación Nivel AA'!C13,Hoja4!A7)+COUNTIF('4. Evaluación Nivel AA'!C35,Hoja4!A7)+COUNTIF('4. Evaluación Nivel AA'!C57,Hoja4!A7)+COUNTIF('4. Evaluación Nivel AA'!C79,Hoja4!A7)+COUNTIF('4. Evaluación Nivel AA'!C101,Hoja4!A7)</f>
        <v>0</v>
      </c>
      <c r="O14" s="102">
        <f>N14*100/J5</f>
        <v>0</v>
      </c>
      <c r="P14" s="91">
        <f>IF(ISERROR((J14*100)/(J5-N14)),0,(J14*100)/(J5-N14))</f>
        <v>0</v>
      </c>
      <c r="Q14" s="91">
        <f>IF(ISERROR((L14*100)/(J5-N14)),0,(L14*100)/(J5-N14))</f>
        <v>0</v>
      </c>
      <c r="R14" s="13"/>
    </row>
    <row r="15" spans="1:18" ht="19.5" thickBot="1" x14ac:dyDescent="0.35">
      <c r="B15" s="210" t="str">
        <f>'2.Páginas de la muestra'!C13</f>
        <v>Dashboard-Reservas</v>
      </c>
      <c r="C15" s="212"/>
      <c r="D15" s="78" t="str">
        <f>'3.1 Gráficas y estadísticas A'!C23</f>
        <v/>
      </c>
      <c r="E15" s="78" t="str">
        <f>'3.1 Gráficas y estadísticas A'!E23</f>
        <v/>
      </c>
      <c r="F15" s="79" t="str">
        <f>'3.1 Gráficas y estadísticas A'!G23</f>
        <v/>
      </c>
      <c r="G15" s="80" t="str">
        <f>'3.1 Gráficas y estadísticas A'!H23</f>
        <v/>
      </c>
      <c r="I15" s="98" t="str">
        <f>'2.Páginas de la muestra'!C16</f>
        <v>ALIAS 9</v>
      </c>
      <c r="J15" s="99">
        <f>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A'!C191,Hoja4!A5)+COUNTIF('4. Evaluación Nivel AA'!C14,Hoja4!A5)+COUNTIF('4. Evaluación Nivel AA'!C36,Hoja4!A5)+COUNTIF('4. Evaluación Nivel AA'!C58,Hoja4!A5)+COUNTIF('4. Evaluación Nivel AA'!C80,Hoja4!A5)+COUNTIF('4. Evaluación Nivel AA'!C102,Hoja4!A5)</f>
        <v>0</v>
      </c>
      <c r="K15" s="100">
        <f>J15*100/J5</f>
        <v>0</v>
      </c>
      <c r="L15" s="101">
        <f>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A'!C191,Hoja4!A6)+COUNTIF('4. Evaluación Nivel AA'!C14,Hoja4!A6)+COUNTIF('4. Evaluación Nivel AA'!C36,Hoja4!A6)+COUNTIF('4. Evaluación Nivel AA'!C58,Hoja4!A6)+COUNTIF('4. Evaluación Nivel AA'!C80,Hoja4!A6)+COUNTIF('4. Evaluación Nivel AA'!C102,Hoja4!A6)</f>
        <v>0</v>
      </c>
      <c r="M15" s="102">
        <f>L15*100/J5</f>
        <v>0</v>
      </c>
      <c r="N15" s="101">
        <f>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A'!C191,Hoja4!A7)+COUNTIF('4. Evaluación Nivel AA'!C14,Hoja4!A7)+COUNTIF('4. Evaluación Nivel AA'!C36,Hoja4!A7)+COUNTIF('4. Evaluación Nivel AA'!C58,Hoja4!A7)+COUNTIF('4. Evaluación Nivel AA'!C80,Hoja4!A7)+COUNTIF('4. Evaluación Nivel AA'!C102,Hoja4!A7)</f>
        <v>0</v>
      </c>
      <c r="O15" s="102">
        <f>N15*100/J5</f>
        <v>0</v>
      </c>
      <c r="P15" s="91">
        <f>IF(ISERROR((J15*100)/(J5-N15)),0,(J15*100)/(J5-N15))</f>
        <v>0</v>
      </c>
      <c r="Q15" s="91">
        <f>IF(ISERROR((L15*100)/(J5-N15)),0,(L15*100)/(J5-N15))</f>
        <v>0</v>
      </c>
      <c r="R15" s="13"/>
    </row>
    <row r="16" spans="1:18" ht="19.5" thickBot="1" x14ac:dyDescent="0.35">
      <c r="B16" s="210" t="str">
        <f>'2.Páginas de la muestra'!C14</f>
        <v>Dashboard-Reservas-clientes</v>
      </c>
      <c r="C16" s="212"/>
      <c r="D16" s="78" t="str">
        <f>'3.1 Gráficas y estadísticas A'!C24</f>
        <v/>
      </c>
      <c r="E16" s="78" t="str">
        <f>'3.1 Gráficas y estadísticas A'!E24</f>
        <v/>
      </c>
      <c r="F16" s="79" t="str">
        <f>'3.1 Gráficas y estadísticas A'!G24</f>
        <v/>
      </c>
      <c r="G16" s="80" t="str">
        <f>'3.1 Gráficas y estadísticas A'!H24</f>
        <v/>
      </c>
      <c r="I16" s="98" t="str">
        <f>'2.Páginas de la muestra'!C17</f>
        <v>ALIAS 10</v>
      </c>
      <c r="J16" s="99">
        <f>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A'!C192,Hoja4!A5)+COUNTIF('4. Evaluación Nivel AA'!C15,Hoja4!A5)+COUNTIF('4. Evaluación Nivel AA'!C37,Hoja4!A5)+COUNTIF('4. Evaluación Nivel AA'!C59,Hoja4!A5)+COUNTIF('4. Evaluación Nivel AA'!C81,Hoja4!A5)+COUNTIF('4. Evaluación Nivel AA'!C103,Hoja4!A5)</f>
        <v>0</v>
      </c>
      <c r="K16" s="100">
        <f>J16*100/J5</f>
        <v>0</v>
      </c>
      <c r="L16" s="101">
        <f>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A'!C192,Hoja4!A6)+COUNTIF('4. Evaluación Nivel AA'!C15,Hoja4!A6)+COUNTIF('4. Evaluación Nivel AA'!C37,Hoja4!A6)+COUNTIF('4. Evaluación Nivel AA'!C59,Hoja4!A6)+COUNTIF('4. Evaluación Nivel AA'!C81,Hoja4!A6)+COUNTIF('4. Evaluación Nivel AA'!C103,Hoja4!A6)</f>
        <v>0</v>
      </c>
      <c r="M16" s="102">
        <f>L16*100/J5</f>
        <v>0</v>
      </c>
      <c r="N16" s="101">
        <f>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A'!C192,Hoja4!A7)+COUNTIF('4. Evaluación Nivel AA'!C15,Hoja4!A7)+COUNTIF('4. Evaluación Nivel AA'!C37,Hoja4!A7)+COUNTIF('4. Evaluación Nivel AA'!C59,Hoja4!A7)+COUNTIF('4. Evaluación Nivel AA'!C81,Hoja4!A7)+COUNTIF('4. Evaluación Nivel AA'!C103,Hoja4!A7)</f>
        <v>0</v>
      </c>
      <c r="O16" s="102">
        <f>N16*100/J5</f>
        <v>0</v>
      </c>
      <c r="P16" s="91">
        <f>IF(ISERROR((J16*100)/(J5-N16)),0,(J16*100)/(J5-N16))</f>
        <v>0</v>
      </c>
      <c r="Q16" s="91">
        <f>IF(ISERROR((L16*100)/(J5-N16)),0,(L16*100)/(J5-N16))</f>
        <v>0</v>
      </c>
      <c r="R16" s="13"/>
    </row>
    <row r="17" spans="2:18" ht="19.5" thickBot="1" x14ac:dyDescent="0.35">
      <c r="B17" s="210" t="str">
        <f>'2.Páginas de la muestra'!C15</f>
        <v>ALIAS 8</v>
      </c>
      <c r="C17" s="212"/>
      <c r="D17" s="78" t="str">
        <f>'3.1 Gráficas y estadísticas A'!C25</f>
        <v/>
      </c>
      <c r="E17" s="78" t="str">
        <f>'3.1 Gráficas y estadísticas A'!E25</f>
        <v/>
      </c>
      <c r="F17" s="79" t="str">
        <f>'3.1 Gráficas y estadísticas A'!G25</f>
        <v/>
      </c>
      <c r="G17" s="80" t="str">
        <f>'3.1 Gráficas y estadísticas A'!H25</f>
        <v/>
      </c>
      <c r="I17" s="98" t="str">
        <f>'2.Páginas de la muestra'!C18</f>
        <v>ALIAS 11</v>
      </c>
      <c r="J17" s="99">
        <f>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A'!C193,Hoja4!A5)+COUNTIF('4. Evaluación Nivel AA'!C16,Hoja4!A5)+COUNTIF('4. Evaluación Nivel AA'!C38,Hoja4!A5)+COUNTIF('4. Evaluación Nivel AA'!C60,Hoja4!A5)+COUNTIF('4. Evaluación Nivel AA'!C82,Hoja4!A5)+COUNTIF('4. Evaluación Nivel AA'!C104,Hoja4!A5)</f>
        <v>0</v>
      </c>
      <c r="K17" s="100">
        <f>J17*100/J5</f>
        <v>0</v>
      </c>
      <c r="L17" s="101">
        <f>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A'!C193,Hoja4!A6)+COUNTIF('4. Evaluación Nivel AA'!C16,Hoja4!A6)+COUNTIF('4. Evaluación Nivel AA'!C38,Hoja4!A6)+COUNTIF('4. Evaluación Nivel AA'!C60,Hoja4!A6)+COUNTIF('4. Evaluación Nivel AA'!C82,Hoja4!A6)+COUNTIF('4. Evaluación Nivel AA'!C104,Hoja4!A6)</f>
        <v>0</v>
      </c>
      <c r="M17" s="102">
        <f>L17*100/J5</f>
        <v>0</v>
      </c>
      <c r="N17" s="101">
        <f>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A'!C193,Hoja4!A7)+COUNTIF('4. Evaluación Nivel AA'!C16,Hoja4!A7)+COUNTIF('4. Evaluación Nivel AA'!C38,Hoja4!A7)+COUNTIF('4. Evaluación Nivel AA'!C60,Hoja4!A7)+COUNTIF('4. Evaluación Nivel AA'!C82,Hoja4!A7)+COUNTIF('4. Evaluación Nivel AA'!C104,Hoja4!A7)</f>
        <v>0</v>
      </c>
      <c r="O17" s="102">
        <f>N17*100/J5</f>
        <v>0</v>
      </c>
      <c r="P17" s="91">
        <f>IF(ISERROR((J17*100)/(J5-N17)),0,(J17*100)/(J5-N17))</f>
        <v>0</v>
      </c>
      <c r="Q17" s="91">
        <f>IF(ISERROR((L17*100)/(J5-N17)),0,(L17*100)/(J5-N17))</f>
        <v>0</v>
      </c>
      <c r="R17" s="13"/>
    </row>
    <row r="18" spans="2:18" ht="19.5" thickBot="1" x14ac:dyDescent="0.35">
      <c r="B18" s="210" t="str">
        <f>'2.Páginas de la muestra'!C16</f>
        <v>ALIAS 9</v>
      </c>
      <c r="C18" s="212"/>
      <c r="D18" s="78" t="str">
        <f>'3.1 Gráficas y estadísticas A'!C26</f>
        <v/>
      </c>
      <c r="E18" s="78" t="str">
        <f>'3.1 Gráficas y estadísticas A'!E26</f>
        <v/>
      </c>
      <c r="F18" s="79" t="str">
        <f>'3.1 Gráficas y estadísticas A'!G26</f>
        <v/>
      </c>
      <c r="G18" s="80" t="str">
        <f>'3.1 Gráficas y estadísticas A'!H26</f>
        <v/>
      </c>
      <c r="I18" s="98" t="str">
        <f>'2.Páginas de la muestra'!C19</f>
        <v>ALIAS 12</v>
      </c>
      <c r="J18" s="99">
        <f>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A'!C194,Hoja4!A5)+COUNTIF('4. Evaluación Nivel AA'!C17,Hoja4!A5)+COUNTIF('4. Evaluación Nivel AA'!C39,Hoja4!A5)+COUNTIF('4. Evaluación Nivel AA'!C61,Hoja4!A5)+COUNTIF('4. Evaluación Nivel AA'!C83,Hoja4!A5)+COUNTIF('4. Evaluación Nivel AA'!C105,Hoja4!A5)</f>
        <v>0</v>
      </c>
      <c r="K18" s="100">
        <f>J18*100/J5</f>
        <v>0</v>
      </c>
      <c r="L18" s="101">
        <f>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A'!C194,Hoja4!A6)+COUNTIF('4. Evaluación Nivel AA'!C17,Hoja4!A6)+COUNTIF('4. Evaluación Nivel AA'!C39,Hoja4!A6)+COUNTIF('4. Evaluación Nivel AA'!C61,Hoja4!A6)+COUNTIF('4. Evaluación Nivel AA'!C83,Hoja4!A6)+COUNTIF('4. Evaluación Nivel AA'!C105,Hoja4!A6)</f>
        <v>0</v>
      </c>
      <c r="M18" s="102">
        <f>L18*100/J5</f>
        <v>0</v>
      </c>
      <c r="N18" s="101">
        <f>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A'!C194,Hoja4!A7)+COUNTIF('4. Evaluación Nivel AA'!C17,Hoja4!A7)+COUNTIF('4. Evaluación Nivel AA'!C39,Hoja4!A7)+COUNTIF('4. Evaluación Nivel AA'!C61,Hoja4!A7)+COUNTIF('4. Evaluación Nivel AA'!C83,Hoja4!A7)+COUNTIF('4. Evaluación Nivel AA'!C105,Hoja4!A7)</f>
        <v>0</v>
      </c>
      <c r="O18" s="102">
        <f>N18*100/J5</f>
        <v>0</v>
      </c>
      <c r="P18" s="91">
        <f>IF(ISERROR((J18*100)/(J5-N18)),0,(J18*100)/(J5-N18))</f>
        <v>0</v>
      </c>
      <c r="Q18" s="91">
        <f>IF(ISERROR((L18*100)/(J5-N18)),0,(L18*100)/(J5-N18))</f>
        <v>0</v>
      </c>
      <c r="R18" s="13"/>
    </row>
    <row r="19" spans="2:18" ht="19.5" thickBot="1" x14ac:dyDescent="0.35">
      <c r="B19" s="210" t="str">
        <f>'2.Páginas de la muestra'!C17</f>
        <v>ALIAS 10</v>
      </c>
      <c r="C19" s="212"/>
      <c r="D19" s="78" t="str">
        <f>'3.1 Gráficas y estadísticas A'!C27</f>
        <v/>
      </c>
      <c r="E19" s="78" t="str">
        <f>'3.1 Gráficas y estadísticas A'!E27</f>
        <v/>
      </c>
      <c r="F19" s="79" t="str">
        <f>'3.1 Gráficas y estadísticas A'!G27</f>
        <v/>
      </c>
      <c r="G19" s="80" t="str">
        <f>'3.1 Gráficas y estadísticas A'!H27</f>
        <v/>
      </c>
      <c r="I19" s="98" t="str">
        <f>'2.Páginas de la muestra'!C20</f>
        <v>ALIAS 13</v>
      </c>
      <c r="J19" s="99">
        <f>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A'!C195,Hoja4!A5)+COUNTIF('4. Evaluación Nivel AA'!C18,Hoja4!A5)+COUNTIF('4. Evaluación Nivel AA'!C40,Hoja4!A5)+COUNTIF('4. Evaluación Nivel AA'!C62,Hoja4!A5)+COUNTIF('4. Evaluación Nivel AA'!C84,Hoja4!A5)+COUNTIF('4. Evaluación Nivel AA'!C106,Hoja4!A5)</f>
        <v>0</v>
      </c>
      <c r="K19" s="100">
        <f>J19*100/J5</f>
        <v>0</v>
      </c>
      <c r="L19" s="101">
        <f>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A'!C195,Hoja4!A6)+COUNTIF('4. Evaluación Nivel AA'!C18,Hoja4!A6)+COUNTIF('4. Evaluación Nivel AA'!C40,Hoja4!A6)+COUNTIF('4. Evaluación Nivel AA'!C62,Hoja4!A6)+COUNTIF('4. Evaluación Nivel AA'!C84,Hoja4!A6)+COUNTIF('4. Evaluación Nivel AA'!C106,Hoja4!A6)</f>
        <v>0</v>
      </c>
      <c r="M19" s="102">
        <f>L19*100/J5</f>
        <v>0</v>
      </c>
      <c r="N19" s="101">
        <f>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A'!C195,Hoja4!A7)+COUNTIF('4. Evaluación Nivel AA'!C18,Hoja4!A7)+COUNTIF('4. Evaluación Nivel AA'!C40,Hoja4!A7)+COUNTIF('4. Evaluación Nivel AA'!C62,Hoja4!A7)+COUNTIF('4. Evaluación Nivel AA'!C84,Hoja4!A7)+COUNTIF('4. Evaluación Nivel AA'!C106,Hoja4!A7)</f>
        <v>0</v>
      </c>
      <c r="O19" s="102">
        <f>N19*100/J5</f>
        <v>0</v>
      </c>
      <c r="P19" s="91">
        <f>IF(ISERROR((J19*100)/(J5-N19)),0,(J19*100)/(J5-N19))</f>
        <v>0</v>
      </c>
      <c r="Q19" s="91">
        <f>IF(ISERROR((L19*100)/(J5-N19)),0,(L19*100)/(J5-N19))</f>
        <v>0</v>
      </c>
      <c r="R19" s="13"/>
    </row>
    <row r="20" spans="2:18" ht="19.5" thickBot="1" x14ac:dyDescent="0.35">
      <c r="B20" s="210" t="str">
        <f>'2.Páginas de la muestra'!C18</f>
        <v>ALIAS 11</v>
      </c>
      <c r="C20" s="212"/>
      <c r="D20" s="78" t="str">
        <f>'3.1 Gráficas y estadísticas A'!C28</f>
        <v/>
      </c>
      <c r="E20" s="78" t="str">
        <f>'3.1 Gráficas y estadísticas A'!E28</f>
        <v/>
      </c>
      <c r="F20" s="79" t="str">
        <f>'3.1 Gráficas y estadísticas A'!G28</f>
        <v/>
      </c>
      <c r="G20" s="80" t="str">
        <f>'3.1 Gráficas y estadísticas A'!H28</f>
        <v/>
      </c>
      <c r="I20" s="98" t="str">
        <f>'2.Páginas de la muestra'!C21</f>
        <v>ALIAS 14</v>
      </c>
      <c r="J20" s="99">
        <f>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A'!C196,Hoja4!A5)+COUNTIF('4. Evaluación Nivel AA'!C19,Hoja4!A5)+COUNTIF('4. Evaluación Nivel AA'!C41,Hoja4!A5)+COUNTIF('4. Evaluación Nivel AA'!C63,Hoja4!A5)+COUNTIF('4. Evaluación Nivel AA'!C85,Hoja4!A5)+COUNTIF('4. Evaluación Nivel AA'!C107,Hoja4!A5)</f>
        <v>0</v>
      </c>
      <c r="K20" s="100">
        <f>J20*100/J5</f>
        <v>0</v>
      </c>
      <c r="L20" s="101">
        <f>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A'!C196,Hoja4!A6)+COUNTIF('4. Evaluación Nivel AA'!C19,Hoja4!A6)+COUNTIF('4. Evaluación Nivel AA'!C41,Hoja4!A6)+COUNTIF('4. Evaluación Nivel AA'!C63,Hoja4!A6)+COUNTIF('4. Evaluación Nivel AA'!C85,Hoja4!A6)+COUNTIF('4. Evaluación Nivel AA'!C107,Hoja4!A6)</f>
        <v>0</v>
      </c>
      <c r="M20" s="102">
        <f>L20*100/J5</f>
        <v>0</v>
      </c>
      <c r="N20" s="101">
        <f>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A'!C196,Hoja4!A7)+COUNTIF('4. Evaluación Nivel AA'!C19,Hoja4!A7)+COUNTIF('4. Evaluación Nivel AA'!C41,Hoja4!A7)+COUNTIF('4. Evaluación Nivel AA'!C63,Hoja4!A7)+COUNTIF('4. Evaluación Nivel AA'!C85,Hoja4!A7)+COUNTIF('4. Evaluación Nivel AA'!C107,Hoja4!A7)</f>
        <v>0</v>
      </c>
      <c r="O20" s="102">
        <f>N20*100/J5</f>
        <v>0</v>
      </c>
      <c r="P20" s="91">
        <f>IF(ISERROR((J20*100)/(J5-N20)),0,(J20*100)/(J5-N20))</f>
        <v>0</v>
      </c>
      <c r="Q20" s="91">
        <f>IF(ISERROR((L20*100)/(J5-N20)),0,(L20*100)/(J5-N20))</f>
        <v>0</v>
      </c>
      <c r="R20" s="13"/>
    </row>
    <row r="21" spans="2:18" ht="19.5" thickBot="1" x14ac:dyDescent="0.35">
      <c r="B21" s="210" t="str">
        <f>'2.Páginas de la muestra'!C19</f>
        <v>ALIAS 12</v>
      </c>
      <c r="C21" s="212"/>
      <c r="D21" s="78" t="str">
        <f>'3.1 Gráficas y estadísticas A'!C29</f>
        <v/>
      </c>
      <c r="E21" s="78" t="str">
        <f>'3.1 Gráficas y estadísticas A'!E29</f>
        <v/>
      </c>
      <c r="F21" s="79" t="str">
        <f>'3.1 Gráficas y estadísticas A'!G29</f>
        <v/>
      </c>
      <c r="G21" s="80" t="str">
        <f>'3.1 Gráficas y estadísticas A'!H29</f>
        <v/>
      </c>
      <c r="I21" s="98" t="str">
        <f>'2.Páginas de la muestra'!C22</f>
        <v>ALIAS 15</v>
      </c>
      <c r="J21" s="99">
        <f>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A'!C197,Hoja4!A5)+COUNTIF('4. Evaluación Nivel AA'!C20,Hoja4!A5)+COUNTIF('4. Evaluación Nivel AA'!C42,Hoja4!A5)+COUNTIF('4. Evaluación Nivel AA'!C64,Hoja4!A5)+COUNTIF('4. Evaluación Nivel AA'!C86,Hoja4!A5)+COUNTIF('4. Evaluación Nivel AA'!C108,Hoja4!A5)</f>
        <v>0</v>
      </c>
      <c r="K21" s="100">
        <f>J21*100/J5</f>
        <v>0</v>
      </c>
      <c r="L21" s="101">
        <f>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A'!C197,Hoja4!A6)+COUNTIF('4. Evaluación Nivel AA'!C20,Hoja4!A6)+COUNTIF('4. Evaluación Nivel AA'!C42,Hoja4!A6)+COUNTIF('4. Evaluación Nivel AA'!C64,Hoja4!A6)+COUNTIF('4. Evaluación Nivel AA'!C86,Hoja4!A6)+COUNTIF('4. Evaluación Nivel AA'!C108,Hoja4!A6)</f>
        <v>0</v>
      </c>
      <c r="M21" s="102">
        <f>L21*100/J5</f>
        <v>0</v>
      </c>
      <c r="N21" s="101">
        <f>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A'!C197,Hoja4!A7)+COUNTIF('4. Evaluación Nivel AA'!C20,Hoja4!A7)+COUNTIF('4. Evaluación Nivel AA'!C42,Hoja4!A7)+COUNTIF('4. Evaluación Nivel AA'!C64,Hoja4!A7)+COUNTIF('4. Evaluación Nivel AA'!C86,Hoja4!A7)+COUNTIF('4. Evaluación Nivel AA'!C108,Hoja4!A7)</f>
        <v>0</v>
      </c>
      <c r="O21" s="102">
        <f>N21*100/J5</f>
        <v>0</v>
      </c>
      <c r="P21" s="91">
        <f>IF(ISERROR((J21*100)/(J5-N21)),0,(J21*100)/(J5-N21))</f>
        <v>0</v>
      </c>
      <c r="Q21" s="91">
        <f>IF(ISERROR((L21*100)/(J5-N21)),0,(L21*100)/(J5-N21))</f>
        <v>0</v>
      </c>
      <c r="R21" s="13"/>
    </row>
    <row r="22" spans="2:18" ht="18.75" x14ac:dyDescent="0.3">
      <c r="B22" s="210" t="str">
        <f>'2.Páginas de la muestra'!C20</f>
        <v>ALIAS 13</v>
      </c>
      <c r="C22" s="212"/>
      <c r="D22" s="78" t="str">
        <f>'3.1 Gráficas y estadísticas A'!C30</f>
        <v/>
      </c>
      <c r="E22" s="78" t="str">
        <f>'3.1 Gráficas y estadísticas A'!E30</f>
        <v/>
      </c>
      <c r="F22" s="79" t="str">
        <f>'3.1 Gráficas y estadísticas A'!G30</f>
        <v/>
      </c>
      <c r="G22" s="80" t="str">
        <f>'3.1 Gráficas y estadísticas A'!H30</f>
        <v/>
      </c>
      <c r="I22" s="71"/>
      <c r="J22" s="71"/>
      <c r="K22" s="71"/>
      <c r="L22" s="71"/>
      <c r="M22" s="71"/>
      <c r="N22" s="71"/>
      <c r="O22" s="71"/>
      <c r="P22" s="71"/>
      <c r="Q22" s="71"/>
      <c r="R22" s="13"/>
    </row>
    <row r="23" spans="2:18" ht="18.75" x14ac:dyDescent="0.3">
      <c r="B23" s="210" t="str">
        <f>'2.Páginas de la muestra'!C21</f>
        <v>ALIAS 14</v>
      </c>
      <c r="C23" s="212"/>
      <c r="D23" s="78" t="str">
        <f>'3.1 Gráficas y estadísticas A'!C31</f>
        <v/>
      </c>
      <c r="E23" s="78" t="str">
        <f>'3.1 Gráficas y estadísticas A'!E31</f>
        <v/>
      </c>
      <c r="F23" s="79" t="str">
        <f>'3.1 Gráficas y estadísticas A'!G31</f>
        <v/>
      </c>
      <c r="G23" s="80" t="str">
        <f>'3.1 Gráficas y estadísticas A'!H31</f>
        <v/>
      </c>
      <c r="I23" s="71"/>
      <c r="J23" s="71"/>
      <c r="K23" s="71"/>
      <c r="L23" s="71"/>
      <c r="M23" s="71"/>
      <c r="N23" s="71"/>
      <c r="O23" s="71"/>
      <c r="P23" s="71"/>
      <c r="Q23" s="71"/>
      <c r="R23" s="13"/>
    </row>
    <row r="24" spans="2:18" ht="19.5" thickBot="1" x14ac:dyDescent="0.35">
      <c r="B24" s="210" t="str">
        <f>'2.Páginas de la muestra'!C22</f>
        <v>ALIAS 15</v>
      </c>
      <c r="C24" s="212"/>
      <c r="D24" s="78" t="str">
        <f>'3.1 Gráficas y estadísticas A'!C32</f>
        <v/>
      </c>
      <c r="E24" s="78" t="str">
        <f>'3.1 Gráficas y estadísticas A'!E32</f>
        <v/>
      </c>
      <c r="F24" s="79" t="str">
        <f>'3.1 Gráficas y estadísticas A'!G32</f>
        <v/>
      </c>
      <c r="G24" s="80" t="str">
        <f>'3.1 Gráficas y estadísticas A'!H32</f>
        <v/>
      </c>
      <c r="I24" s="71"/>
      <c r="J24" s="71">
        <f>IF('1.Datos generales'!B10="A",9,12)</f>
        <v>12</v>
      </c>
      <c r="K24" s="9" t="s">
        <v>441</v>
      </c>
      <c r="L24" s="71"/>
      <c r="M24" s="71"/>
      <c r="N24" s="71"/>
      <c r="O24" s="71"/>
      <c r="P24" s="71"/>
      <c r="Q24" s="71"/>
      <c r="R24" s="13"/>
    </row>
    <row r="25" spans="2:18" ht="19.5" thickBot="1" x14ac:dyDescent="0.35">
      <c r="B25" s="208" t="s">
        <v>133</v>
      </c>
      <c r="C25" s="209"/>
      <c r="D25" s="69">
        <f>AVERAGE(D10:D24)</f>
        <v>56</v>
      </c>
      <c r="E25" s="69">
        <f>AVERAGE(E10:E24)</f>
        <v>12</v>
      </c>
      <c r="F25" s="70">
        <f>AVERAGE(F10:F24)</f>
        <v>32</v>
      </c>
      <c r="G25" s="69">
        <f>AVERAGE(G10:G24)</f>
        <v>82.352941176470594</v>
      </c>
      <c r="I25" s="119" t="s">
        <v>132</v>
      </c>
      <c r="J25" s="83" t="s">
        <v>7</v>
      </c>
      <c r="K25" s="84" t="s">
        <v>128</v>
      </c>
      <c r="L25" s="83" t="s">
        <v>23</v>
      </c>
      <c r="M25" s="84" t="s">
        <v>27</v>
      </c>
      <c r="N25" s="83" t="s">
        <v>25</v>
      </c>
      <c r="O25" s="84" t="s">
        <v>28</v>
      </c>
      <c r="P25" s="85" t="s">
        <v>32</v>
      </c>
      <c r="Q25" s="86" t="s">
        <v>33</v>
      </c>
      <c r="R25" s="13"/>
    </row>
    <row r="26" spans="2:18" ht="19.5" thickBot="1" x14ac:dyDescent="0.35">
      <c r="B26" s="71"/>
      <c r="C26" s="71"/>
      <c r="D26" s="71"/>
      <c r="E26" s="71"/>
      <c r="F26" s="71"/>
      <c r="G26" s="71"/>
      <c r="I26" s="87" t="str">
        <f>'2.Páginas de la muestra'!C8</f>
        <v>Inicio</v>
      </c>
      <c r="J26" s="88">
        <f>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A'!C381,Hoja4!A5)+COUNTIF('4. Evaluación Nivel AA'!C116,Hoja4!A5)+COUNTIF('4. Evaluación Nivel AA'!C138,Hoja4!A5)+COUNTIF('4. Evaluación Nivel AA'!C160,Hoja4!A5)</f>
        <v>5</v>
      </c>
      <c r="K26" s="89">
        <f>J26*100/J24</f>
        <v>41.666666666666664</v>
      </c>
      <c r="L26" s="83">
        <f>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A'!C381,Hoja4!A6)+COUNTIF('4. Evaluación Nivel AA'!C116,Hoja4!A6)+COUNTIF('4. Evaluación Nivel AA'!C138,Hoja4!A6)+COUNTIF('4. Evaluación Nivel AA'!C160,Hoja4!A6)</f>
        <v>3</v>
      </c>
      <c r="M26" s="90">
        <f>L26*100/J24</f>
        <v>25</v>
      </c>
      <c r="N26" s="83">
        <f>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A'!C381,Hoja4!A7)+COUNTIF('4. Evaluación Nivel AA'!C116,Hoja4!A7)+COUNTIF('4. Evaluación Nivel AA'!C138,Hoja4!A7)+COUNTIF('4. Evaluación Nivel AA'!C160,Hoja4!A7)</f>
        <v>4</v>
      </c>
      <c r="O26" s="90">
        <f>N26*100/J24</f>
        <v>33.333333333333336</v>
      </c>
      <c r="P26" s="91">
        <f>IF(ISERROR((J26*100)/(J24-N26)),0,(J26*100)/(J24-N26))</f>
        <v>62.5</v>
      </c>
      <c r="Q26" s="91">
        <f>IF(ISERROR((L26*100)/(J24-N26)),0,(L26*100)/(J24-N26))</f>
        <v>37.5</v>
      </c>
      <c r="R26" s="13"/>
    </row>
    <row r="27" spans="2:18" ht="19.5" thickBot="1" x14ac:dyDescent="0.35">
      <c r="B27" s="71"/>
      <c r="C27" s="71"/>
      <c r="D27" s="71"/>
      <c r="E27" s="71"/>
      <c r="F27" s="71"/>
      <c r="G27" s="71"/>
      <c r="I27" s="87" t="str">
        <f>'2.Páginas de la muestra'!C9</f>
        <v>login</v>
      </c>
      <c r="J27" s="88">
        <f>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A'!C382,Hoja4!A5)+COUNTIF('4. Evaluación Nivel AA'!C117,Hoja4!A5)+COUNTIF('4. Evaluación Nivel AA'!C139,Hoja4!A5)+COUNTIF('4. Evaluación Nivel AA'!C161,Hoja4!A5)</f>
        <v>5</v>
      </c>
      <c r="K27" s="89">
        <f>J27*100/J24</f>
        <v>41.666666666666664</v>
      </c>
      <c r="L27" s="83">
        <f>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A'!C382,Hoja4!A6)+COUNTIF('4. Evaluación Nivel AA'!C117,Hoja4!A6)+COUNTIF('4. Evaluación Nivel AA'!C139,Hoja4!A6)+COUNTIF('4. Evaluación Nivel AA'!C161,Hoja4!A6)</f>
        <v>3</v>
      </c>
      <c r="M27" s="90">
        <f>L27*100/J24</f>
        <v>25</v>
      </c>
      <c r="N27" s="83">
        <f>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A'!C382,Hoja4!A7)+COUNTIF('4. Evaluación Nivel AA'!C117,Hoja4!A7)+COUNTIF('4. Evaluación Nivel AA'!C139,Hoja4!A7)+COUNTIF('4. Evaluación Nivel AA'!C161,Hoja4!A7)</f>
        <v>4</v>
      </c>
      <c r="O27" s="90">
        <f>N27*100/J24</f>
        <v>33.333333333333336</v>
      </c>
      <c r="P27" s="91">
        <f>IF(ISERROR((J27*100)/(J24-N27)),0,(J27*100)/(J24-N27))</f>
        <v>62.5</v>
      </c>
      <c r="Q27" s="91">
        <f>IF(ISERROR((L27*100)/(J24-N27)),0,(L27*100)/(J24-N27))</f>
        <v>37.5</v>
      </c>
      <c r="R27" s="13"/>
    </row>
    <row r="28" spans="2:18" ht="19.5" thickBot="1" x14ac:dyDescent="0.35">
      <c r="B28" s="202" t="s">
        <v>169</v>
      </c>
      <c r="C28" s="202"/>
      <c r="D28" s="202"/>
      <c r="E28" s="202"/>
      <c r="F28" s="202"/>
      <c r="G28" s="202"/>
      <c r="I28" s="87" t="str">
        <f>'2.Páginas de la muestra'!C10</f>
        <v>Inicio-Dashboard</v>
      </c>
      <c r="J28" s="88">
        <f>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A'!C383,Hoja4!A5)+COUNTIF('4. Evaluación Nivel AA'!C118,Hoja4!A5)+COUNTIF('4. Evaluación Nivel AA'!C140,Hoja4!A5)+COUNTIF('4. Evaluación Nivel AA'!C162,Hoja4!A5)</f>
        <v>5</v>
      </c>
      <c r="K28" s="89">
        <f>J28*100/J24</f>
        <v>41.666666666666664</v>
      </c>
      <c r="L28" s="83">
        <f>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A'!C383,Hoja4!A6)+COUNTIF('4. Evaluación Nivel AA'!C118,Hoja4!A6)+COUNTIF('4. Evaluación Nivel AA'!C140,Hoja4!A6)+COUNTIF('4. Evaluación Nivel AA'!C162,Hoja4!A6)</f>
        <v>3</v>
      </c>
      <c r="M28" s="90">
        <f>L28*100/J24</f>
        <v>25</v>
      </c>
      <c r="N28" s="83">
        <f>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A'!C383,Hoja4!A7)+COUNTIF('4. Evaluación Nivel AA'!C118,Hoja4!A7)+COUNTIF('4. Evaluación Nivel AA'!C140,Hoja4!A7)+COUNTIF('4. Evaluación Nivel AA'!C162,Hoja4!A7)</f>
        <v>4</v>
      </c>
      <c r="O28" s="90">
        <f>N28*100/J24</f>
        <v>33.333333333333336</v>
      </c>
      <c r="P28" s="91">
        <f>IF(ISERROR((J28*100)/(J24-N28)),0,(J28*100)/(J24-N28))</f>
        <v>62.5</v>
      </c>
      <c r="Q28" s="91">
        <f>IF(ISERROR((L28*100)/(J24-N28)),0,(L28*100)/(J24-N28))</f>
        <v>37.5</v>
      </c>
      <c r="R28" s="13"/>
    </row>
    <row r="29" spans="2:18" ht="19.5" thickBot="1" x14ac:dyDescent="0.35">
      <c r="B29" s="215" t="s">
        <v>3</v>
      </c>
      <c r="C29" s="216"/>
      <c r="D29" s="65" t="s">
        <v>128</v>
      </c>
      <c r="E29" s="65" t="s">
        <v>129</v>
      </c>
      <c r="F29" s="64" t="s">
        <v>130</v>
      </c>
      <c r="G29" s="65" t="s">
        <v>131</v>
      </c>
      <c r="I29" s="87" t="str">
        <f>'2.Páginas de la muestra'!C11</f>
        <v>Dashboard-Usuarios</v>
      </c>
      <c r="J29" s="88">
        <f>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A'!C384,Hoja4!A5)+COUNTIF('4. Evaluación Nivel AA'!C119,Hoja4!A5)+COUNTIF('4. Evaluación Nivel AA'!C141,Hoja4!A5)+COUNTIF('4. Evaluación Nivel AA'!C163,Hoja4!A5)</f>
        <v>5</v>
      </c>
      <c r="K29" s="89">
        <f>J29*100/J24</f>
        <v>41.666666666666664</v>
      </c>
      <c r="L29" s="83">
        <f>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A'!C384,Hoja4!A6)+COUNTIF('4. Evaluación Nivel AA'!C119,Hoja4!A6)+COUNTIF('4. Evaluación Nivel AA'!C141,Hoja4!A6)+COUNTIF('4. Evaluación Nivel AA'!C163,Hoja4!A6)</f>
        <v>3</v>
      </c>
      <c r="M29" s="90">
        <f>L29*100/J24</f>
        <v>25</v>
      </c>
      <c r="N29" s="83">
        <f>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A'!C384,Hoja4!A7)+COUNTIF('4. Evaluación Nivel AA'!C119,Hoja4!A7)+COUNTIF('4. Evaluación Nivel AA'!C141,Hoja4!A7)+COUNTIF('4. Evaluación Nivel AA'!C163,Hoja4!A7)</f>
        <v>4</v>
      </c>
      <c r="O29" s="90">
        <f>N29*100/J24</f>
        <v>33.333333333333336</v>
      </c>
      <c r="P29" s="91">
        <f>IF(ISERROR((J29*100)/(J24-N29)),0,(J29*100)/(J24-N29))</f>
        <v>62.5</v>
      </c>
      <c r="Q29" s="91">
        <f>IF(ISERROR((L29*100)/(J24-N29)),0,(L29*100)/(J24-N29))</f>
        <v>37.5</v>
      </c>
      <c r="R29" s="13"/>
    </row>
    <row r="30" spans="2:18" ht="19.5" thickBot="1" x14ac:dyDescent="0.35">
      <c r="B30" s="213" t="str">
        <f>'2.Páginas de la muestra'!C8</f>
        <v>Inicio</v>
      </c>
      <c r="C30" s="214"/>
      <c r="D30" s="78">
        <f>IF('1.Datos generales'!B10="AA",'4.1 Gráficas y estadísticas AA'!C62,"")</f>
        <v>57.89473684210526</v>
      </c>
      <c r="E30" s="78">
        <f>IF('1.Datos generales'!B10="AA",'4.1 Gráficas y estadísticas AA'!E62,"")</f>
        <v>13.157894736842104</v>
      </c>
      <c r="F30" s="79">
        <f>IF('1.Datos generales'!B10="AA",'4.1 Gráficas y estadísticas AA'!G62,"")</f>
        <v>28.94736842105263</v>
      </c>
      <c r="G30" s="80">
        <f>IF('1.Datos generales'!B10="AA",'4.1 Gráficas y estadísticas AA'!H62,"")</f>
        <v>81.481481481481481</v>
      </c>
      <c r="I30" s="87" t="str">
        <f>'2.Páginas de la muestra'!C12</f>
        <v>Dashboard-Servicios</v>
      </c>
      <c r="J30" s="88">
        <f>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A'!C385,Hoja4!A5)+COUNTIF('4. Evaluación Nivel AA'!C120,Hoja4!A5)+COUNTIF('4. Evaluación Nivel AA'!C142,Hoja4!A5)+COUNTIF('4. Evaluación Nivel AA'!C164,Hoja4!A5)</f>
        <v>5</v>
      </c>
      <c r="K30" s="95">
        <f>J30*100/J24</f>
        <v>41.666666666666664</v>
      </c>
      <c r="L30" s="83">
        <f>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A'!C385,Hoja4!A6)+COUNTIF('4. Evaluación Nivel AA'!C120,Hoja4!A6)+COUNTIF('4. Evaluación Nivel AA'!C142,Hoja4!A6)+COUNTIF('4. Evaluación Nivel AA'!C164,Hoja4!A6)</f>
        <v>3</v>
      </c>
      <c r="M30" s="97">
        <f>L30*100/J24</f>
        <v>25</v>
      </c>
      <c r="N30" s="83">
        <f>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A'!C385,Hoja4!A7)+COUNTIF('4. Evaluación Nivel AA'!C120,Hoja4!A7)+COUNTIF('4. Evaluación Nivel AA'!C142,Hoja4!A7)+COUNTIF('4. Evaluación Nivel AA'!C164,Hoja4!A7)</f>
        <v>4</v>
      </c>
      <c r="O30" s="97">
        <f>N30*100/J24</f>
        <v>33.333333333333336</v>
      </c>
      <c r="P30" s="91">
        <f>IF(ISERROR((J30*100)/(J24-N30)),0,(J30*100)/(J24-N30))</f>
        <v>62.5</v>
      </c>
      <c r="Q30" s="91">
        <f>IF(ISERROR((L30*100)/(J24-N30)),0,(L30*100)/(J24-N30))</f>
        <v>37.5</v>
      </c>
      <c r="R30" s="13"/>
    </row>
    <row r="31" spans="2:18" ht="19.5" thickBot="1" x14ac:dyDescent="0.35">
      <c r="B31" s="210" t="str">
        <f>'2.Páginas de la muestra'!C9</f>
        <v>login</v>
      </c>
      <c r="C31" s="211"/>
      <c r="D31" s="78" t="str">
        <f>IF('1.Datos generales'!B10="AA",'4.1 Gráficas y estadísticas AA'!C63,"")</f>
        <v/>
      </c>
      <c r="E31" s="78" t="str">
        <f>IF('1.Datos generales'!B10="AA",'4.1 Gráficas y estadísticas AA'!E63,"")</f>
        <v/>
      </c>
      <c r="F31" s="79" t="str">
        <f>IF('1.Datos generales'!B10="AA",'4.1 Gráficas y estadísticas AA'!G63,"")</f>
        <v/>
      </c>
      <c r="G31" s="80" t="str">
        <f>IF('1.Datos generales'!B10="AA",'4.1 Gráficas y estadísticas AA'!H63,"")</f>
        <v/>
      </c>
      <c r="I31" s="87" t="str">
        <f>'2.Páginas de la muestra'!C13</f>
        <v>Dashboard-Reservas</v>
      </c>
      <c r="J31" s="88">
        <f>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A'!C386,Hoja4!A5)+COUNTIF('4. Evaluación Nivel AA'!C121,Hoja4!A5)+COUNTIF('4. Evaluación Nivel AA'!C143,Hoja4!A5)+COUNTIF('4. Evaluación Nivel AA'!C165,Hoja4!A5)</f>
        <v>5</v>
      </c>
      <c r="K31" s="100">
        <f>J31*100/J24</f>
        <v>41.666666666666664</v>
      </c>
      <c r="L31" s="83">
        <f>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A'!C386,Hoja4!A6)+COUNTIF('4. Evaluación Nivel AA'!C121,Hoja4!A6)+COUNTIF('4. Evaluación Nivel AA'!C143,Hoja4!A6)+COUNTIF('4. Evaluación Nivel AA'!C165,Hoja4!A6)</f>
        <v>3</v>
      </c>
      <c r="M31" s="102">
        <f>L31*100/J24</f>
        <v>25</v>
      </c>
      <c r="N31" s="83">
        <f>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A'!C386,Hoja4!A7)+COUNTIF('4. Evaluación Nivel AA'!C121,Hoja4!A7)+COUNTIF('4. Evaluación Nivel AA'!C143,Hoja4!A7)+COUNTIF('4. Evaluación Nivel AA'!C165,Hoja4!A7)</f>
        <v>4</v>
      </c>
      <c r="O31" s="102">
        <f>N31*100/J24</f>
        <v>33.333333333333336</v>
      </c>
      <c r="P31" s="91">
        <f>IF(ISERROR((J31*100)/(J24-N31)),0,(J31*100)/(J24-N31))</f>
        <v>62.5</v>
      </c>
      <c r="Q31" s="91">
        <f>IF(ISERROR((L31*100)/(J24-N31)),0,(L31*100)/(J24-N31))</f>
        <v>37.5</v>
      </c>
    </row>
    <row r="32" spans="2:18" ht="19.5" thickBot="1" x14ac:dyDescent="0.35">
      <c r="B32" s="210" t="str">
        <f>'2.Páginas de la muestra'!C10</f>
        <v>Inicio-Dashboard</v>
      </c>
      <c r="C32" s="211"/>
      <c r="D32" s="78" t="str">
        <f>IF('1.Datos generales'!B10="AA",'4.1 Gráficas y estadísticas AA'!C64,"")</f>
        <v/>
      </c>
      <c r="E32" s="78" t="str">
        <f>IF('1.Datos generales'!B10="AA",'4.1 Gráficas y estadísticas AA'!E64,"")</f>
        <v/>
      </c>
      <c r="F32" s="79" t="str">
        <f>IF('1.Datos generales'!B10="AA",'4.1 Gráficas y estadísticas AA'!G64,"")</f>
        <v/>
      </c>
      <c r="G32" s="80" t="str">
        <f>IF('1.Datos generales'!B10="AA",'4.1 Gráficas y estadísticas AA'!H64,"")</f>
        <v/>
      </c>
      <c r="I32" s="87" t="str">
        <f>'2.Páginas de la muestra'!C14</f>
        <v>Dashboard-Reservas-clientes</v>
      </c>
      <c r="J32" s="88">
        <f>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A'!C387,Hoja4!A5)+COUNTIF('4. Evaluación Nivel AA'!C122,Hoja4!A5)+COUNTIF('4. Evaluación Nivel AA'!C144,Hoja4!A5)+COUNTIF('4. Evaluación Nivel AA'!C166,Hoja4!A5)</f>
        <v>5</v>
      </c>
      <c r="K32" s="100">
        <f>J32*100/J24</f>
        <v>41.666666666666664</v>
      </c>
      <c r="L32" s="83">
        <f>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A'!C387,Hoja4!A6)+COUNTIF('4. Evaluación Nivel AA'!C122,Hoja4!A6)+COUNTIF('4. Evaluación Nivel AA'!C144,Hoja4!A6)+COUNTIF('4. Evaluación Nivel AA'!C166,Hoja4!A6)</f>
        <v>3</v>
      </c>
      <c r="M32" s="102">
        <f>L32*100/J24</f>
        <v>25</v>
      </c>
      <c r="N32" s="83">
        <f>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A'!C387,Hoja4!A7)+COUNTIF('4. Evaluación Nivel AA'!C122,Hoja4!A7)+COUNTIF('4. Evaluación Nivel AA'!C144,Hoja4!A7)+COUNTIF('4. Evaluación Nivel AA'!C166,Hoja4!A7)</f>
        <v>4</v>
      </c>
      <c r="O32" s="102">
        <f>N32*100/J24</f>
        <v>33.333333333333336</v>
      </c>
      <c r="P32" s="91">
        <f>IF(ISERROR((J32*100)/(J24-N32)),0,(J32*100)/(J24-N32))</f>
        <v>62.5</v>
      </c>
      <c r="Q32" s="91">
        <f>IF(ISERROR((L32*100)/(J24-N32)),0,(L32*100)/(J24-N32))</f>
        <v>37.5</v>
      </c>
    </row>
    <row r="33" spans="2:17" ht="19.5" thickBot="1" x14ac:dyDescent="0.35">
      <c r="B33" s="210" t="str">
        <f>'2.Páginas de la muestra'!C11</f>
        <v>Dashboard-Usuarios</v>
      </c>
      <c r="C33" s="211"/>
      <c r="D33" s="78" t="str">
        <f>IF('1.Datos generales'!B10="AA",'4.1 Gráficas y estadísticas AA'!C65,"")</f>
        <v/>
      </c>
      <c r="E33" s="78" t="str">
        <f>IF('1.Datos generales'!B10="AA",'4.1 Gráficas y estadísticas AA'!E65,"")</f>
        <v/>
      </c>
      <c r="F33" s="79" t="str">
        <f>IF('1.Datos generales'!B10="AA",'4.1 Gráficas y estadísticas AA'!G65,"")</f>
        <v/>
      </c>
      <c r="G33" s="80" t="str">
        <f>IF('1.Datos generales'!B10="AA",'4.1 Gráficas y estadísticas AA'!H65,"")</f>
        <v/>
      </c>
      <c r="I33" s="87" t="str">
        <f>'2.Páginas de la muestra'!C15</f>
        <v>ALIAS 8</v>
      </c>
      <c r="J33" s="88">
        <f>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A'!C388,Hoja4!A5)+COUNTIF('4. Evaluación Nivel AA'!C123,Hoja4!A5)+COUNTIF('4. Evaluación Nivel AA'!C145,Hoja4!A5)+COUNTIF('4. Evaluación Nivel AA'!C167,Hoja4!A5)</f>
        <v>0</v>
      </c>
      <c r="K33" s="100">
        <f>J33*100/J24</f>
        <v>0</v>
      </c>
      <c r="L33" s="83">
        <f>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A'!C388,Hoja4!A6)+COUNTIF('4. Evaluación Nivel AA'!C123,Hoja4!A6)+COUNTIF('4. Evaluación Nivel AA'!C145,Hoja4!A6)+COUNTIF('4. Evaluación Nivel AA'!C167,Hoja4!A6)</f>
        <v>0</v>
      </c>
      <c r="M33" s="102">
        <f>L33*100/J24</f>
        <v>0</v>
      </c>
      <c r="N33" s="83">
        <f>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A'!C388,Hoja4!A7)+COUNTIF('4. Evaluación Nivel AA'!C123,Hoja4!A7)+COUNTIF('4. Evaluación Nivel AA'!C145,Hoja4!A7)+COUNTIF('4. Evaluación Nivel AA'!C167,Hoja4!A7)</f>
        <v>0</v>
      </c>
      <c r="O33" s="102">
        <f>N33*100/J24</f>
        <v>0</v>
      </c>
      <c r="P33" s="91">
        <f>IF(ISERROR((J33*100)/(J24-N33)),0,(J33*100)/(J24-N33))</f>
        <v>0</v>
      </c>
      <c r="Q33" s="91">
        <f>IF(ISERROR((L33*100)/(J24-N33)),0,(L33*100)/(J24-N33))</f>
        <v>0</v>
      </c>
    </row>
    <row r="34" spans="2:17" ht="19.5" thickBot="1" x14ac:dyDescent="0.35">
      <c r="B34" s="210" t="str">
        <f>'2.Páginas de la muestra'!C12</f>
        <v>Dashboard-Servicios</v>
      </c>
      <c r="C34" s="211"/>
      <c r="D34" s="78" t="str">
        <f>IF('1.Datos generales'!B10="AA",'4.1 Gráficas y estadísticas AA'!C66,"")</f>
        <v/>
      </c>
      <c r="E34" s="78" t="str">
        <f>IF('1.Datos generales'!B10="AA",'4.1 Gráficas y estadísticas AA'!E66,"")</f>
        <v/>
      </c>
      <c r="F34" s="79" t="str">
        <f>IF('1.Datos generales'!B10="AA",'4.1 Gráficas y estadísticas AA'!G66,"")</f>
        <v/>
      </c>
      <c r="G34" s="80" t="str">
        <f>IF('1.Datos generales'!B10="AA",'4.1 Gráficas y estadísticas AA'!H66,"")</f>
        <v/>
      </c>
      <c r="I34" s="87" t="str">
        <f>'2.Páginas de la muestra'!C16</f>
        <v>ALIAS 9</v>
      </c>
      <c r="J34" s="88">
        <f>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A'!C389,Hoja4!A5)+COUNTIF('4. Evaluación Nivel AA'!C124,Hoja4!A5)+COUNTIF('4. Evaluación Nivel AA'!C146,Hoja4!A5)+COUNTIF('4. Evaluación Nivel AA'!C168,Hoja4!A5)</f>
        <v>0</v>
      </c>
      <c r="K34" s="100">
        <f>J34*100/J24</f>
        <v>0</v>
      </c>
      <c r="L34" s="83">
        <f>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A'!C389,Hoja4!A6)+COUNTIF('4. Evaluación Nivel AA'!C124,Hoja4!A6)+COUNTIF('4. Evaluación Nivel AA'!C146,Hoja4!A6)+COUNTIF('4. Evaluación Nivel AA'!C168,Hoja4!A6)</f>
        <v>0</v>
      </c>
      <c r="M34" s="102">
        <f>L34*100/J24</f>
        <v>0</v>
      </c>
      <c r="N34" s="83">
        <f>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A'!C389,Hoja4!A7)+COUNTIF('4. Evaluación Nivel AA'!C124,Hoja4!A7)+COUNTIF('4. Evaluación Nivel AA'!C146,Hoja4!A7)+COUNTIF('4. Evaluación Nivel AA'!C168,Hoja4!A7)</f>
        <v>0</v>
      </c>
      <c r="O34" s="102">
        <f>N34*100/J24</f>
        <v>0</v>
      </c>
      <c r="P34" s="91">
        <f>IF(ISERROR((J34*100)/(J24-N34)),0,(J34*100)/(J24-N34))</f>
        <v>0</v>
      </c>
      <c r="Q34" s="91">
        <f>IF(ISERROR((L34*100)/(J24-N34)),0,(L34*100)/(J24-N34))</f>
        <v>0</v>
      </c>
    </row>
    <row r="35" spans="2:17" ht="19.5" thickBot="1" x14ac:dyDescent="0.35">
      <c r="B35" s="210" t="str">
        <f>'2.Páginas de la muestra'!C13</f>
        <v>Dashboard-Reservas</v>
      </c>
      <c r="C35" s="211"/>
      <c r="D35" s="78" t="str">
        <f>IF('1.Datos generales'!B10="AA",'4.1 Gráficas y estadísticas AA'!C67,"")</f>
        <v/>
      </c>
      <c r="E35" s="78" t="str">
        <f>IF('1.Datos generales'!B10="AA",'4.1 Gráficas y estadísticas AA'!E67,"")</f>
        <v/>
      </c>
      <c r="F35" s="79" t="str">
        <f>IF('1.Datos generales'!B10="AA",'4.1 Gráficas y estadísticas AA'!G67,"")</f>
        <v/>
      </c>
      <c r="G35" s="80" t="str">
        <f>IF('1.Datos generales'!B10="AA",'4.1 Gráficas y estadísticas AA'!H67,"")</f>
        <v/>
      </c>
      <c r="I35" s="87" t="str">
        <f>'2.Páginas de la muestra'!C17</f>
        <v>ALIAS 10</v>
      </c>
      <c r="J35" s="88">
        <f>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A'!C390,Hoja4!A5)+COUNTIF('4. Evaluación Nivel AA'!C125,Hoja4!A5)+COUNTIF('4. Evaluación Nivel AA'!C147,Hoja4!A5)+COUNTIF('4. Evaluación Nivel AA'!C169,Hoja4!A5)</f>
        <v>0</v>
      </c>
      <c r="K35" s="100">
        <f>J35*100/J24</f>
        <v>0</v>
      </c>
      <c r="L35" s="83">
        <f>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A'!C390,Hoja4!A6)+COUNTIF('4. Evaluación Nivel AA'!C125,Hoja4!A6)+COUNTIF('4. Evaluación Nivel AA'!C147,Hoja4!A6)+COUNTIF('4. Evaluación Nivel AA'!C169,Hoja4!A6)</f>
        <v>0</v>
      </c>
      <c r="M35" s="102">
        <f>L35*100/J24</f>
        <v>0</v>
      </c>
      <c r="N35" s="83">
        <f>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A'!C390,Hoja4!A7)+COUNTIF('4. Evaluación Nivel AA'!C125,Hoja4!A7)+COUNTIF('4. Evaluación Nivel AA'!C147,Hoja4!A7)+COUNTIF('4. Evaluación Nivel AA'!C169,Hoja4!A7)</f>
        <v>0</v>
      </c>
      <c r="O35" s="102">
        <f>N35*100/J24</f>
        <v>0</v>
      </c>
      <c r="P35" s="91">
        <f>IF(ISERROR((J35*100)/(J24-N35)),0,(J35*100)/(J24-N35))</f>
        <v>0</v>
      </c>
      <c r="Q35" s="91">
        <f>IF(ISERROR((L35*100)/(J24-N35)),0,(L35*100)/(J24-N35))</f>
        <v>0</v>
      </c>
    </row>
    <row r="36" spans="2:17" ht="19.5" thickBot="1" x14ac:dyDescent="0.35">
      <c r="B36" s="210" t="str">
        <f>'2.Páginas de la muestra'!C14</f>
        <v>Dashboard-Reservas-clientes</v>
      </c>
      <c r="C36" s="211"/>
      <c r="D36" s="78" t="str">
        <f>IF('1.Datos generales'!B10="AA",'4.1 Gráficas y estadísticas AA'!C68,"")</f>
        <v/>
      </c>
      <c r="E36" s="78" t="str">
        <f>IF('1.Datos generales'!B10="AA",'4.1 Gráficas y estadísticas AA'!E68,"")</f>
        <v/>
      </c>
      <c r="F36" s="79" t="str">
        <f>IF('1.Datos generales'!B10="AA",'4.1 Gráficas y estadísticas AA'!G68,"")</f>
        <v/>
      </c>
      <c r="G36" s="80" t="str">
        <f>IF('1.Datos generales'!B10="AA",'4.1 Gráficas y estadísticas AA'!H68,"")</f>
        <v/>
      </c>
      <c r="I36" s="87" t="str">
        <f>'2.Páginas de la muestra'!C18</f>
        <v>ALIAS 11</v>
      </c>
      <c r="J36" s="88">
        <f>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A'!C391,Hoja4!A5)+COUNTIF('4. Evaluación Nivel AA'!C126,Hoja4!A5)+COUNTIF('4. Evaluación Nivel AA'!C148,Hoja4!A5)+COUNTIF('4. Evaluación Nivel AA'!C170,Hoja4!A5)</f>
        <v>0</v>
      </c>
      <c r="K36" s="100">
        <f>J36*100/J24</f>
        <v>0</v>
      </c>
      <c r="L36" s="83">
        <f>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A'!C391,Hoja4!A6)+COUNTIF('4. Evaluación Nivel AA'!C126,Hoja4!A6)+COUNTIF('4. Evaluación Nivel AA'!C148,Hoja4!A6)+COUNTIF('4. Evaluación Nivel AA'!C170,Hoja4!A6)</f>
        <v>0</v>
      </c>
      <c r="M36" s="102">
        <f>L36*100/J24</f>
        <v>0</v>
      </c>
      <c r="N36" s="83">
        <f>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A'!C391,Hoja4!A7)+COUNTIF('4. Evaluación Nivel AA'!C126,Hoja4!A7)+COUNTIF('4. Evaluación Nivel AA'!C148,Hoja4!A7)+COUNTIF('4. Evaluación Nivel AA'!C170,Hoja4!A7)</f>
        <v>0</v>
      </c>
      <c r="O36" s="102">
        <f>N36*100/J24</f>
        <v>0</v>
      </c>
      <c r="P36" s="91">
        <f>IF(ISERROR((J36*100)/(J24-N36)),0,(J36*100)/(J24-N36))</f>
        <v>0</v>
      </c>
      <c r="Q36" s="91">
        <f>IF(ISERROR((L36*100)/(J24-N36)),0,(L36*100)/(J24-N36))</f>
        <v>0</v>
      </c>
    </row>
    <row r="37" spans="2:17" ht="19.5" thickBot="1" x14ac:dyDescent="0.35">
      <c r="B37" s="210" t="str">
        <f>'2.Páginas de la muestra'!C15</f>
        <v>ALIAS 8</v>
      </c>
      <c r="C37" s="211"/>
      <c r="D37" s="78" t="str">
        <f>IF('1.Datos generales'!B10="AA",'4.1 Gráficas y estadísticas AA'!C69,"")</f>
        <v/>
      </c>
      <c r="E37" s="78" t="str">
        <f>IF('1.Datos generales'!B10="AA",'4.1 Gráficas y estadísticas AA'!E69,"")</f>
        <v/>
      </c>
      <c r="F37" s="79" t="str">
        <f>IF('1.Datos generales'!B10="AA",'4.1 Gráficas y estadísticas AA'!G69,"")</f>
        <v/>
      </c>
      <c r="G37" s="80" t="str">
        <f>IF('1.Datos generales'!B10="AA",'4.1 Gráficas y estadísticas AA'!H69,"")</f>
        <v/>
      </c>
      <c r="I37" s="87" t="str">
        <f>'2.Páginas de la muestra'!C19</f>
        <v>ALIAS 12</v>
      </c>
      <c r="J37" s="88">
        <f>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A'!C392,Hoja4!A5)+COUNTIF('4. Evaluación Nivel AA'!C127,Hoja4!A5)+COUNTIF('4. Evaluación Nivel AA'!C149,Hoja4!A5)+COUNTIF('4. Evaluación Nivel AA'!C171,Hoja4!A5)</f>
        <v>0</v>
      </c>
      <c r="K37" s="100">
        <f>J37*100/J24</f>
        <v>0</v>
      </c>
      <c r="L37" s="83">
        <f>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A'!C392,Hoja4!A6)+COUNTIF('4. Evaluación Nivel AA'!C127,Hoja4!A6)+COUNTIF('4. Evaluación Nivel AA'!C149,Hoja4!A6)+COUNTIF('4. Evaluación Nivel AA'!C171,Hoja4!A6)</f>
        <v>0</v>
      </c>
      <c r="M37" s="102">
        <f>L37*100/J24</f>
        <v>0</v>
      </c>
      <c r="N37" s="83">
        <f>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A'!C392,Hoja4!A7)+COUNTIF('4. Evaluación Nivel AA'!C127,Hoja4!A7)+COUNTIF('4. Evaluación Nivel AA'!C149,Hoja4!A7)+COUNTIF('4. Evaluación Nivel AA'!C171,Hoja4!A7)</f>
        <v>0</v>
      </c>
      <c r="O37" s="102">
        <f>N37*100/J24</f>
        <v>0</v>
      </c>
      <c r="P37" s="91">
        <f>IF(ISERROR((J37*100)/(J24-N37)),0,(J37*100)/(J24-N37))</f>
        <v>0</v>
      </c>
      <c r="Q37" s="91">
        <f>IF(ISERROR((L37*100)/(J24-N37)),0,(L37*100)/(J24-N37))</f>
        <v>0</v>
      </c>
    </row>
    <row r="38" spans="2:17" ht="19.5" thickBot="1" x14ac:dyDescent="0.35">
      <c r="B38" s="210" t="str">
        <f>'2.Páginas de la muestra'!C16</f>
        <v>ALIAS 9</v>
      </c>
      <c r="C38" s="211"/>
      <c r="D38" s="78" t="str">
        <f>IF('1.Datos generales'!B10="AA",'4.1 Gráficas y estadísticas AA'!C70,"")</f>
        <v/>
      </c>
      <c r="E38" s="78" t="str">
        <f>IF('1.Datos generales'!B10="AA",'4.1 Gráficas y estadísticas AA'!E70,"")</f>
        <v/>
      </c>
      <c r="F38" s="79" t="str">
        <f>IF('1.Datos generales'!B10="AA",'4.1 Gráficas y estadísticas AA'!G70,"")</f>
        <v/>
      </c>
      <c r="G38" s="80" t="str">
        <f>IF('1.Datos generales'!B10="AA",'4.1 Gráficas y estadísticas AA'!H70,"")</f>
        <v/>
      </c>
      <c r="I38" s="87" t="str">
        <f>'2.Páginas de la muestra'!C20</f>
        <v>ALIAS 13</v>
      </c>
      <c r="J38" s="88">
        <f>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A'!C393,Hoja4!A5)+COUNTIF('4. Evaluación Nivel AA'!C128,Hoja4!A5)+COUNTIF('4. Evaluación Nivel AA'!C150,Hoja4!A5)+COUNTIF('4. Evaluación Nivel AA'!C172,Hoja4!A5)</f>
        <v>0</v>
      </c>
      <c r="K38" s="100">
        <f>J38*100/J24</f>
        <v>0</v>
      </c>
      <c r="L38" s="83">
        <f>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A'!C393,Hoja4!A6)+COUNTIF('4. Evaluación Nivel AA'!C128,Hoja4!A6)+COUNTIF('4. Evaluación Nivel AA'!C150,Hoja4!A6)+COUNTIF('4. Evaluación Nivel AA'!C172,Hoja4!A6)</f>
        <v>0</v>
      </c>
      <c r="M38" s="102">
        <f>L38*100/J24</f>
        <v>0</v>
      </c>
      <c r="N38" s="83">
        <f>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A'!C393,Hoja4!A7)+COUNTIF('4. Evaluación Nivel AA'!C128,Hoja4!A7)+COUNTIF('4. Evaluación Nivel AA'!C150,Hoja4!A7)+COUNTIF('4. Evaluación Nivel AA'!C172,Hoja4!A7)</f>
        <v>0</v>
      </c>
      <c r="O38" s="102">
        <f>N38*100/J24</f>
        <v>0</v>
      </c>
      <c r="P38" s="91">
        <f>IF(ISERROR((J38*100)/(J24-N38)),0,(J38*100)/(J24-N38))</f>
        <v>0</v>
      </c>
      <c r="Q38" s="91">
        <f>IF(ISERROR((L38*100)/(J24-N38)),0,(L38*100)/(J24-N38))</f>
        <v>0</v>
      </c>
    </row>
    <row r="39" spans="2:17" ht="19.5" thickBot="1" x14ac:dyDescent="0.35">
      <c r="B39" s="210" t="str">
        <f>'2.Páginas de la muestra'!C17</f>
        <v>ALIAS 10</v>
      </c>
      <c r="C39" s="211"/>
      <c r="D39" s="78" t="str">
        <f>IF('1.Datos generales'!B10="AA",'4.1 Gráficas y estadísticas AA'!C71,"")</f>
        <v/>
      </c>
      <c r="E39" s="78" t="str">
        <f>IF('1.Datos generales'!B10="AA",'4.1 Gráficas y estadísticas AA'!E71,"")</f>
        <v/>
      </c>
      <c r="F39" s="79" t="str">
        <f>IF('1.Datos generales'!B10="AA",'4.1 Gráficas y estadísticas AA'!G71,"")</f>
        <v/>
      </c>
      <c r="G39" s="80" t="str">
        <f>IF('1.Datos generales'!B10="AA",'4.1 Gráficas y estadísticas AA'!H71,"")</f>
        <v/>
      </c>
      <c r="I39" s="87" t="str">
        <f>'2.Páginas de la muestra'!C21</f>
        <v>ALIAS 14</v>
      </c>
      <c r="J39" s="88">
        <f>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A'!C394,Hoja4!A5)+COUNTIF('4. Evaluación Nivel AA'!C129,Hoja4!A5)+COUNTIF('4. Evaluación Nivel AA'!C151,Hoja4!A5)+COUNTIF('4. Evaluación Nivel AA'!C173,Hoja4!A5)</f>
        <v>0</v>
      </c>
      <c r="K39" s="100">
        <f>J39*100/J24</f>
        <v>0</v>
      </c>
      <c r="L39" s="83">
        <f>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A'!C394,Hoja4!A6)+COUNTIF('4. Evaluación Nivel AA'!C129,Hoja4!A6)+COUNTIF('4. Evaluación Nivel AA'!C151,Hoja4!A6)+COUNTIF('4. Evaluación Nivel AA'!C173,Hoja4!A6)</f>
        <v>0</v>
      </c>
      <c r="M39" s="102">
        <f>L39*100/J24</f>
        <v>0</v>
      </c>
      <c r="N39" s="83">
        <f>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A'!C394,Hoja4!A7)+COUNTIF('4. Evaluación Nivel AA'!C129,Hoja4!A7)+COUNTIF('4. Evaluación Nivel AA'!C151,Hoja4!A7)+COUNTIF('4. Evaluación Nivel AA'!C173,Hoja4!A7)</f>
        <v>0</v>
      </c>
      <c r="O39" s="102">
        <f>N39*100/J24</f>
        <v>0</v>
      </c>
      <c r="P39" s="91">
        <f>IF(ISERROR((J39*100)/(J24-N39)),0,(J39*100)/(J24-N39))</f>
        <v>0</v>
      </c>
      <c r="Q39" s="91">
        <f>IF(ISERROR((L39*100)/(J24-N39)),0,(L39*100)/(J24-N39))</f>
        <v>0</v>
      </c>
    </row>
    <row r="40" spans="2:17" ht="19.5" thickBot="1" x14ac:dyDescent="0.35">
      <c r="B40" s="210" t="str">
        <f>'2.Páginas de la muestra'!C18</f>
        <v>ALIAS 11</v>
      </c>
      <c r="C40" s="211"/>
      <c r="D40" s="78" t="str">
        <f>IF('1.Datos generales'!B10="AA",'4.1 Gráficas y estadísticas AA'!C72,"")</f>
        <v/>
      </c>
      <c r="E40" s="78" t="str">
        <f>IF('1.Datos generales'!B10="AA",'4.1 Gráficas y estadísticas AA'!E72,"")</f>
        <v/>
      </c>
      <c r="F40" s="79" t="str">
        <f>IF('1.Datos generales'!B10="AA",'4.1 Gráficas y estadísticas AA'!G72,"")</f>
        <v/>
      </c>
      <c r="G40" s="80" t="str">
        <f>IF('1.Datos generales'!B10="AA",'4.1 Gráficas y estadísticas AA'!H72,"")</f>
        <v/>
      </c>
      <c r="I40" s="87" t="str">
        <f>'2.Páginas de la muestra'!C22</f>
        <v>ALIAS 15</v>
      </c>
      <c r="J40" s="88">
        <f>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A'!C395,Hoja4!A5)+COUNTIF('4. Evaluación Nivel AA'!C130,Hoja4!A5)+COUNTIF('4. Evaluación Nivel AA'!C152,Hoja4!A5)+COUNTIF('4. Evaluación Nivel AA'!C174,Hoja4!A5)</f>
        <v>0</v>
      </c>
      <c r="K40" s="100">
        <f>J40*100/J24</f>
        <v>0</v>
      </c>
      <c r="L40" s="83">
        <f>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A'!C395,Hoja4!A6)+COUNTIF('4. Evaluación Nivel AA'!C130,Hoja4!A6)+COUNTIF('4. Evaluación Nivel AA'!C152,Hoja4!A6)+COUNTIF('4. Evaluación Nivel AA'!C174,Hoja4!A6)</f>
        <v>0</v>
      </c>
      <c r="M40" s="102">
        <f>L40*100/J24</f>
        <v>0</v>
      </c>
      <c r="N40" s="83">
        <f>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A'!C395,Hoja4!A7)+COUNTIF('4. Evaluación Nivel AA'!C130,Hoja4!A7)+COUNTIF('4. Evaluación Nivel AA'!C152,Hoja4!A7)+COUNTIF('4. Evaluación Nivel AA'!C174,Hoja4!A7)</f>
        <v>0</v>
      </c>
      <c r="O40" s="102">
        <f>N40*100/J24</f>
        <v>0</v>
      </c>
      <c r="P40" s="91">
        <f>IF(ISERROR((J40*100)/(J24-N40)),0,(J40*100)/(J24-N40))</f>
        <v>0</v>
      </c>
      <c r="Q40" s="91">
        <f>IF(ISERROR((L40*100)/(J24-N40)),0,(L40*100)/(J24-N40))</f>
        <v>0</v>
      </c>
    </row>
    <row r="41" spans="2:17" ht="18.75" x14ac:dyDescent="0.3">
      <c r="B41" s="210" t="str">
        <f>'2.Páginas de la muestra'!C19</f>
        <v>ALIAS 12</v>
      </c>
      <c r="C41" s="211"/>
      <c r="D41" s="78" t="str">
        <f>IF('1.Datos generales'!B10="AA",'4.1 Gráficas y estadísticas AA'!C73,"")</f>
        <v/>
      </c>
      <c r="E41" s="78" t="str">
        <f>IF('1.Datos generales'!B10="AA",'4.1 Gráficas y estadísticas AA'!E73,"")</f>
        <v/>
      </c>
      <c r="F41" s="79" t="str">
        <f>IF('1.Datos generales'!B10="AA",'4.1 Gráficas y estadísticas AA'!G73,"")</f>
        <v/>
      </c>
      <c r="G41" s="80" t="str">
        <f>IF('1.Datos generales'!B10="AA",'4.1 Gráficas y estadísticas AA'!H73,"")</f>
        <v/>
      </c>
      <c r="I41" s="71"/>
      <c r="J41" s="71"/>
      <c r="K41" s="71"/>
      <c r="L41" s="71"/>
      <c r="M41" s="71"/>
      <c r="N41" s="71"/>
      <c r="O41" s="71"/>
      <c r="P41" s="71"/>
      <c r="Q41" s="71"/>
    </row>
    <row r="42" spans="2:17" ht="18.75" x14ac:dyDescent="0.3">
      <c r="B42" s="210" t="str">
        <f>'2.Páginas de la muestra'!C20</f>
        <v>ALIAS 13</v>
      </c>
      <c r="C42" s="211"/>
      <c r="D42" s="78" t="str">
        <f>IF('1.Datos generales'!B10="AA",'4.1 Gráficas y estadísticas AA'!C74,"")</f>
        <v/>
      </c>
      <c r="E42" s="78" t="str">
        <f>IF('1.Datos generales'!B10="AA",'4.1 Gráficas y estadísticas AA'!E74,"")</f>
        <v/>
      </c>
      <c r="F42" s="79" t="str">
        <f>IF('1.Datos generales'!B10="AA",'4.1 Gráficas y estadísticas AA'!G74,"")</f>
        <v/>
      </c>
      <c r="G42" s="80" t="str">
        <f>IF('1.Datos generales'!B10="AA",'4.1 Gráficas y estadísticas AA'!H74,"")</f>
        <v/>
      </c>
      <c r="I42" s="71"/>
      <c r="J42" s="71"/>
      <c r="K42" s="71"/>
      <c r="L42" s="71"/>
      <c r="M42" s="71"/>
      <c r="N42" s="71"/>
      <c r="O42" s="71"/>
      <c r="P42" s="71"/>
      <c r="Q42" s="71"/>
    </row>
    <row r="43" spans="2:17" ht="18.75" x14ac:dyDescent="0.3">
      <c r="B43" s="210" t="str">
        <f>'2.Páginas de la muestra'!C21</f>
        <v>ALIAS 14</v>
      </c>
      <c r="C43" s="211"/>
      <c r="D43" s="78" t="str">
        <f>IF('1.Datos generales'!B10="AA",'4.1 Gráficas y estadísticas AA'!C75,"")</f>
        <v/>
      </c>
      <c r="E43" s="78" t="str">
        <f>IF('1.Datos generales'!B10="AA",'4.1 Gráficas y estadísticas AA'!E75,"")</f>
        <v/>
      </c>
      <c r="F43" s="79" t="str">
        <f>IF('1.Datos generales'!B10="AA",'4.1 Gráficas y estadísticas AA'!G75,"")</f>
        <v/>
      </c>
      <c r="G43" s="80" t="str">
        <f>IF('1.Datos generales'!B10="AA",'4.1 Gráficas y estadísticas AA'!H75,"")</f>
        <v/>
      </c>
      <c r="I43" s="71"/>
      <c r="J43" s="71"/>
      <c r="K43" s="71"/>
      <c r="L43" s="71"/>
      <c r="M43" s="71"/>
      <c r="N43" s="71"/>
      <c r="O43" s="71"/>
      <c r="P43" s="71"/>
      <c r="Q43" s="71"/>
    </row>
    <row r="44" spans="2:17" ht="19.5" thickBot="1" x14ac:dyDescent="0.35">
      <c r="B44" s="210" t="str">
        <f>'2.Páginas de la muestra'!C22</f>
        <v>ALIAS 15</v>
      </c>
      <c r="C44" s="211"/>
      <c r="D44" s="78" t="str">
        <f>IF('1.Datos generales'!B10="AA",'4.1 Gráficas y estadísticas AA'!C76,"")</f>
        <v/>
      </c>
      <c r="E44" s="78" t="str">
        <f>IF('1.Datos generales'!B10="AA",'4.1 Gráficas y estadísticas AA'!E76,"")</f>
        <v/>
      </c>
      <c r="F44" s="79" t="str">
        <f>IF('1.Datos generales'!B10="AA",'4.1 Gráficas y estadísticas AA'!G76,"")</f>
        <v/>
      </c>
      <c r="G44" s="80" t="str">
        <f>IF('1.Datos generales'!B10="AA",'4.1 Gráficas y estadísticas AA'!H76,"")</f>
        <v/>
      </c>
      <c r="I44" s="71"/>
      <c r="J44" s="71">
        <f>IF('1.Datos generales'!B10="A",5,10)</f>
        <v>10</v>
      </c>
      <c r="K44" s="9" t="s">
        <v>441</v>
      </c>
      <c r="L44" s="71"/>
      <c r="M44" s="71"/>
      <c r="N44" s="71"/>
      <c r="O44" s="71"/>
      <c r="P44" s="71"/>
      <c r="Q44" s="71"/>
    </row>
    <row r="45" spans="2:17" ht="19.5" thickBot="1" x14ac:dyDescent="0.35">
      <c r="B45" s="208" t="s">
        <v>133</v>
      </c>
      <c r="C45" s="209"/>
      <c r="D45" s="69">
        <f>IF('1.Datos generales'!B10="AA",AVERAGE(D30:D44),"")</f>
        <v>57.89473684210526</v>
      </c>
      <c r="E45" s="69">
        <f>IF('1.Datos generales'!B10="AA",AVERAGE(E30:E44),"")</f>
        <v>13.157894736842104</v>
      </c>
      <c r="F45" s="70">
        <f>IF('1.Datos generales'!B10="AA",AVERAGE(F30:F44),"")</f>
        <v>28.94736842105263</v>
      </c>
      <c r="G45" s="69">
        <f>IF('1.Datos generales'!B10="AA",AVERAGE(G30:G44),"")</f>
        <v>81.481481481481481</v>
      </c>
      <c r="I45" s="119" t="s">
        <v>134</v>
      </c>
      <c r="J45" s="83" t="s">
        <v>7</v>
      </c>
      <c r="K45" s="84" t="s">
        <v>128</v>
      </c>
      <c r="L45" s="83" t="s">
        <v>23</v>
      </c>
      <c r="M45" s="84" t="s">
        <v>27</v>
      </c>
      <c r="N45" s="83" t="s">
        <v>25</v>
      </c>
      <c r="O45" s="84" t="s">
        <v>28</v>
      </c>
      <c r="P45" s="85" t="s">
        <v>32</v>
      </c>
      <c r="Q45" s="86" t="s">
        <v>33</v>
      </c>
    </row>
    <row r="46" spans="2:17" ht="19.5" thickBot="1" x14ac:dyDescent="0.35">
      <c r="B46" s="71"/>
      <c r="C46" s="71"/>
      <c r="D46" s="71"/>
      <c r="E46" s="71"/>
      <c r="F46" s="71"/>
      <c r="G46" s="71"/>
      <c r="I46" s="87" t="str">
        <f>'2.Páginas de la muestra'!C8</f>
        <v>Inicio</v>
      </c>
      <c r="J46" s="88">
        <f>COUNTIF('3. Evaluación Nivel A'!C403,Hoja4!A5)+COUNTIF('3. Evaluación Nivel A'!C425,Hoja4!A5)+COUNTIF('3. Evaluación Nivel A'!C447,Hoja4!A5)+COUNTIF('3. Evaluación Nivel A'!C469,Hoja4!A5)+COUNTIF('3. Evaluación Nivel A'!C491,Hoja4!A5)+COUNTIF('4. Evaluación Nivel AA'!C182,Hoja4!A5)+COUNTIF('4. Evaluación Nivel AA'!C204,Hoja4!A5)+COUNTIF('4. Evaluación Nivel AA'!C226,Hoja4!A5)+COUNTIF('4. Evaluación Nivel AA'!C248,Hoja4!A5)+COUNTIF('4. Evaluación Nivel AA'!C270,Hoja4!A5)</f>
        <v>9</v>
      </c>
      <c r="K46" s="89">
        <f>J46*100/J44</f>
        <v>90</v>
      </c>
      <c r="L46" s="83">
        <f>COUNTIF('3. Evaluación Nivel A'!C403,Hoja4!A6)+COUNTIF('3. Evaluación Nivel A'!C425,Hoja4!A6)+COUNTIF('3. Evaluación Nivel A'!C447,Hoja4!A6)+COUNTIF('3. Evaluación Nivel A'!C469,Hoja4!A6)+COUNTIF('3. Evaluación Nivel A'!C491,Hoja4!A6)+COUNTIF('4. Evaluación Nivel AA'!C182,Hoja4!A6)+COUNTIF('4. Evaluación Nivel AA'!C204,Hoja4!A6)+COUNTIF('4. Evaluación Nivel AA'!C226,Hoja4!A6)+COUNTIF('4. Evaluación Nivel AA'!C248,Hoja4!A6)+COUNTIF('4. Evaluación Nivel AA'!C270,Hoja4!A6)</f>
        <v>0</v>
      </c>
      <c r="M46" s="90">
        <f>L46*100/J44</f>
        <v>0</v>
      </c>
      <c r="N46" s="83">
        <f>COUNTIF('3. Evaluación Nivel A'!C403,Hoja4!A7)+COUNTIF('3. Evaluación Nivel A'!C425,Hoja4!A7)+COUNTIF('3. Evaluación Nivel A'!C447,Hoja4!A7)+COUNTIF('3. Evaluación Nivel A'!C469,Hoja4!A7)+COUNTIF('3. Evaluación Nivel A'!C491,Hoja4!A7)+COUNTIF('4. Evaluación Nivel AA'!C182,Hoja4!A7)+COUNTIF('4. Evaluación Nivel AA'!C204,Hoja4!A7)+COUNTIF('4. Evaluación Nivel AA'!C226,Hoja4!A7)+COUNTIF('4. Evaluación Nivel AA'!C248,Hoja4!A7)+COUNTIF('4. Evaluación Nivel AA'!C270,Hoja4!A7)</f>
        <v>1</v>
      </c>
      <c r="O46" s="90">
        <f>N46*100/J44</f>
        <v>10</v>
      </c>
      <c r="P46" s="91">
        <f>IF(ISERROR((J46*100)/(J44-N46)),0,(J46*100)/(J44-N46))</f>
        <v>100</v>
      </c>
      <c r="Q46" s="91">
        <f>IF(ISERROR((L46*100)/(J44-N46)),0,(L46*100)/(J44-N46))</f>
        <v>0</v>
      </c>
    </row>
    <row r="47" spans="2:17" ht="19.5" thickBot="1" x14ac:dyDescent="0.35">
      <c r="B47" s="202" t="s">
        <v>135</v>
      </c>
      <c r="C47" s="202"/>
      <c r="D47" s="202"/>
      <c r="E47" s="202"/>
      <c r="F47" s="202"/>
      <c r="G47" s="202"/>
      <c r="I47" s="87" t="str">
        <f>'2.Páginas de la muestra'!C9</f>
        <v>login</v>
      </c>
      <c r="J47" s="88">
        <f>COUNTIF('3. Evaluación Nivel A'!C404,Hoja4!A5)+COUNTIF('3. Evaluación Nivel A'!C426,Hoja4!A5)+COUNTIF('3. Evaluación Nivel A'!C448,Hoja4!A5)+COUNTIF('3. Evaluación Nivel A'!C470,Hoja4!A5)+COUNTIF('3. Evaluación Nivel A'!C492,Hoja4!A5)+COUNTIF('4. Evaluación Nivel AA'!C183,Hoja4!A5)+COUNTIF('4. Evaluación Nivel AA'!C205,Hoja4!A5)+COUNTIF('4. Evaluación Nivel AA'!C227,Hoja4!A5)+COUNTIF('4. Evaluación Nivel AA'!C249,Hoja4!A5)+COUNTIF('4. Evaluación Nivel AA'!C271,Hoja4!A5)</f>
        <v>9</v>
      </c>
      <c r="K47" s="89">
        <f>J47*100/J44</f>
        <v>90</v>
      </c>
      <c r="L47" s="83">
        <f>COUNTIF('3. Evaluación Nivel A'!C404,Hoja4!A6)+COUNTIF('3. Evaluación Nivel A'!C426,Hoja4!A6)+COUNTIF('3. Evaluación Nivel A'!C448,Hoja4!A6)+COUNTIF('3. Evaluación Nivel A'!C470,Hoja4!A6)+COUNTIF('3. Evaluación Nivel A'!C492,Hoja4!A6)+COUNTIF('4. Evaluación Nivel AA'!C183,Hoja4!A6)+COUNTIF('4. Evaluación Nivel AA'!C205,Hoja4!A6)+COUNTIF('4. Evaluación Nivel AA'!C227,Hoja4!A6)+COUNTIF('4. Evaluación Nivel AA'!C249,Hoja4!A6)+COUNTIF('4. Evaluación Nivel AA'!C271,Hoja4!A6)</f>
        <v>0</v>
      </c>
      <c r="M47" s="90">
        <f>L47*100/J44</f>
        <v>0</v>
      </c>
      <c r="N47" s="83">
        <f>COUNTIF('3. Evaluación Nivel A'!C404,Hoja4!A7)+COUNTIF('3. Evaluación Nivel A'!C426,Hoja4!A7)+COUNTIF('3. Evaluación Nivel A'!C448,Hoja4!A7)+COUNTIF('3. Evaluación Nivel A'!C470,Hoja4!A7)+COUNTIF('3. Evaluación Nivel A'!C492,Hoja4!A7)+COUNTIF('4. Evaluación Nivel AA'!C183,Hoja4!A7)+COUNTIF('4. Evaluación Nivel AA'!C205,Hoja4!A7)+COUNTIF('4. Evaluación Nivel AA'!C227,Hoja4!A7)+COUNTIF('4. Evaluación Nivel AA'!C249,Hoja4!A7)+COUNTIF('4. Evaluación Nivel AA'!C271,Hoja4!A7)</f>
        <v>1</v>
      </c>
      <c r="O47" s="90">
        <f>N47*100/J44</f>
        <v>10</v>
      </c>
      <c r="P47" s="91">
        <f>IF(ISERROR((J47*100)/(J44-N47)),0,(J47*100)/(J44-N47))</f>
        <v>100</v>
      </c>
      <c r="Q47" s="91">
        <f>IF(ISERROR((L47*100)/(J44-N47)),0,(L47*100)/(J44-N47))</f>
        <v>0</v>
      </c>
    </row>
    <row r="48" spans="2:17" ht="19.5" thickBot="1" x14ac:dyDescent="0.35">
      <c r="B48" s="206" t="s">
        <v>3</v>
      </c>
      <c r="C48" s="207"/>
      <c r="D48" s="65" t="s">
        <v>128</v>
      </c>
      <c r="E48" s="65" t="s">
        <v>129</v>
      </c>
      <c r="F48" s="64" t="s">
        <v>130</v>
      </c>
      <c r="G48" s="65" t="s">
        <v>131</v>
      </c>
      <c r="I48" s="87" t="str">
        <f>'2.Páginas de la muestra'!C10</f>
        <v>Inicio-Dashboard</v>
      </c>
      <c r="J48" s="88">
        <f>COUNTIF('3. Evaluación Nivel A'!C405,Hoja4!A5)+COUNTIF('3. Evaluación Nivel A'!C427,Hoja4!A5)+COUNTIF('3. Evaluación Nivel A'!C449,Hoja4!A5)+COUNTIF('3. Evaluación Nivel A'!C471,Hoja4!A5)+COUNTIF('3. Evaluación Nivel A'!C493,Hoja4!A5)+COUNTIF('4. Evaluación Nivel AA'!C184,Hoja4!A5)+COUNTIF('4. Evaluación Nivel AA'!C206,Hoja4!A5)+COUNTIF('4. Evaluación Nivel AA'!C228,Hoja4!A5)+COUNTIF('4. Evaluación Nivel AA'!C250,Hoja4!A5)+COUNTIF('4. Evaluación Nivel AA'!C272,Hoja4!A5)</f>
        <v>9</v>
      </c>
      <c r="K48" s="89">
        <f>J48*100/J44</f>
        <v>90</v>
      </c>
      <c r="L48" s="83">
        <f>COUNTIF('3. Evaluación Nivel A'!C405,Hoja4!A6)+COUNTIF('3. Evaluación Nivel A'!C427,Hoja4!A6)+COUNTIF('3. Evaluación Nivel A'!C449,Hoja4!A6)+COUNTIF('3. Evaluación Nivel A'!C471,Hoja4!A6)+COUNTIF('3. Evaluación Nivel A'!C493,Hoja4!A6)+COUNTIF('4. Evaluación Nivel AA'!C184,Hoja4!A6)+COUNTIF('4. Evaluación Nivel AA'!C206,Hoja4!A6)+COUNTIF('4. Evaluación Nivel AA'!C228,Hoja4!A6)+COUNTIF('4. Evaluación Nivel AA'!C250,Hoja4!A6)+COUNTIF('4. Evaluación Nivel AA'!C272,Hoja4!A6)</f>
        <v>0</v>
      </c>
      <c r="M48" s="90">
        <f>L48*100/J44</f>
        <v>0</v>
      </c>
      <c r="N48" s="83">
        <f>COUNTIF('3. Evaluación Nivel A'!C405,Hoja4!A7)+COUNTIF('3. Evaluación Nivel A'!C427,Hoja4!A7)+COUNTIF('3. Evaluación Nivel A'!C449,Hoja4!A7)+COUNTIF('3. Evaluación Nivel A'!C471,Hoja4!A7)+COUNTIF('3. Evaluación Nivel A'!C493,Hoja4!A7)+COUNTIF('4. Evaluación Nivel AA'!C184,Hoja4!A7)+COUNTIF('4. Evaluación Nivel AA'!C206,Hoja4!A7)+COUNTIF('4. Evaluación Nivel AA'!C228,Hoja4!A7)+COUNTIF('4. Evaluación Nivel AA'!C250,Hoja4!A7)+COUNTIF('4. Evaluación Nivel AA'!C272,Hoja4!A7)</f>
        <v>1</v>
      </c>
      <c r="O48" s="90">
        <f>N48*100/J44</f>
        <v>10</v>
      </c>
      <c r="P48" s="91">
        <f>IF(ISERROR((J48*100)/(J44-N48)),0,(J48*100)/(J44-N48))</f>
        <v>100</v>
      </c>
      <c r="Q48" s="91">
        <f>IF(ISERROR((L48*100)/(J44-N48)),0,(L48*100)/(J44-N48))</f>
        <v>0</v>
      </c>
    </row>
    <row r="49" spans="2:17" ht="19.5" thickBot="1" x14ac:dyDescent="0.35">
      <c r="B49" s="204" t="str">
        <f>'2.Páginas de la muestra'!C8</f>
        <v>Inicio</v>
      </c>
      <c r="C49" s="205"/>
      <c r="D49" s="82">
        <f>IF('2.Páginas de la muestra'!B5&gt;0,K7,"")</f>
        <v>42.857142857142854</v>
      </c>
      <c r="E49" s="81">
        <f>IF('2.Páginas de la muestra'!B5&gt;0,M7,"")</f>
        <v>14.285714285714286</v>
      </c>
      <c r="F49" s="82">
        <f>IF('2.Páginas de la muestra'!B5&gt;0,O7,"")</f>
        <v>42.857142857142854</v>
      </c>
      <c r="G49" s="169">
        <f>IF('2.Páginas de la muestra'!B5&gt;0,P7,"")</f>
        <v>75</v>
      </c>
      <c r="I49" s="87" t="str">
        <f>'2.Páginas de la muestra'!C11</f>
        <v>Dashboard-Usuarios</v>
      </c>
      <c r="J49" s="88">
        <f>COUNTIF('3. Evaluación Nivel A'!C406,Hoja4!A5)+COUNTIF('3. Evaluación Nivel A'!C428,Hoja4!A5)+COUNTIF('3. Evaluación Nivel A'!C450,Hoja4!A5)+COUNTIF('3. Evaluación Nivel A'!C472,Hoja4!A5)+COUNTIF('3. Evaluación Nivel A'!C494,Hoja4!A5)+COUNTIF('4. Evaluación Nivel AA'!C185,Hoja4!A5)+COUNTIF('4. Evaluación Nivel AA'!C207,Hoja4!A5)+COUNTIF('4. Evaluación Nivel AA'!C229,Hoja4!A5)+COUNTIF('4. Evaluación Nivel AA'!C251,Hoja4!A5)+COUNTIF('4. Evaluación Nivel AA'!C273,Hoja4!A5)</f>
        <v>9</v>
      </c>
      <c r="K49" s="89">
        <f>J49*100/J44</f>
        <v>90</v>
      </c>
      <c r="L49" s="83">
        <f>COUNTIF('3. Evaluación Nivel A'!C406,Hoja4!A6)+COUNTIF('3. Evaluación Nivel A'!C428,Hoja4!A6)+COUNTIF('3. Evaluación Nivel A'!C450,Hoja4!A6)+COUNTIF('3. Evaluación Nivel A'!C472,Hoja4!A6)+COUNTIF('3. Evaluación Nivel A'!C494,Hoja4!A6)+COUNTIF('4. Evaluación Nivel AA'!C185,Hoja4!A6)+COUNTIF('4. Evaluación Nivel AA'!C207,Hoja4!A6)+COUNTIF('4. Evaluación Nivel AA'!C229,Hoja4!A6)+COUNTIF('4. Evaluación Nivel AA'!C251,Hoja4!A6)+COUNTIF('4. Evaluación Nivel AA'!C273,Hoja4!A6)</f>
        <v>0</v>
      </c>
      <c r="M49" s="90">
        <f>L49*100/J44</f>
        <v>0</v>
      </c>
      <c r="N49" s="83">
        <f>COUNTIF('3. Evaluación Nivel A'!C406,Hoja4!A7)+COUNTIF('3. Evaluación Nivel A'!C428,Hoja4!A7)+COUNTIF('3. Evaluación Nivel A'!C450,Hoja4!A7)+COUNTIF('3. Evaluación Nivel A'!C472,Hoja4!A7)+COUNTIF('3. Evaluación Nivel A'!C494,Hoja4!A7)+COUNTIF('4. Evaluación Nivel AA'!C185,Hoja4!A7)+COUNTIF('4. Evaluación Nivel AA'!C207,Hoja4!A7)+COUNTIF('4. Evaluación Nivel AA'!C229,Hoja4!A7)+COUNTIF('4. Evaluación Nivel AA'!C251,Hoja4!A7)+COUNTIF('4. Evaluación Nivel AA'!C273,Hoja4!A7)</f>
        <v>1</v>
      </c>
      <c r="O49" s="90">
        <f>N49*100/J44</f>
        <v>10</v>
      </c>
      <c r="P49" s="91">
        <f>IF(ISERROR((J49*100)/(J44-N49)),0,(J49*100)/(J44-N49))</f>
        <v>100</v>
      </c>
      <c r="Q49" s="91">
        <f>IF(ISERROR((L49*100)/(J44-N49)),0,(L49*100)/(J44-N49))</f>
        <v>0</v>
      </c>
    </row>
    <row r="50" spans="2:17" ht="19.5" thickBot="1" x14ac:dyDescent="0.35">
      <c r="B50" s="204" t="str">
        <f>'2.Páginas de la muestra'!C9</f>
        <v>login</v>
      </c>
      <c r="C50" s="205"/>
      <c r="D50" s="82" t="str">
        <f>IF('2.Páginas de la muestra'!B5&gt;1,K8,"")</f>
        <v/>
      </c>
      <c r="E50" s="81" t="str">
        <f>IF('2.Páginas de la muestra'!B5&gt;1,M8,"")</f>
        <v/>
      </c>
      <c r="F50" s="82" t="str">
        <f>IF('2.Páginas de la muestra'!B5&gt;1,O8,"")</f>
        <v/>
      </c>
      <c r="G50" s="169" t="str">
        <f>IF('2.Páginas de la muestra'!B5&gt;1,P8,"")</f>
        <v/>
      </c>
      <c r="I50" s="87" t="str">
        <f>'2.Páginas de la muestra'!C12</f>
        <v>Dashboard-Servicios</v>
      </c>
      <c r="J50" s="88">
        <f>COUNTIF('3. Evaluación Nivel A'!C407,Hoja4!A5)+COUNTIF('3. Evaluación Nivel A'!C429,Hoja4!A5)+COUNTIF('3. Evaluación Nivel A'!C451,Hoja4!A5)+COUNTIF('3. Evaluación Nivel A'!C473,Hoja4!A5)+COUNTIF('3. Evaluación Nivel A'!C495,Hoja4!A5)+COUNTIF('4. Evaluación Nivel AA'!C186,Hoja4!A5)+COUNTIF('4. Evaluación Nivel AA'!C208,Hoja4!A5)+COUNTIF('4. Evaluación Nivel AA'!C230,Hoja4!A5)+COUNTIF('4. Evaluación Nivel AA'!C252,Hoja4!A5)+COUNTIF('4. Evaluación Nivel AA'!C274,Hoja4!A5)</f>
        <v>9</v>
      </c>
      <c r="K50" s="95">
        <f>J50*100/J44</f>
        <v>90</v>
      </c>
      <c r="L50" s="83">
        <f>COUNTIF('3. Evaluación Nivel A'!C407,Hoja4!A6)+COUNTIF('3. Evaluación Nivel A'!C429,Hoja4!A6)+COUNTIF('3. Evaluación Nivel A'!C451,Hoja4!A6)+COUNTIF('3. Evaluación Nivel A'!C473,Hoja4!A6)+COUNTIF('3. Evaluación Nivel A'!C495,Hoja4!A6)+COUNTIF('4. Evaluación Nivel AA'!C186,Hoja4!A6)+COUNTIF('4. Evaluación Nivel AA'!C208,Hoja4!A6)+COUNTIF('4. Evaluación Nivel AA'!C230,Hoja4!A6)+COUNTIF('4. Evaluación Nivel AA'!C252,Hoja4!A6)+COUNTIF('4. Evaluación Nivel AA'!C274,Hoja4!A6)</f>
        <v>0</v>
      </c>
      <c r="M50" s="97">
        <f>L50*100/J44</f>
        <v>0</v>
      </c>
      <c r="N50" s="83">
        <f>COUNTIF('3. Evaluación Nivel A'!C407,Hoja4!A7)+COUNTIF('3. Evaluación Nivel A'!C429,Hoja4!A7)+COUNTIF('3. Evaluación Nivel A'!C451,Hoja4!A7)+COUNTIF('3. Evaluación Nivel A'!C473,Hoja4!A7)+COUNTIF('3. Evaluación Nivel A'!C495,Hoja4!A7)+COUNTIF('4. Evaluación Nivel AA'!C186,Hoja4!A7)+COUNTIF('4. Evaluación Nivel AA'!C208,Hoja4!A7)+COUNTIF('4. Evaluación Nivel AA'!C230,Hoja4!A7)+COUNTIF('4. Evaluación Nivel AA'!C252,Hoja4!A7)+COUNTIF('4. Evaluación Nivel AA'!C274,Hoja4!A7)</f>
        <v>1</v>
      </c>
      <c r="O50" s="97">
        <f>N50*100/J44</f>
        <v>10</v>
      </c>
      <c r="P50" s="91">
        <f>IF(ISERROR((J50*100)/(J44-N50)),0,(J50*100)/(J44-N50))</f>
        <v>100</v>
      </c>
      <c r="Q50" s="91">
        <f>IF(ISERROR((L50*100)/(J44-N50)),0,(L50*100)/(J44-N50))</f>
        <v>0</v>
      </c>
    </row>
    <row r="51" spans="2:17" ht="19.5" thickBot="1" x14ac:dyDescent="0.35">
      <c r="B51" s="204" t="str">
        <f>'2.Páginas de la muestra'!C10</f>
        <v>Inicio-Dashboard</v>
      </c>
      <c r="C51" s="205"/>
      <c r="D51" s="82" t="str">
        <f>IF('2.Páginas de la muestra'!B5&gt;2,K9,"")</f>
        <v/>
      </c>
      <c r="E51" s="81" t="str">
        <f>IF('2.Páginas de la muestra'!B5&gt;2,M9,"")</f>
        <v/>
      </c>
      <c r="F51" s="82" t="str">
        <f>IF('2.Páginas de la muestra'!B5&gt;2,O9,"")</f>
        <v/>
      </c>
      <c r="G51" s="169" t="str">
        <f>IF('2.Páginas de la muestra'!B5&gt;2,P9,"")</f>
        <v/>
      </c>
      <c r="I51" s="87" t="str">
        <f>'2.Páginas de la muestra'!C13</f>
        <v>Dashboard-Reservas</v>
      </c>
      <c r="J51" s="88">
        <f>COUNTIF('3. Evaluación Nivel A'!C408,Hoja4!A5)+COUNTIF('3. Evaluación Nivel A'!C430,Hoja4!A5)+COUNTIF('3. Evaluación Nivel A'!C452,Hoja4!A5)+COUNTIF('3. Evaluación Nivel A'!C474,Hoja4!A5)+COUNTIF('3. Evaluación Nivel A'!C496,Hoja4!A5)+COUNTIF('4. Evaluación Nivel AA'!C187,Hoja4!A5)+COUNTIF('4. Evaluación Nivel AA'!C209,Hoja4!A5)+COUNTIF('4. Evaluación Nivel AA'!C231,Hoja4!A5)+COUNTIF('4. Evaluación Nivel AA'!C253,Hoja4!A5)+COUNTIF('4. Evaluación Nivel AA'!C275,Hoja4!A5)</f>
        <v>9</v>
      </c>
      <c r="K51" s="100">
        <f>J51*100/J44</f>
        <v>90</v>
      </c>
      <c r="L51" s="83">
        <f>COUNTIF('3. Evaluación Nivel A'!C408,Hoja4!A6)+COUNTIF('3. Evaluación Nivel A'!C430,Hoja4!A6)+COUNTIF('3. Evaluación Nivel A'!C452,Hoja4!A6)+COUNTIF('3. Evaluación Nivel A'!C474,Hoja4!A6)+COUNTIF('3. Evaluación Nivel A'!C496,Hoja4!A6)+COUNTIF('4. Evaluación Nivel AA'!C187,Hoja4!A6)+COUNTIF('4. Evaluación Nivel AA'!C209,Hoja4!A6)+COUNTIF('4. Evaluación Nivel AA'!C231,Hoja4!A6)+COUNTIF('4. Evaluación Nivel AA'!C253,Hoja4!A6)+COUNTIF('4. Evaluación Nivel AA'!C275,Hoja4!A6)</f>
        <v>0</v>
      </c>
      <c r="M51" s="102">
        <f>L51*100/J44</f>
        <v>0</v>
      </c>
      <c r="N51" s="83">
        <f>COUNTIF('3. Evaluación Nivel A'!C408,Hoja4!A7)+COUNTIF('3. Evaluación Nivel A'!C430,Hoja4!A7)+COUNTIF('3. Evaluación Nivel A'!C452,Hoja4!A7)+COUNTIF('3. Evaluación Nivel A'!C474,Hoja4!A7)+COUNTIF('3. Evaluación Nivel A'!C496,Hoja4!A7)+COUNTIF('4. Evaluación Nivel AA'!C187,Hoja4!A7)+COUNTIF('4. Evaluación Nivel AA'!C209,Hoja4!A7)+COUNTIF('4. Evaluación Nivel AA'!C231,Hoja4!A7)+COUNTIF('4. Evaluación Nivel AA'!C253,Hoja4!A7)+COUNTIF('4. Evaluación Nivel AA'!C275,Hoja4!A7)</f>
        <v>1</v>
      </c>
      <c r="O51" s="102">
        <f>N51*100/J44</f>
        <v>10</v>
      </c>
      <c r="P51" s="91">
        <f>IF(ISERROR((J51*100)/(J44-N51)),0,(J51*100)/(J44-N51))</f>
        <v>100</v>
      </c>
      <c r="Q51" s="91">
        <f>IF(ISERROR((L51*100)/(J44-N51)),0,(L51*100)/(J44-N51))</f>
        <v>0</v>
      </c>
    </row>
    <row r="52" spans="2:17" ht="19.5" thickBot="1" x14ac:dyDescent="0.35">
      <c r="B52" s="204" t="str">
        <f>'2.Páginas de la muestra'!C11</f>
        <v>Dashboard-Usuarios</v>
      </c>
      <c r="C52" s="205"/>
      <c r="D52" s="82" t="str">
        <f>IF('2.Páginas de la muestra'!B5&gt;3,K10,"")</f>
        <v/>
      </c>
      <c r="E52" s="81" t="str">
        <f>IF('2.Páginas de la muestra'!B5&gt;3,M10,"")</f>
        <v/>
      </c>
      <c r="F52" s="82" t="str">
        <f>IF('2.Páginas de la muestra'!B5&gt;3,O10,"")</f>
        <v/>
      </c>
      <c r="G52" s="169" t="str">
        <f>IF('2.Páginas de la muestra'!B5&gt;3,P10,"")</f>
        <v/>
      </c>
      <c r="I52" s="87" t="str">
        <f>'2.Páginas de la muestra'!C14</f>
        <v>Dashboard-Reservas-clientes</v>
      </c>
      <c r="J52" s="88">
        <f>COUNTIF('3. Evaluación Nivel A'!C409,Hoja4!A5)+COUNTIF('3. Evaluación Nivel A'!C431,Hoja4!A5)+COUNTIF('3. Evaluación Nivel A'!C453,Hoja4!A5)+COUNTIF('3. Evaluación Nivel A'!C475,Hoja4!A5)+COUNTIF('3. Evaluación Nivel A'!C497,Hoja4!A5)+COUNTIF('4. Evaluación Nivel AA'!C188,Hoja4!A5)+COUNTIF('4. Evaluación Nivel AA'!C210,Hoja4!A5)+COUNTIF('4. Evaluación Nivel AA'!C232,Hoja4!A5)+COUNTIF('4. Evaluación Nivel AA'!C254,Hoja4!A5)+COUNTIF('4. Evaluación Nivel AA'!C276,Hoja4!A5)</f>
        <v>9</v>
      </c>
      <c r="K52" s="100">
        <f>J52*100/J44</f>
        <v>90</v>
      </c>
      <c r="L52" s="83">
        <f>COUNTIF('3. Evaluación Nivel A'!C409,Hoja4!A6)+COUNTIF('3. Evaluación Nivel A'!C431,Hoja4!A6)+COUNTIF('3. Evaluación Nivel A'!C453,Hoja4!A6)+COUNTIF('3. Evaluación Nivel A'!C475,Hoja4!A6)+COUNTIF('3. Evaluación Nivel A'!C497,Hoja4!A6)+COUNTIF('4. Evaluación Nivel AA'!C188,Hoja4!A6)+COUNTIF('4. Evaluación Nivel AA'!C210,Hoja4!A6)+COUNTIF('4. Evaluación Nivel AA'!C232,Hoja4!A6)+COUNTIF('4. Evaluación Nivel AA'!C254,Hoja4!A6)+COUNTIF('4. Evaluación Nivel AA'!C276,Hoja4!A6)</f>
        <v>0</v>
      </c>
      <c r="M52" s="102">
        <f>L52*100/J44</f>
        <v>0</v>
      </c>
      <c r="N52" s="83">
        <f>COUNTIF('3. Evaluación Nivel A'!C409,Hoja4!A7)+COUNTIF('3. Evaluación Nivel A'!C431,Hoja4!A7)+COUNTIF('3. Evaluación Nivel A'!C453,Hoja4!A7)+COUNTIF('3. Evaluación Nivel A'!C475,Hoja4!A7)+COUNTIF('3. Evaluación Nivel A'!C497,Hoja4!A7)+COUNTIF('4. Evaluación Nivel AA'!C188,Hoja4!A7)+COUNTIF('4. Evaluación Nivel AA'!C210,Hoja4!A7)+COUNTIF('4. Evaluación Nivel AA'!C232,Hoja4!A7)+COUNTIF('4. Evaluación Nivel AA'!C254,Hoja4!A7)+COUNTIF('4. Evaluación Nivel AA'!C276,Hoja4!A7)</f>
        <v>1</v>
      </c>
      <c r="O52" s="102">
        <f>N52*100/J44</f>
        <v>10</v>
      </c>
      <c r="P52" s="91">
        <f>IF(ISERROR((J52*100)/(J44-N52)),0,(J52*100)/(J44-N52))</f>
        <v>100</v>
      </c>
      <c r="Q52" s="91">
        <f>IF(ISERROR((L52*100)/(J44-N52)),0,(L52*100)/(J44-N52))</f>
        <v>0</v>
      </c>
    </row>
    <row r="53" spans="2:17" ht="19.5" thickBot="1" x14ac:dyDescent="0.35">
      <c r="B53" s="204" t="str">
        <f>'2.Páginas de la muestra'!C12</f>
        <v>Dashboard-Servicios</v>
      </c>
      <c r="C53" s="205"/>
      <c r="D53" s="82" t="str">
        <f>IF('2.Páginas de la muestra'!B5&gt;4,K11,"")</f>
        <v/>
      </c>
      <c r="E53" s="81" t="str">
        <f>IF('2.Páginas de la muestra'!B5&gt;4,M11,"")</f>
        <v/>
      </c>
      <c r="F53" s="82" t="str">
        <f>IF('2.Páginas de la muestra'!B5&gt;4,O11,"")</f>
        <v/>
      </c>
      <c r="G53" s="169" t="str">
        <f>IF('2.Páginas de la muestra'!B5&gt;4,P11,"")</f>
        <v/>
      </c>
      <c r="I53" s="87" t="str">
        <f>'2.Páginas de la muestra'!C15</f>
        <v>ALIAS 8</v>
      </c>
      <c r="J53" s="88">
        <f>COUNTIF('3. Evaluación Nivel A'!C410,Hoja4!A5)+COUNTIF('3. Evaluación Nivel A'!C432,Hoja4!A5)+COUNTIF('3. Evaluación Nivel A'!C454,Hoja4!A5)+COUNTIF('3. Evaluación Nivel A'!C476,Hoja4!A5)+COUNTIF('3. Evaluación Nivel A'!C498,Hoja4!A5)+COUNTIF('4. Evaluación Nivel AA'!C189,Hoja4!A5)+COUNTIF('4. Evaluación Nivel AA'!C211,Hoja4!A5)+COUNTIF('4. Evaluación Nivel AA'!C233,Hoja4!A5)+COUNTIF('4. Evaluación Nivel AA'!C255,Hoja4!A5)+COUNTIF('4. Evaluación Nivel AA'!C277,Hoja4!A5)</f>
        <v>0</v>
      </c>
      <c r="K53" s="100">
        <f>J53*100/J44</f>
        <v>0</v>
      </c>
      <c r="L53" s="83">
        <f>COUNTIF('3. Evaluación Nivel A'!C410,Hoja4!A6)+COUNTIF('3. Evaluación Nivel A'!C432,Hoja4!A6)+COUNTIF('3. Evaluación Nivel A'!C454,Hoja4!A6)+COUNTIF('3. Evaluación Nivel A'!C476,Hoja4!A6)+COUNTIF('3. Evaluación Nivel A'!C498,Hoja4!A6)+COUNTIF('4. Evaluación Nivel AA'!C189,Hoja4!A6)+COUNTIF('4. Evaluación Nivel AA'!C211,Hoja4!A6)+COUNTIF('4. Evaluación Nivel AA'!C233,Hoja4!A6)+COUNTIF('4. Evaluación Nivel AA'!C255,Hoja4!A6)+COUNTIF('4. Evaluación Nivel AA'!C277,Hoja4!A6)</f>
        <v>0</v>
      </c>
      <c r="M53" s="102">
        <f>L53*100/J44</f>
        <v>0</v>
      </c>
      <c r="N53" s="83">
        <f>COUNTIF('3. Evaluación Nivel A'!C410,Hoja4!A7)+COUNTIF('3. Evaluación Nivel A'!C432,Hoja4!A7)+COUNTIF('3. Evaluación Nivel A'!C454,Hoja4!A7)+COUNTIF('3. Evaluación Nivel A'!C476,Hoja4!A7)+COUNTIF('3. Evaluación Nivel A'!C498,Hoja4!A7)+COUNTIF('4. Evaluación Nivel AA'!C189,Hoja4!A7)+COUNTIF('4. Evaluación Nivel AA'!C211,Hoja4!A7)+COUNTIF('4. Evaluación Nivel AA'!C233,Hoja4!A7)+COUNTIF('4. Evaluación Nivel AA'!C255,Hoja4!A7)+COUNTIF('4. Evaluación Nivel AA'!C277,Hoja4!A7)</f>
        <v>0</v>
      </c>
      <c r="O53" s="102">
        <f>N53*100/J44</f>
        <v>0</v>
      </c>
      <c r="P53" s="91">
        <f>IF(ISERROR((J53*100)/(J44-N53)),0,(J53*100)/(J44-N53))</f>
        <v>0</v>
      </c>
      <c r="Q53" s="91">
        <f>IF(ISERROR((L53*100)/(J44-N53)),0,(L53*100)/(J44-N53))</f>
        <v>0</v>
      </c>
    </row>
    <row r="54" spans="2:17" ht="19.5" thickBot="1" x14ac:dyDescent="0.35">
      <c r="B54" s="204" t="str">
        <f>'2.Páginas de la muestra'!C13</f>
        <v>Dashboard-Reservas</v>
      </c>
      <c r="C54" s="205"/>
      <c r="D54" s="82" t="str">
        <f>IF('2.Páginas de la muestra'!B5&gt;5,K12,"")</f>
        <v/>
      </c>
      <c r="E54" s="81" t="str">
        <f>IF('2.Páginas de la muestra'!B5&gt;5,M12,"")</f>
        <v/>
      </c>
      <c r="F54" s="82" t="str">
        <f>IF('2.Páginas de la muestra'!B5&gt;5,O12,"")</f>
        <v/>
      </c>
      <c r="G54" s="169" t="str">
        <f>IF('2.Páginas de la muestra'!B5&gt;5,P12,"")</f>
        <v/>
      </c>
      <c r="I54" s="87" t="str">
        <f>'2.Páginas de la muestra'!C16</f>
        <v>ALIAS 9</v>
      </c>
      <c r="J54" s="88">
        <f>COUNTIF('3. Evaluación Nivel A'!C411,Hoja4!A5)+COUNTIF('3. Evaluación Nivel A'!C433,Hoja4!A5)+COUNTIF('3. Evaluación Nivel A'!C455,Hoja4!A5)+COUNTIF('3. Evaluación Nivel A'!C477,Hoja4!A5)+COUNTIF('3. Evaluación Nivel A'!C499,Hoja4!A5)+COUNTIF('4. Evaluación Nivel AA'!C190,Hoja4!A5)+COUNTIF('4. Evaluación Nivel AA'!C212,Hoja4!A5)+COUNTIF('4. Evaluación Nivel AA'!C234,Hoja4!A5)+COUNTIF('4. Evaluación Nivel AA'!C256,Hoja4!A5)+COUNTIF('4. Evaluación Nivel AA'!C278,Hoja4!A5)</f>
        <v>0</v>
      </c>
      <c r="K54" s="100">
        <f>J54*100/J44</f>
        <v>0</v>
      </c>
      <c r="L54" s="83">
        <f>COUNTIF('3. Evaluación Nivel A'!C411,Hoja4!A6)+COUNTIF('3. Evaluación Nivel A'!C433,Hoja4!A6)+COUNTIF('3. Evaluación Nivel A'!C455,Hoja4!A6)+COUNTIF('3. Evaluación Nivel A'!C477,Hoja4!A6)+COUNTIF('3. Evaluación Nivel A'!C499,Hoja4!A6)+COUNTIF('4. Evaluación Nivel AA'!C190,Hoja4!A6)+COUNTIF('4. Evaluación Nivel AA'!C212,Hoja4!A6)+COUNTIF('4. Evaluación Nivel AA'!C234,Hoja4!A6)+COUNTIF('4. Evaluación Nivel AA'!C256,Hoja4!A6)+COUNTIF('4. Evaluación Nivel AA'!C278,Hoja4!A6)</f>
        <v>0</v>
      </c>
      <c r="M54" s="102">
        <f>L54*100/J44</f>
        <v>0</v>
      </c>
      <c r="N54" s="83">
        <f>COUNTIF('3. Evaluación Nivel A'!C411,Hoja4!A7)+COUNTIF('3. Evaluación Nivel A'!C433,Hoja4!A7)+COUNTIF('3. Evaluación Nivel A'!C455,Hoja4!A7)+COUNTIF('3. Evaluación Nivel A'!C477,Hoja4!A7)+COUNTIF('3. Evaluación Nivel A'!C499,Hoja4!A7)+COUNTIF('4. Evaluación Nivel AA'!C190,Hoja4!A7)+COUNTIF('4. Evaluación Nivel AA'!C212,Hoja4!A7)+COUNTIF('4. Evaluación Nivel AA'!C234,Hoja4!A7)+COUNTIF('4. Evaluación Nivel AA'!C256,Hoja4!A7)+COUNTIF('4. Evaluación Nivel AA'!C278,Hoja4!A7)</f>
        <v>0</v>
      </c>
      <c r="O54" s="102">
        <f>N54*100/J44</f>
        <v>0</v>
      </c>
      <c r="P54" s="91">
        <f>IF(ISERROR((J54*100)/(J44-N54)),0,(J54*100)/(J44-N54))</f>
        <v>0</v>
      </c>
      <c r="Q54" s="91">
        <f>IF(ISERROR((L54*100)/(J44-N54)),0,(L54*100)/(J44-N54))</f>
        <v>0</v>
      </c>
    </row>
    <row r="55" spans="2:17" ht="19.5" thickBot="1" x14ac:dyDescent="0.35">
      <c r="B55" s="204" t="str">
        <f>'2.Páginas de la muestra'!C14</f>
        <v>Dashboard-Reservas-clientes</v>
      </c>
      <c r="C55" s="205"/>
      <c r="D55" s="82" t="str">
        <f>IF('2.Páginas de la muestra'!B5&gt;6,K13,"")</f>
        <v/>
      </c>
      <c r="E55" s="81" t="str">
        <f>IF('2.Páginas de la muestra'!B5&gt;6,M13,"")</f>
        <v/>
      </c>
      <c r="F55" s="82" t="str">
        <f>IF('2.Páginas de la muestra'!B5&gt;6,O13,"")</f>
        <v/>
      </c>
      <c r="G55" s="169" t="str">
        <f>IF('2.Páginas de la muestra'!B5&gt;6,P13,"")</f>
        <v/>
      </c>
      <c r="I55" s="87" t="str">
        <f>'2.Páginas de la muestra'!C17</f>
        <v>ALIAS 10</v>
      </c>
      <c r="J55" s="88">
        <f>COUNTIF('3. Evaluación Nivel A'!C412,Hoja4!A5)+COUNTIF('3. Evaluación Nivel A'!C434,Hoja4!A5)+COUNTIF('3. Evaluación Nivel A'!C456,Hoja4!A5)+COUNTIF('3. Evaluación Nivel A'!C478,Hoja4!A5)+COUNTIF('3. Evaluación Nivel A'!C500,Hoja4!A5)+COUNTIF('4. Evaluación Nivel AA'!C191,Hoja4!A5)+COUNTIF('4. Evaluación Nivel AA'!C213,Hoja4!A5)+COUNTIF('4. Evaluación Nivel AA'!C235,Hoja4!A5)+COUNTIF('4. Evaluación Nivel AA'!C257,Hoja4!A5)+COUNTIF('4. Evaluación Nivel AA'!C279,Hoja4!A5)</f>
        <v>0</v>
      </c>
      <c r="K55" s="100">
        <f>J55*100/J44</f>
        <v>0</v>
      </c>
      <c r="L55" s="83">
        <f>COUNTIF('3. Evaluación Nivel A'!C412,Hoja4!A6)+COUNTIF('3. Evaluación Nivel A'!C434,Hoja4!A6)+COUNTIF('3. Evaluación Nivel A'!C456,Hoja4!A6)+COUNTIF('3. Evaluación Nivel A'!C478,Hoja4!A6)+COUNTIF('3. Evaluación Nivel A'!C500,Hoja4!A6)+COUNTIF('4. Evaluación Nivel AA'!C191,Hoja4!A6)+COUNTIF('4. Evaluación Nivel AA'!C213,Hoja4!A6)+COUNTIF('4. Evaluación Nivel AA'!C235,Hoja4!A6)+COUNTIF('4. Evaluación Nivel AA'!C257,Hoja4!A6)+COUNTIF('4. Evaluación Nivel AA'!C279,Hoja4!A6)</f>
        <v>0</v>
      </c>
      <c r="M55" s="102">
        <f>L55*100/J44</f>
        <v>0</v>
      </c>
      <c r="N55" s="83">
        <f>COUNTIF('3. Evaluación Nivel A'!C412,Hoja4!A7)+COUNTIF('3. Evaluación Nivel A'!C434,Hoja4!A7)+COUNTIF('3. Evaluación Nivel A'!C456,Hoja4!A7)+COUNTIF('3. Evaluación Nivel A'!C478,Hoja4!A7)+COUNTIF('3. Evaluación Nivel A'!C500,Hoja4!A7)+COUNTIF('4. Evaluación Nivel AA'!C191,Hoja4!A7)+COUNTIF('4. Evaluación Nivel AA'!C213,Hoja4!A7)+COUNTIF('4. Evaluación Nivel AA'!C235,Hoja4!A7)+COUNTIF('4. Evaluación Nivel AA'!C257,Hoja4!A7)+COUNTIF('4. Evaluación Nivel AA'!C279,Hoja4!A7)</f>
        <v>0</v>
      </c>
      <c r="O55" s="102">
        <f>N55*100/J44</f>
        <v>0</v>
      </c>
      <c r="P55" s="91">
        <f>IF(ISERROR((J55*100)/(J44-N55)),0,(J55*100)/(J44-N55))</f>
        <v>0</v>
      </c>
      <c r="Q55" s="91">
        <f>IF(ISERROR((L55*100)/(J44-N55)),0,(L55*100)/(J44-N55))</f>
        <v>0</v>
      </c>
    </row>
    <row r="56" spans="2:17" ht="19.5" thickBot="1" x14ac:dyDescent="0.35">
      <c r="B56" s="204" t="str">
        <f>'2.Páginas de la muestra'!C15</f>
        <v>ALIAS 8</v>
      </c>
      <c r="C56" s="205"/>
      <c r="D56" s="82" t="str">
        <f>IF('2.Páginas de la muestra'!B5&gt;7,K14,"")</f>
        <v/>
      </c>
      <c r="E56" s="81" t="str">
        <f>IF('2.Páginas de la muestra'!B5&gt;7,M14,"")</f>
        <v/>
      </c>
      <c r="F56" s="82" t="str">
        <f>IF('2.Páginas de la muestra'!B5&gt;7,O14,"")</f>
        <v/>
      </c>
      <c r="G56" s="169" t="str">
        <f>IF('2.Páginas de la muestra'!B5&gt;7,P14,"")</f>
        <v/>
      </c>
      <c r="I56" s="87" t="str">
        <f>'2.Páginas de la muestra'!C18</f>
        <v>ALIAS 11</v>
      </c>
      <c r="J56" s="88">
        <f>COUNTIF('3. Evaluación Nivel A'!C413,Hoja4!A5)+COUNTIF('3. Evaluación Nivel A'!C435,Hoja4!A5)+COUNTIF('3. Evaluación Nivel A'!C457,Hoja4!A5)+COUNTIF('3. Evaluación Nivel A'!C479,Hoja4!A5)+COUNTIF('3. Evaluación Nivel A'!C501,Hoja4!A5)+COUNTIF('4. Evaluación Nivel AA'!C192,Hoja4!A5)+COUNTIF('4. Evaluación Nivel AA'!C214,Hoja4!A5)+COUNTIF('4. Evaluación Nivel AA'!C236,Hoja4!A5)+COUNTIF('4. Evaluación Nivel AA'!C258,Hoja4!A5)+COUNTIF('4. Evaluación Nivel AA'!C280,Hoja4!A5)</f>
        <v>0</v>
      </c>
      <c r="K56" s="100">
        <f>J56*100/J44</f>
        <v>0</v>
      </c>
      <c r="L56" s="83">
        <f>COUNTIF('3. Evaluación Nivel A'!C413,Hoja4!A6)+COUNTIF('3. Evaluación Nivel A'!C435,Hoja4!A6)+COUNTIF('3. Evaluación Nivel A'!C457,Hoja4!A6)+COUNTIF('3. Evaluación Nivel A'!C479,Hoja4!A6)+COUNTIF('3. Evaluación Nivel A'!C501,Hoja4!A6)+COUNTIF('4. Evaluación Nivel AA'!C192,Hoja4!A6)+COUNTIF('4. Evaluación Nivel AA'!C214,Hoja4!A6)+COUNTIF('4. Evaluación Nivel AA'!C236,Hoja4!A6)+COUNTIF('4. Evaluación Nivel AA'!C258,Hoja4!A6)+COUNTIF('4. Evaluación Nivel AA'!C280,Hoja4!A6)</f>
        <v>0</v>
      </c>
      <c r="M56" s="102">
        <f>L56*100/J44</f>
        <v>0</v>
      </c>
      <c r="N56" s="83">
        <f>COUNTIF('3. Evaluación Nivel A'!C413,Hoja4!A7)+COUNTIF('3. Evaluación Nivel A'!C435,Hoja4!A7)+COUNTIF('3. Evaluación Nivel A'!C457,Hoja4!A7)+COUNTIF('3. Evaluación Nivel A'!C479,Hoja4!A7)+COUNTIF('3. Evaluación Nivel A'!C501,Hoja4!A7)+COUNTIF('4. Evaluación Nivel AA'!C192,Hoja4!A7)+COUNTIF('4. Evaluación Nivel AA'!C214,Hoja4!A7)+COUNTIF('4. Evaluación Nivel AA'!C236,Hoja4!A7)+COUNTIF('4. Evaluación Nivel AA'!C258,Hoja4!A7)+COUNTIF('4. Evaluación Nivel AA'!C280,Hoja4!A7)</f>
        <v>0</v>
      </c>
      <c r="O56" s="102">
        <f>N56*100/J44</f>
        <v>0</v>
      </c>
      <c r="P56" s="91">
        <f>IF(ISERROR((J56*100)/(J44-N56)),0,(J56*100)/(J44-N56))</f>
        <v>0</v>
      </c>
      <c r="Q56" s="91">
        <f>IF(ISERROR((L56*100)/(J44-N56)),0,(L56*100)/(J44-N56))</f>
        <v>0</v>
      </c>
    </row>
    <row r="57" spans="2:17" ht="19.5" thickBot="1" x14ac:dyDescent="0.35">
      <c r="B57" s="204" t="str">
        <f>'2.Páginas de la muestra'!C16</f>
        <v>ALIAS 9</v>
      </c>
      <c r="C57" s="205"/>
      <c r="D57" s="82" t="str">
        <f>IF('2.Páginas de la muestra'!B5&gt;8,K15,"")</f>
        <v/>
      </c>
      <c r="E57" s="81" t="str">
        <f>IF('2.Páginas de la muestra'!B5&gt;8,M15,"")</f>
        <v/>
      </c>
      <c r="F57" s="82" t="str">
        <f>IF('2.Páginas de la muestra'!B5&gt;8,O15,"")</f>
        <v/>
      </c>
      <c r="G57" s="169" t="str">
        <f>IF('2.Páginas de la muestra'!B5&gt;8,P15,"")</f>
        <v/>
      </c>
      <c r="I57" s="87" t="str">
        <f>'2.Páginas de la muestra'!C19</f>
        <v>ALIAS 12</v>
      </c>
      <c r="J57" s="88">
        <f>COUNTIF('3. Evaluación Nivel A'!C414,Hoja4!A5)+COUNTIF('3. Evaluación Nivel A'!C436,Hoja4!A5)+COUNTIF('3. Evaluación Nivel A'!C458,Hoja4!A5)+COUNTIF('3. Evaluación Nivel A'!C480,Hoja4!A5)+COUNTIF('3. Evaluación Nivel A'!C502,Hoja4!A5)+COUNTIF('4. Evaluación Nivel AA'!C193,Hoja4!A5)+COUNTIF('4. Evaluación Nivel AA'!C215,Hoja4!A5)+COUNTIF('4. Evaluación Nivel AA'!C237,Hoja4!A5)+COUNTIF('4. Evaluación Nivel AA'!C259,Hoja4!A5)+COUNTIF('4. Evaluación Nivel AA'!C281,Hoja4!A5)</f>
        <v>0</v>
      </c>
      <c r="K57" s="100">
        <f>J57*100/J44</f>
        <v>0</v>
      </c>
      <c r="L57" s="83">
        <f>COUNTIF('3. Evaluación Nivel A'!C414,Hoja4!A6)+COUNTIF('3. Evaluación Nivel A'!C436,Hoja4!A6)+COUNTIF('3. Evaluación Nivel A'!C458,Hoja4!A6)+COUNTIF('3. Evaluación Nivel A'!C480,Hoja4!A6)+COUNTIF('3. Evaluación Nivel A'!C502,Hoja4!A6)+COUNTIF('4. Evaluación Nivel AA'!C193,Hoja4!A6)+COUNTIF('4. Evaluación Nivel AA'!C215,Hoja4!A6)+COUNTIF('4. Evaluación Nivel AA'!C237,Hoja4!A6)+COUNTIF('4. Evaluación Nivel AA'!C259,Hoja4!A6)+COUNTIF('4. Evaluación Nivel AA'!C281,Hoja4!A6)</f>
        <v>0</v>
      </c>
      <c r="M57" s="102">
        <f>L57*100/J44</f>
        <v>0</v>
      </c>
      <c r="N57" s="83">
        <f>COUNTIF('3. Evaluación Nivel A'!C414,Hoja4!A7)+COUNTIF('3. Evaluación Nivel A'!C436,Hoja4!A7)+COUNTIF('3. Evaluación Nivel A'!C458,Hoja4!A7)+COUNTIF('3. Evaluación Nivel A'!C480,Hoja4!A7)+COUNTIF('3. Evaluación Nivel A'!C502,Hoja4!A7)+COUNTIF('4. Evaluación Nivel AA'!C193,Hoja4!A7)+COUNTIF('4. Evaluación Nivel AA'!C215,Hoja4!A7)+COUNTIF('4. Evaluación Nivel AA'!C237,Hoja4!A7)+COUNTIF('4. Evaluación Nivel AA'!C259,Hoja4!A7)+COUNTIF('4. Evaluación Nivel AA'!C281,Hoja4!A7)</f>
        <v>0</v>
      </c>
      <c r="O57" s="102">
        <f>N57*100/J44</f>
        <v>0</v>
      </c>
      <c r="P57" s="91">
        <f>IF(ISERROR((J57*100)/(J44-N57)),0,(J57*100)/(J44-N57))</f>
        <v>0</v>
      </c>
      <c r="Q57" s="91">
        <f>IF(ISERROR((L57*100)/(J44-N57)),0,(L57*100)/(J44-N57))</f>
        <v>0</v>
      </c>
    </row>
    <row r="58" spans="2:17" ht="19.5" thickBot="1" x14ac:dyDescent="0.35">
      <c r="B58" s="204" t="str">
        <f>'2.Páginas de la muestra'!C17</f>
        <v>ALIAS 10</v>
      </c>
      <c r="C58" s="205"/>
      <c r="D58" s="82" t="str">
        <f>IF('2.Páginas de la muestra'!B5&gt;9,K16,"")</f>
        <v/>
      </c>
      <c r="E58" s="81" t="str">
        <f>IF('2.Páginas de la muestra'!B5&gt;9,M16,"")</f>
        <v/>
      </c>
      <c r="F58" s="82" t="str">
        <f>IF('2.Páginas de la muestra'!B5&gt;9,O16,"")</f>
        <v/>
      </c>
      <c r="G58" s="169" t="str">
        <f>IF('2.Páginas de la muestra'!B5&gt;9,P16,"")</f>
        <v/>
      </c>
      <c r="I58" s="87" t="str">
        <f>'2.Páginas de la muestra'!C20</f>
        <v>ALIAS 13</v>
      </c>
      <c r="J58" s="88">
        <f>COUNTIF('3. Evaluación Nivel A'!C415,Hoja4!A5)+COUNTIF('3. Evaluación Nivel A'!C437,Hoja4!A5)+COUNTIF('3. Evaluación Nivel A'!C459,Hoja4!A5)+COUNTIF('3. Evaluación Nivel A'!C481,Hoja4!A5)+COUNTIF('3. Evaluación Nivel A'!C503,Hoja4!A5)+COUNTIF('4. Evaluación Nivel AA'!C194,Hoja4!A5)+COUNTIF('4. Evaluación Nivel AA'!C216,Hoja4!A5)+COUNTIF('4. Evaluación Nivel AA'!C238,Hoja4!A5)+COUNTIF('4. Evaluación Nivel AA'!C260,Hoja4!A5)+COUNTIF('4. Evaluación Nivel AA'!C282,Hoja4!A5)</f>
        <v>0</v>
      </c>
      <c r="K58" s="100">
        <f>J58*100/J44</f>
        <v>0</v>
      </c>
      <c r="L58" s="83">
        <f>COUNTIF('3. Evaluación Nivel A'!C415,Hoja4!A6)+COUNTIF('3. Evaluación Nivel A'!C437,Hoja4!A6)+COUNTIF('3. Evaluación Nivel A'!C459,Hoja4!A6)+COUNTIF('3. Evaluación Nivel A'!C481,Hoja4!A6)+COUNTIF('3. Evaluación Nivel A'!C503,Hoja4!A6)+COUNTIF('4. Evaluación Nivel AA'!C194,Hoja4!A6)+COUNTIF('4. Evaluación Nivel AA'!C216,Hoja4!A6)+COUNTIF('4. Evaluación Nivel AA'!C238,Hoja4!A6)+COUNTIF('4. Evaluación Nivel AA'!C260,Hoja4!A6)+COUNTIF('4. Evaluación Nivel AA'!C282,Hoja4!A6)</f>
        <v>0</v>
      </c>
      <c r="M58" s="102">
        <f>L58*100/J44</f>
        <v>0</v>
      </c>
      <c r="N58" s="83">
        <f>COUNTIF('3. Evaluación Nivel A'!C415,Hoja4!A7)+COUNTIF('3. Evaluación Nivel A'!C437,Hoja4!A7)+COUNTIF('3. Evaluación Nivel A'!C459,Hoja4!A7)+COUNTIF('3. Evaluación Nivel A'!C481,Hoja4!A7)+COUNTIF('3. Evaluación Nivel A'!C503,Hoja4!A7)+COUNTIF('4. Evaluación Nivel AA'!C194,Hoja4!A7)+COUNTIF('4. Evaluación Nivel AA'!C216,Hoja4!A7)+COUNTIF('4. Evaluación Nivel AA'!C238,Hoja4!A7)+COUNTIF('4. Evaluación Nivel AA'!C260,Hoja4!A7)+COUNTIF('4. Evaluación Nivel AA'!C282,Hoja4!A7)</f>
        <v>0</v>
      </c>
      <c r="O58" s="102">
        <f>N58*100/J44</f>
        <v>0</v>
      </c>
      <c r="P58" s="91">
        <f>IF(ISERROR((J58*100)/(J44-N58)),0,(J58*100)/(J44-N58))</f>
        <v>0</v>
      </c>
      <c r="Q58" s="91">
        <f>IF(ISERROR((L58*100)/(J44-N58)),0,(L58*100)/(J44-N58))</f>
        <v>0</v>
      </c>
    </row>
    <row r="59" spans="2:17" ht="19.5" thickBot="1" x14ac:dyDescent="0.35">
      <c r="B59" s="204" t="str">
        <f>'2.Páginas de la muestra'!C18</f>
        <v>ALIAS 11</v>
      </c>
      <c r="C59" s="205"/>
      <c r="D59" s="82" t="str">
        <f>IF('2.Páginas de la muestra'!B5&gt;10,K17,"")</f>
        <v/>
      </c>
      <c r="E59" s="81" t="str">
        <f>IF('2.Páginas de la muestra'!B5&gt;10,M17,"")</f>
        <v/>
      </c>
      <c r="F59" s="82" t="str">
        <f>IF('2.Páginas de la muestra'!B5&gt;10,O17,"")</f>
        <v/>
      </c>
      <c r="G59" s="169" t="str">
        <f>IF('2.Páginas de la muestra'!B5&gt;10,P17,"")</f>
        <v/>
      </c>
      <c r="I59" s="87" t="str">
        <f>'2.Páginas de la muestra'!C21</f>
        <v>ALIAS 14</v>
      </c>
      <c r="J59" s="88">
        <f>COUNTIF('3. Evaluación Nivel A'!C416,Hoja4!A5)+COUNTIF('3. Evaluación Nivel A'!C438,Hoja4!A5)+COUNTIF('3. Evaluación Nivel A'!C460,Hoja4!A5)+COUNTIF('3. Evaluación Nivel A'!C482,Hoja4!A5)+COUNTIF('3. Evaluación Nivel A'!C504,Hoja4!A5)+COUNTIF('4. Evaluación Nivel AA'!C195,Hoja4!A5)+COUNTIF('4. Evaluación Nivel AA'!C217,Hoja4!A5)+COUNTIF('4. Evaluación Nivel AA'!C239,Hoja4!A5)+COUNTIF('4. Evaluación Nivel AA'!C261,Hoja4!A5)+COUNTIF('4. Evaluación Nivel AA'!C283,Hoja4!A5)</f>
        <v>0</v>
      </c>
      <c r="K59" s="100">
        <f>J59*100/J44</f>
        <v>0</v>
      </c>
      <c r="L59" s="83">
        <f>COUNTIF('3. Evaluación Nivel A'!C416,Hoja4!A6)+COUNTIF('3. Evaluación Nivel A'!C438,Hoja4!A6)+COUNTIF('3. Evaluación Nivel A'!C460,Hoja4!A6)+COUNTIF('3. Evaluación Nivel A'!C482,Hoja4!A6)+COUNTIF('3. Evaluación Nivel A'!C504,Hoja4!A6)+COUNTIF('4. Evaluación Nivel AA'!C195,Hoja4!A6)+COUNTIF('4. Evaluación Nivel AA'!C217,Hoja4!A6)+COUNTIF('4. Evaluación Nivel AA'!C239,Hoja4!A6)+COUNTIF('4. Evaluación Nivel AA'!C261,Hoja4!A6)+COUNTIF('4. Evaluación Nivel AA'!C283,Hoja4!A6)</f>
        <v>0</v>
      </c>
      <c r="M59" s="102">
        <f>L59*100/J44</f>
        <v>0</v>
      </c>
      <c r="N59" s="83">
        <f>COUNTIF('3. Evaluación Nivel A'!C416,Hoja4!A7)+COUNTIF('3. Evaluación Nivel A'!C438,Hoja4!A7)+COUNTIF('3. Evaluación Nivel A'!C460,Hoja4!A7)+COUNTIF('3. Evaluación Nivel A'!C482,Hoja4!A7)+COUNTIF('3. Evaluación Nivel A'!C504,Hoja4!A7)+COUNTIF('4. Evaluación Nivel AA'!C195,Hoja4!A7)+COUNTIF('4. Evaluación Nivel AA'!C217,Hoja4!A7)+COUNTIF('4. Evaluación Nivel AA'!C239,Hoja4!A7)+COUNTIF('4. Evaluación Nivel AA'!C261,Hoja4!A7)+COUNTIF('4. Evaluación Nivel AA'!C283,Hoja4!A7)</f>
        <v>0</v>
      </c>
      <c r="O59" s="102">
        <f>N59*100/J44</f>
        <v>0</v>
      </c>
      <c r="P59" s="91">
        <f>IF(ISERROR((J59*100)/(J44-N59)),0,(J59*100)/(J44-N59))</f>
        <v>0</v>
      </c>
      <c r="Q59" s="91">
        <f>IF(ISERROR((L59*100)/(J44-N59)),0,(L59*100)/(J44-N59))</f>
        <v>0</v>
      </c>
    </row>
    <row r="60" spans="2:17" ht="19.5" thickBot="1" x14ac:dyDescent="0.35">
      <c r="B60" s="204" t="str">
        <f>'2.Páginas de la muestra'!C19</f>
        <v>ALIAS 12</v>
      </c>
      <c r="C60" s="205"/>
      <c r="D60" s="82" t="str">
        <f>IF('2.Páginas de la muestra'!B5&gt;11,K18,"")</f>
        <v/>
      </c>
      <c r="E60" s="81" t="str">
        <f>IF('2.Páginas de la muestra'!B5&gt;11,M18,"")</f>
        <v/>
      </c>
      <c r="F60" s="82" t="str">
        <f>IF('2.Páginas de la muestra'!B5&gt;11,O18,"")</f>
        <v/>
      </c>
      <c r="G60" s="169" t="str">
        <f>IF('2.Páginas de la muestra'!B5&gt;11,P18,"")</f>
        <v/>
      </c>
      <c r="I60" s="87" t="str">
        <f>'2.Páginas de la muestra'!C22</f>
        <v>ALIAS 15</v>
      </c>
      <c r="J60" s="88">
        <f>COUNTIF('3. Evaluación Nivel A'!C417,Hoja4!A5)+COUNTIF('3. Evaluación Nivel A'!C439,Hoja4!A5)+COUNTIF('3. Evaluación Nivel A'!C461,Hoja4!A5)+COUNTIF('3. Evaluación Nivel A'!C483,Hoja4!A5)+COUNTIF('3. Evaluación Nivel A'!C505,Hoja4!A5)+COUNTIF('4. Evaluación Nivel AA'!C196,Hoja4!A5)+COUNTIF('4. Evaluación Nivel AA'!C218,Hoja4!A5)+COUNTIF('4. Evaluación Nivel AA'!C240,Hoja4!A5)+COUNTIF('4. Evaluación Nivel AA'!C262,Hoja4!A5)+COUNTIF('4. Evaluación Nivel AA'!C284,Hoja4!A5)</f>
        <v>0</v>
      </c>
      <c r="K60" s="100">
        <f>J60*100/J44</f>
        <v>0</v>
      </c>
      <c r="L60" s="83">
        <f>COUNTIF('3. Evaluación Nivel A'!C417,Hoja4!A6)+COUNTIF('3. Evaluación Nivel A'!C439,Hoja4!A6)+COUNTIF('3. Evaluación Nivel A'!C461,Hoja4!A6)+COUNTIF('3. Evaluación Nivel A'!C483,Hoja4!A6)+COUNTIF('3. Evaluación Nivel A'!C505,Hoja4!A6)+COUNTIF('4. Evaluación Nivel AA'!C196,Hoja4!A6)+COUNTIF('4. Evaluación Nivel AA'!C218,Hoja4!A6)+COUNTIF('4. Evaluación Nivel AA'!C240,Hoja4!A6)+COUNTIF('4. Evaluación Nivel AA'!C262,Hoja4!A6)+COUNTIF('4. Evaluación Nivel AA'!C284,Hoja4!A6)</f>
        <v>0</v>
      </c>
      <c r="M60" s="102">
        <f>L60*100/J44</f>
        <v>0</v>
      </c>
      <c r="N60" s="83">
        <f>COUNTIF('3. Evaluación Nivel A'!C417,Hoja4!A7)+COUNTIF('3. Evaluación Nivel A'!C439,Hoja4!A7)+COUNTIF('3. Evaluación Nivel A'!C461,Hoja4!A7)+COUNTIF('3. Evaluación Nivel A'!C483,Hoja4!A7)+COUNTIF('3. Evaluación Nivel A'!C505,Hoja4!A7)+COUNTIF('4. Evaluación Nivel AA'!C196,Hoja4!A7)+COUNTIF('4. Evaluación Nivel AA'!C218,Hoja4!A7)+COUNTIF('4. Evaluación Nivel AA'!C240,Hoja4!A7)+COUNTIF('4. Evaluación Nivel AA'!C262,Hoja4!A7)+COUNTIF('4. Evaluación Nivel AA'!C284,Hoja4!A7)</f>
        <v>0</v>
      </c>
      <c r="O60" s="102">
        <f>N60*100/J44</f>
        <v>0</v>
      </c>
      <c r="P60" s="91">
        <f>IF(ISERROR((J60*100)/(J44-N60)),0,(J60*100)/(J44-N60))</f>
        <v>0</v>
      </c>
      <c r="Q60" s="91">
        <f>IF(ISERROR((L60*100)/(J44-N60)),0,(L60*100)/(J44-N60))</f>
        <v>0</v>
      </c>
    </row>
    <row r="61" spans="2:17" ht="19.5" thickBot="1" x14ac:dyDescent="0.35">
      <c r="B61" s="204" t="str">
        <f>'2.Páginas de la muestra'!C20</f>
        <v>ALIAS 13</v>
      </c>
      <c r="C61" s="205"/>
      <c r="D61" s="82" t="str">
        <f>IF('2.Páginas de la muestra'!B5&gt;12,K19,"")</f>
        <v/>
      </c>
      <c r="E61" s="81" t="str">
        <f>IF('2.Páginas de la muestra'!B5&gt;12,M19,"")</f>
        <v/>
      </c>
      <c r="F61" s="82" t="str">
        <f>IF('2.Páginas de la muestra'!B5&gt;12,O19,"")</f>
        <v/>
      </c>
      <c r="G61" s="169" t="str">
        <f>IF('2.Páginas de la muestra'!B5&gt;12,P19,"")</f>
        <v/>
      </c>
      <c r="I61" s="71"/>
      <c r="J61" s="71"/>
      <c r="K61" s="71"/>
      <c r="L61" s="71"/>
      <c r="M61" s="71"/>
      <c r="N61" s="71"/>
      <c r="O61" s="71"/>
      <c r="P61" s="71"/>
      <c r="Q61" s="71"/>
    </row>
    <row r="62" spans="2:17" ht="19.5" thickBot="1" x14ac:dyDescent="0.35">
      <c r="B62" s="204" t="str">
        <f>'2.Páginas de la muestra'!C21</f>
        <v>ALIAS 14</v>
      </c>
      <c r="C62" s="205"/>
      <c r="D62" s="82" t="str">
        <f>IF('2.Páginas de la muestra'!B5&gt;13,K20,"")</f>
        <v/>
      </c>
      <c r="E62" s="81" t="str">
        <f>IF('2.Páginas de la muestra'!B5&gt;13,M20,"")</f>
        <v/>
      </c>
      <c r="F62" s="82" t="str">
        <f>IF('2.Páginas de la muestra'!B5&gt;13,O20,"")</f>
        <v/>
      </c>
      <c r="G62" s="169" t="str">
        <f>IF('2.Páginas de la muestra'!B5&gt;13,P20,"")</f>
        <v/>
      </c>
      <c r="I62" s="71"/>
      <c r="J62" s="71"/>
      <c r="K62" s="71"/>
      <c r="L62" s="71"/>
      <c r="M62" s="71"/>
      <c r="N62" s="71"/>
      <c r="O62" s="71"/>
      <c r="P62" s="71"/>
      <c r="Q62" s="71"/>
    </row>
    <row r="63" spans="2:17" ht="19.5" thickBot="1" x14ac:dyDescent="0.35">
      <c r="B63" s="204" t="str">
        <f>'2.Páginas de la muestra'!C22</f>
        <v>ALIAS 15</v>
      </c>
      <c r="C63" s="205"/>
      <c r="D63" s="82" t="str">
        <f>IF('2.Páginas de la muestra'!B5&gt;14,K21,"")</f>
        <v/>
      </c>
      <c r="E63" s="81" t="str">
        <f>IF('2.Páginas de la muestra'!B5&gt;14,M21,"")</f>
        <v/>
      </c>
      <c r="F63" s="82" t="str">
        <f>IF('2.Páginas de la muestra'!B5&gt;14,O21,"")</f>
        <v/>
      </c>
      <c r="G63" s="169" t="str">
        <f>IF('2.Páginas de la muestra'!B5&gt;14,P21,"")</f>
        <v/>
      </c>
      <c r="I63" s="71"/>
      <c r="J63" s="71">
        <f>IF('1.Datos generales'!B10="A",2,2)</f>
        <v>2</v>
      </c>
      <c r="K63" s="9" t="s">
        <v>441</v>
      </c>
      <c r="L63" s="71"/>
      <c r="M63" s="71"/>
      <c r="N63" s="71"/>
      <c r="O63" s="71"/>
      <c r="P63" s="71"/>
      <c r="Q63" s="71"/>
    </row>
    <row r="64" spans="2:17" ht="19.5" thickBot="1" x14ac:dyDescent="0.35">
      <c r="B64" s="208" t="s">
        <v>133</v>
      </c>
      <c r="C64" s="209"/>
      <c r="D64" s="70">
        <f>AVERAGE(D49:D63)</f>
        <v>42.857142857142854</v>
      </c>
      <c r="E64" s="69">
        <f>AVERAGE(E49:E63)</f>
        <v>14.285714285714286</v>
      </c>
      <c r="F64" s="70">
        <f>AVERAGE(F49:F63)</f>
        <v>42.857142857142854</v>
      </c>
      <c r="G64" s="69">
        <f>AVERAGE(G49:G63)</f>
        <v>75</v>
      </c>
      <c r="I64" s="119" t="s">
        <v>136</v>
      </c>
      <c r="J64" s="83" t="s">
        <v>7</v>
      </c>
      <c r="K64" s="84" t="s">
        <v>128</v>
      </c>
      <c r="L64" s="83" t="s">
        <v>23</v>
      </c>
      <c r="M64" s="84" t="s">
        <v>27</v>
      </c>
      <c r="N64" s="83" t="s">
        <v>25</v>
      </c>
      <c r="O64" s="84" t="s">
        <v>28</v>
      </c>
      <c r="P64" s="85" t="s">
        <v>32</v>
      </c>
      <c r="Q64" s="86" t="s">
        <v>33</v>
      </c>
    </row>
    <row r="65" spans="2:17" ht="19.5" thickBot="1" x14ac:dyDescent="0.35">
      <c r="B65" s="71"/>
      <c r="C65" s="71"/>
      <c r="D65" s="71"/>
      <c r="E65" s="71"/>
      <c r="F65" s="71"/>
      <c r="G65" s="71"/>
      <c r="I65" s="87" t="str">
        <f>'2.Páginas de la muestra'!C8</f>
        <v>Inicio</v>
      </c>
      <c r="J65" s="88">
        <f>COUNTIF('3. Evaluación Nivel A'!C513,Hoja4!A5)+COUNTIF('3. Evaluación Nivel A'!C535,Hoja4!A5)</f>
        <v>2</v>
      </c>
      <c r="K65" s="89">
        <f>J65*100/J63</f>
        <v>100</v>
      </c>
      <c r="L65" s="88">
        <f>COUNTIF('3. Evaluación Nivel A'!C513,Hoja4!A6)+COUNTIF('3. Evaluación Nivel A'!C535,Hoja4!A6)</f>
        <v>0</v>
      </c>
      <c r="M65" s="90">
        <f>L65*100/J63</f>
        <v>0</v>
      </c>
      <c r="N65" s="88">
        <f>COUNTIF('3. Evaluación Nivel A'!C513,Hoja4!A7)+COUNTIF('3. Evaluación Nivel A'!C535,Hoja4!A7)</f>
        <v>0</v>
      </c>
      <c r="O65" s="90">
        <f>N65*100/J63</f>
        <v>0</v>
      </c>
      <c r="P65" s="91">
        <f>IF(ISERROR((J65*100)/(J63-N65)),0,(J65*100)/(J63-N65))</f>
        <v>100</v>
      </c>
      <c r="Q65" s="91">
        <f>IF(ISERROR((L65*100)/(J63-N65)),0,(L65*100)/(J63-N65))</f>
        <v>0</v>
      </c>
    </row>
    <row r="66" spans="2:17" ht="19.5" thickBot="1" x14ac:dyDescent="0.35">
      <c r="B66" s="202" t="s">
        <v>137</v>
      </c>
      <c r="C66" s="202"/>
      <c r="D66" s="202"/>
      <c r="E66" s="202"/>
      <c r="F66" s="202"/>
      <c r="G66" s="202"/>
      <c r="I66" s="87" t="str">
        <f>'2.Páginas de la muestra'!C9</f>
        <v>login</v>
      </c>
      <c r="J66" s="88">
        <f>COUNTIF('3. Evaluación Nivel A'!C514,Hoja4!A5)+COUNTIF('3. Evaluación Nivel A'!C536,Hoja4!A5)</f>
        <v>2</v>
      </c>
      <c r="K66" s="89">
        <f>J66*100/J63</f>
        <v>100</v>
      </c>
      <c r="L66" s="88">
        <f>COUNTIF('3. Evaluación Nivel A'!C514,Hoja4!A6)+COUNTIF('3. Evaluación Nivel A'!C536,Hoja4!A6)</f>
        <v>0</v>
      </c>
      <c r="M66" s="90">
        <f>L66*100/J63</f>
        <v>0</v>
      </c>
      <c r="N66" s="88">
        <f>COUNTIF('3. Evaluación Nivel A'!C514,Hoja4!A7)+COUNTIF('3. Evaluación Nivel A'!C536,Hoja4!A7)</f>
        <v>0</v>
      </c>
      <c r="O66" s="90">
        <f>N66*100/J63</f>
        <v>0</v>
      </c>
      <c r="P66" s="91">
        <f>IF(ISERROR((J66*100)/(J63-N66)),0,(J66*100)/(J63-N66))</f>
        <v>100</v>
      </c>
      <c r="Q66" s="91">
        <f>IF(ISERROR((L66*100)/(J63-N66)),0,(L66*100)/(J63-N66))</f>
        <v>0</v>
      </c>
    </row>
    <row r="67" spans="2:17" ht="19.5" thickBot="1" x14ac:dyDescent="0.35">
      <c r="B67" s="206" t="s">
        <v>3</v>
      </c>
      <c r="C67" s="207"/>
      <c r="D67" s="65" t="s">
        <v>128</v>
      </c>
      <c r="E67" s="65" t="s">
        <v>129</v>
      </c>
      <c r="F67" s="64" t="s">
        <v>130</v>
      </c>
      <c r="G67" s="65" t="s">
        <v>131</v>
      </c>
      <c r="I67" s="87" t="str">
        <f>'2.Páginas de la muestra'!C10</f>
        <v>Inicio-Dashboard</v>
      </c>
      <c r="J67" s="88">
        <f>COUNTIF('3. Evaluación Nivel A'!C515,Hoja4!A5)+COUNTIF('3. Evaluación Nivel A'!C537,Hoja4!A5)</f>
        <v>2</v>
      </c>
      <c r="K67" s="89">
        <f>J67*100/J63</f>
        <v>100</v>
      </c>
      <c r="L67" s="88">
        <f>COUNTIF('3. Evaluación Nivel A'!C515,Hoja4!A6)+COUNTIF('3. Evaluación Nivel A'!C537,Hoja4!A6)</f>
        <v>0</v>
      </c>
      <c r="M67" s="90">
        <f>L67*100/J63</f>
        <v>0</v>
      </c>
      <c r="N67" s="88">
        <f>COUNTIF('3. Evaluación Nivel A'!C515,Hoja4!A7)+COUNTIF('3. Evaluación Nivel A'!C537,Hoja4!A7)</f>
        <v>0</v>
      </c>
      <c r="O67" s="90">
        <f>N67*100/J63</f>
        <v>0</v>
      </c>
      <c r="P67" s="91">
        <f>IF(ISERROR((J67*100)/(J63-N67)),0,(J67*100)/(J63-N67))</f>
        <v>100</v>
      </c>
      <c r="Q67" s="91">
        <f>IF(ISERROR((L67*100)/(J63-N67)),0,(L67*100)/(J63-N67))</f>
        <v>0</v>
      </c>
    </row>
    <row r="68" spans="2:17" ht="19.5" thickBot="1" x14ac:dyDescent="0.35">
      <c r="B68" s="204" t="str">
        <f>'2.Páginas de la muestra'!C8</f>
        <v>Inicio</v>
      </c>
      <c r="C68" s="205"/>
      <c r="D68" s="82">
        <f>IF('2.Páginas de la muestra'!B5&gt;0,K26,"")</f>
        <v>41.666666666666664</v>
      </c>
      <c r="E68" s="81">
        <f>IF('2.Páginas de la muestra'!B5&gt;0,M26,"")</f>
        <v>25</v>
      </c>
      <c r="F68" s="82">
        <f>IF('2.Páginas de la muestra'!B5&gt;0,O26,"")</f>
        <v>33.333333333333336</v>
      </c>
      <c r="G68" s="169">
        <f>IF('2.Páginas de la muestra'!B5&gt;0,P26,"")</f>
        <v>62.5</v>
      </c>
      <c r="I68" s="87" t="str">
        <f>'2.Páginas de la muestra'!C11</f>
        <v>Dashboard-Usuarios</v>
      </c>
      <c r="J68" s="88">
        <f>COUNTIF('3. Evaluación Nivel A'!C516,Hoja4!A5)+COUNTIF('3. Evaluación Nivel A'!C538,Hoja4!A5)</f>
        <v>2</v>
      </c>
      <c r="K68" s="89">
        <f>J68*100/J63</f>
        <v>100</v>
      </c>
      <c r="L68" s="88">
        <f>COUNTIF('3. Evaluación Nivel A'!C516,Hoja4!A6)+COUNTIF('3. Evaluación Nivel A'!C538,Hoja4!A6)</f>
        <v>0</v>
      </c>
      <c r="M68" s="90">
        <f>L68*100/J63</f>
        <v>0</v>
      </c>
      <c r="N68" s="88">
        <f>COUNTIF('3. Evaluación Nivel A'!C516,Hoja4!A7)+COUNTIF('3. Evaluación Nivel A'!C538,Hoja4!A7)</f>
        <v>0</v>
      </c>
      <c r="O68" s="90">
        <f>N68*100/J63</f>
        <v>0</v>
      </c>
      <c r="P68" s="91">
        <f>IF(ISERROR((J68*100)/(J63-N68)),0,(J68*100)/(J63-N68))</f>
        <v>100</v>
      </c>
      <c r="Q68" s="91">
        <f>IF(ISERROR((L68*100)/(J63-N68)),0,(L68*100)/(J63-N68))</f>
        <v>0</v>
      </c>
    </row>
    <row r="69" spans="2:17" ht="19.5" thickBot="1" x14ac:dyDescent="0.35">
      <c r="B69" s="204" t="str">
        <f>'2.Páginas de la muestra'!C9</f>
        <v>login</v>
      </c>
      <c r="C69" s="205"/>
      <c r="D69" s="82" t="str">
        <f>IF('2.Páginas de la muestra'!B5&gt;1,K27,"")</f>
        <v/>
      </c>
      <c r="E69" s="81" t="str">
        <f>IF('2.Páginas de la muestra'!B5&gt;1,M27,"")</f>
        <v/>
      </c>
      <c r="F69" s="82" t="str">
        <f>IF('2.Páginas de la muestra'!B5&gt;1,O27,"")</f>
        <v/>
      </c>
      <c r="G69" s="169" t="str">
        <f>IF('2.Páginas de la muestra'!B5&gt;1,P27,"")</f>
        <v/>
      </c>
      <c r="I69" s="87" t="str">
        <f>'2.Páginas de la muestra'!C12</f>
        <v>Dashboard-Servicios</v>
      </c>
      <c r="J69" s="88">
        <f>COUNTIF('3. Evaluación Nivel A'!C517,Hoja4!A5)+COUNTIF('3. Evaluación Nivel A'!C539,Hoja4!A5)</f>
        <v>2</v>
      </c>
      <c r="K69" s="95">
        <f>J69*100/J63</f>
        <v>100</v>
      </c>
      <c r="L69" s="88">
        <f>COUNTIF('3. Evaluación Nivel A'!C517,Hoja4!A6)+COUNTIF('3. Evaluación Nivel A'!C539,Hoja4!A6)</f>
        <v>0</v>
      </c>
      <c r="M69" s="97">
        <f>L69*100/J63</f>
        <v>0</v>
      </c>
      <c r="N69" s="88">
        <f>COUNTIF('3. Evaluación Nivel A'!C517,Hoja4!A7)+COUNTIF('3. Evaluación Nivel A'!C539,Hoja4!A7)</f>
        <v>0</v>
      </c>
      <c r="O69" s="97">
        <f>N69*100/J63</f>
        <v>0</v>
      </c>
      <c r="P69" s="91">
        <f>IF(ISERROR((J69*100)/(J63-N69)),0,(J69*100)/(J63-N69))</f>
        <v>100</v>
      </c>
      <c r="Q69" s="91">
        <f>IF(ISERROR((L69*100)/(J63-N69)),0,(L69*100)/(J63-N69))</f>
        <v>0</v>
      </c>
    </row>
    <row r="70" spans="2:17" ht="19.5" thickBot="1" x14ac:dyDescent="0.35">
      <c r="B70" s="204" t="str">
        <f>'2.Páginas de la muestra'!C10</f>
        <v>Inicio-Dashboard</v>
      </c>
      <c r="C70" s="205"/>
      <c r="D70" s="82" t="str">
        <f>IF('2.Páginas de la muestra'!B5&gt;2,K28,"")</f>
        <v/>
      </c>
      <c r="E70" s="81" t="str">
        <f>IF('2.Páginas de la muestra'!B5&gt;2,M28,"")</f>
        <v/>
      </c>
      <c r="F70" s="82" t="str">
        <f>IF('2.Páginas de la muestra'!B5&gt;2,O28,"")</f>
        <v/>
      </c>
      <c r="G70" s="169" t="str">
        <f>IF('2.Páginas de la muestra'!B5&gt;2,P28,"")</f>
        <v/>
      </c>
      <c r="I70" s="87" t="str">
        <f>'2.Páginas de la muestra'!C13</f>
        <v>Dashboard-Reservas</v>
      </c>
      <c r="J70" s="88">
        <f>COUNTIF('3. Evaluación Nivel A'!C518,Hoja4!A5)+COUNTIF('3. Evaluación Nivel A'!C540,Hoja4!A5)</f>
        <v>2</v>
      </c>
      <c r="K70" s="100">
        <f>J70*100/J63</f>
        <v>100</v>
      </c>
      <c r="L70" s="88">
        <f>COUNTIF('3. Evaluación Nivel A'!C518,Hoja4!A6)+COUNTIF('3. Evaluación Nivel A'!C540,Hoja4!A6)</f>
        <v>0</v>
      </c>
      <c r="M70" s="102">
        <f>L70*100/J63</f>
        <v>0</v>
      </c>
      <c r="N70" s="88">
        <f>COUNTIF('3. Evaluación Nivel A'!C518,Hoja4!A7)+COUNTIF('3. Evaluación Nivel A'!C540,Hoja4!A7)</f>
        <v>0</v>
      </c>
      <c r="O70" s="102">
        <f>N70*100/J63</f>
        <v>0</v>
      </c>
      <c r="P70" s="103">
        <f>IF(ISERROR((J70*100)/(J63-N70)),0,(J70*100)/(J63-N70))</f>
        <v>100</v>
      </c>
      <c r="Q70" s="104">
        <f>IF(ISERROR((L70*100)/(J63-N70)),0,(L70*100)/(J63-N70))</f>
        <v>0</v>
      </c>
    </row>
    <row r="71" spans="2:17" ht="19.5" thickBot="1" x14ac:dyDescent="0.35">
      <c r="B71" s="204" t="str">
        <f>'2.Páginas de la muestra'!C11</f>
        <v>Dashboard-Usuarios</v>
      </c>
      <c r="C71" s="205"/>
      <c r="D71" s="82" t="str">
        <f>IF('2.Páginas de la muestra'!B5&gt;3,K29,"")</f>
        <v/>
      </c>
      <c r="E71" s="81" t="str">
        <f>IF('2.Páginas de la muestra'!B5&gt;3,M29,"")</f>
        <v/>
      </c>
      <c r="F71" s="82" t="str">
        <f>IF('2.Páginas de la muestra'!B5&gt;3,O29,"")</f>
        <v/>
      </c>
      <c r="G71" s="169" t="str">
        <f>IF('2.Páginas de la muestra'!B5&gt;3,P29,"")</f>
        <v/>
      </c>
      <c r="I71" s="87" t="str">
        <f>'2.Páginas de la muestra'!C14</f>
        <v>Dashboard-Reservas-clientes</v>
      </c>
      <c r="J71" s="88">
        <f>COUNTIF('3. Evaluación Nivel A'!C519,Hoja4!A5)+COUNTIF('3. Evaluación Nivel A'!C541,Hoja4!A5)</f>
        <v>2</v>
      </c>
      <c r="K71" s="100">
        <f>J71*100/J63</f>
        <v>100</v>
      </c>
      <c r="L71" s="88">
        <f>COUNTIF('3. Evaluación Nivel A'!C519,Hoja4!A6)+COUNTIF('3. Evaluación Nivel A'!C541,Hoja4!A6)</f>
        <v>0</v>
      </c>
      <c r="M71" s="102">
        <f>L71*100/J63</f>
        <v>0</v>
      </c>
      <c r="N71" s="88">
        <f>COUNTIF('3. Evaluación Nivel A'!C519,Hoja4!A7)+COUNTIF('3. Evaluación Nivel A'!C541,Hoja4!A7)</f>
        <v>0</v>
      </c>
      <c r="O71" s="102">
        <f>N71*100/J63</f>
        <v>0</v>
      </c>
      <c r="P71" s="103">
        <f>IF(ISERROR((J71*100)/(J63-N71)),0,(J71*100)/(J63-N71))</f>
        <v>100</v>
      </c>
      <c r="Q71" s="104">
        <f>IF(ISERROR((L71*100)/(J63-N71)),0,(L71*100)/(J63-N71))</f>
        <v>0</v>
      </c>
    </row>
    <row r="72" spans="2:17" ht="19.5" thickBot="1" x14ac:dyDescent="0.35">
      <c r="B72" s="204" t="str">
        <f>'2.Páginas de la muestra'!C12</f>
        <v>Dashboard-Servicios</v>
      </c>
      <c r="C72" s="205"/>
      <c r="D72" s="82" t="str">
        <f>IF('2.Páginas de la muestra'!B5&gt;4,K30,"")</f>
        <v/>
      </c>
      <c r="E72" s="81" t="str">
        <f>IF('2.Páginas de la muestra'!B5&gt;4,M30,"")</f>
        <v/>
      </c>
      <c r="F72" s="82" t="str">
        <f>IF('2.Páginas de la muestra'!B5&gt;4,O30,"")</f>
        <v/>
      </c>
      <c r="G72" s="169" t="str">
        <f>IF('2.Páginas de la muestra'!B5&gt;4,P30,"")</f>
        <v/>
      </c>
      <c r="I72" s="87" t="str">
        <f>'2.Páginas de la muestra'!C15</f>
        <v>ALIAS 8</v>
      </c>
      <c r="J72" s="88">
        <f>COUNTIF('3. Evaluación Nivel A'!C520,Hoja4!A5)+COUNTIF('3. Evaluación Nivel A'!C542,Hoja4!A5)</f>
        <v>0</v>
      </c>
      <c r="K72" s="100">
        <f>J72*100/J63</f>
        <v>0</v>
      </c>
      <c r="L72" s="88">
        <f>COUNTIF('3. Evaluación Nivel A'!C520,Hoja4!A6)+COUNTIF('3. Evaluación Nivel A'!C542,Hoja4!A6)</f>
        <v>0</v>
      </c>
      <c r="M72" s="102">
        <f>L72*100/J63</f>
        <v>0</v>
      </c>
      <c r="N72" s="88">
        <f>COUNTIF('3. Evaluación Nivel A'!C520,Hoja4!A7)+COUNTIF('3. Evaluación Nivel A'!C542,Hoja4!A7)</f>
        <v>0</v>
      </c>
      <c r="O72" s="102">
        <f>N72*100/J63</f>
        <v>0</v>
      </c>
      <c r="P72" s="103">
        <f>IF(ISERROR((J72*100)/(J63-N72)),0,(J72*100)/(J63-N72))</f>
        <v>0</v>
      </c>
      <c r="Q72" s="104">
        <f>IF(ISERROR((L72*100)/(J63-N72)),0,(L72*100)/(J63-N72))</f>
        <v>0</v>
      </c>
    </row>
    <row r="73" spans="2:17" ht="19.5" thickBot="1" x14ac:dyDescent="0.35">
      <c r="B73" s="204" t="str">
        <f>'2.Páginas de la muestra'!C13</f>
        <v>Dashboard-Reservas</v>
      </c>
      <c r="C73" s="205"/>
      <c r="D73" s="82" t="str">
        <f>IF('2.Páginas de la muestra'!B5&gt;5,K31,"")</f>
        <v/>
      </c>
      <c r="E73" s="81" t="str">
        <f>IF('2.Páginas de la muestra'!B5&gt;5,M31,"")</f>
        <v/>
      </c>
      <c r="F73" s="82" t="str">
        <f>IF('2.Páginas de la muestra'!B5&gt;5,O31,"")</f>
        <v/>
      </c>
      <c r="G73" s="169" t="str">
        <f>IF('2.Páginas de la muestra'!B5&gt;5,P31,"")</f>
        <v/>
      </c>
      <c r="I73" s="87" t="str">
        <f>'2.Páginas de la muestra'!C16</f>
        <v>ALIAS 9</v>
      </c>
      <c r="J73" s="88">
        <f>COUNTIF('3. Evaluación Nivel A'!C521,Hoja4!A5)+COUNTIF('3. Evaluación Nivel A'!C543,Hoja4!A5)</f>
        <v>0</v>
      </c>
      <c r="K73" s="100">
        <f>J73*100/J63</f>
        <v>0</v>
      </c>
      <c r="L73" s="88">
        <f>COUNTIF('3. Evaluación Nivel A'!C521,Hoja4!A6)+COUNTIF('3. Evaluación Nivel A'!C543,Hoja4!A6)</f>
        <v>0</v>
      </c>
      <c r="M73" s="102">
        <f>L73*100/J63</f>
        <v>0</v>
      </c>
      <c r="N73" s="88">
        <f>COUNTIF('3. Evaluación Nivel A'!C521,Hoja4!A7)+COUNTIF('3. Evaluación Nivel A'!C543,Hoja4!A7)</f>
        <v>0</v>
      </c>
      <c r="O73" s="102">
        <f>N73*100/J63</f>
        <v>0</v>
      </c>
      <c r="P73" s="103">
        <f>IF(ISERROR((J73*100)/(J63-N73)),0,(J73*100)/(J63-N73))</f>
        <v>0</v>
      </c>
      <c r="Q73" s="104">
        <f>IF(ISERROR((L73*100)/(J63-N73)),0,(L73*100)/(J63-N73))</f>
        <v>0</v>
      </c>
    </row>
    <row r="74" spans="2:17" ht="19.5" thickBot="1" x14ac:dyDescent="0.35">
      <c r="B74" s="204" t="str">
        <f>'2.Páginas de la muestra'!C14</f>
        <v>Dashboard-Reservas-clientes</v>
      </c>
      <c r="C74" s="205"/>
      <c r="D74" s="82" t="str">
        <f>IF('2.Páginas de la muestra'!B5&gt;6,K32,"")</f>
        <v/>
      </c>
      <c r="E74" s="81" t="str">
        <f>IF('2.Páginas de la muestra'!B5&gt;6,M32,"")</f>
        <v/>
      </c>
      <c r="F74" s="82" t="str">
        <f>IF('2.Páginas de la muestra'!B5&gt;6,O32,"")</f>
        <v/>
      </c>
      <c r="G74" s="169" t="str">
        <f>IF('2.Páginas de la muestra'!B5&gt;6,P32,"")</f>
        <v/>
      </c>
      <c r="I74" s="87" t="str">
        <f>'2.Páginas de la muestra'!C17</f>
        <v>ALIAS 10</v>
      </c>
      <c r="J74" s="88">
        <f>COUNTIF('3. Evaluación Nivel A'!C522,Hoja4!A5)+COUNTIF('3. Evaluación Nivel A'!C544,Hoja4!A5)</f>
        <v>0</v>
      </c>
      <c r="K74" s="100">
        <f>J74*100/J63</f>
        <v>0</v>
      </c>
      <c r="L74" s="88">
        <f>COUNTIF('3. Evaluación Nivel A'!C522,Hoja4!A6)+COUNTIF('3. Evaluación Nivel A'!C544,Hoja4!A6)</f>
        <v>0</v>
      </c>
      <c r="M74" s="102">
        <f>L74*100/J63</f>
        <v>0</v>
      </c>
      <c r="N74" s="88">
        <f>COUNTIF('3. Evaluación Nivel A'!C522,Hoja4!A7)+COUNTIF('3. Evaluación Nivel A'!C544,Hoja4!A7)</f>
        <v>0</v>
      </c>
      <c r="O74" s="102">
        <f>N74*100/J63</f>
        <v>0</v>
      </c>
      <c r="P74" s="103">
        <f>IF(ISERROR((J74*100)/(J63-N74)),0,(J74*100)/(J63-N74))</f>
        <v>0</v>
      </c>
      <c r="Q74" s="104">
        <f>IF(ISERROR((L74*100)/(J63-N74)),0,(L74*100)/(J63-N74))</f>
        <v>0</v>
      </c>
    </row>
    <row r="75" spans="2:17" ht="19.5" thickBot="1" x14ac:dyDescent="0.35">
      <c r="B75" s="204" t="str">
        <f>'2.Páginas de la muestra'!C15</f>
        <v>ALIAS 8</v>
      </c>
      <c r="C75" s="205"/>
      <c r="D75" s="82" t="str">
        <f>IF('2.Páginas de la muestra'!B5&gt;7,K33,"")</f>
        <v/>
      </c>
      <c r="E75" s="81" t="str">
        <f>IF('2.Páginas de la muestra'!B5&gt;7,M33,"")</f>
        <v/>
      </c>
      <c r="F75" s="82" t="str">
        <f>IF('2.Páginas de la muestra'!B5&gt;7,O33,"")</f>
        <v/>
      </c>
      <c r="G75" s="169" t="str">
        <f>IF('2.Páginas de la muestra'!B5&gt;7,P33,"")</f>
        <v/>
      </c>
      <c r="I75" s="87" t="str">
        <f>'2.Páginas de la muestra'!C18</f>
        <v>ALIAS 11</v>
      </c>
      <c r="J75" s="88">
        <f>COUNTIF('3. Evaluación Nivel A'!C523,Hoja4!A5)+COUNTIF('3. Evaluación Nivel A'!C545,Hoja4!A5)</f>
        <v>0</v>
      </c>
      <c r="K75" s="100">
        <f>J75*100/J63</f>
        <v>0</v>
      </c>
      <c r="L75" s="88">
        <f>COUNTIF('3. Evaluación Nivel A'!C523,Hoja4!A6)+COUNTIF('3. Evaluación Nivel A'!C545,Hoja4!A6)</f>
        <v>0</v>
      </c>
      <c r="M75" s="102">
        <f>L75*100/J63</f>
        <v>0</v>
      </c>
      <c r="N75" s="88">
        <f>COUNTIF('3. Evaluación Nivel A'!C523,Hoja4!A7)+COUNTIF('3. Evaluación Nivel A'!C545,Hoja4!A7)</f>
        <v>0</v>
      </c>
      <c r="O75" s="102">
        <f>N75*100/J63</f>
        <v>0</v>
      </c>
      <c r="P75" s="103">
        <f>IF(ISERROR((J75*100)/(J63-N75)),0,(J75*100)/(J63-N75))</f>
        <v>0</v>
      </c>
      <c r="Q75" s="104">
        <f>IF(ISERROR((L75*100)/(J63-N75)),0,(L75*100)/(J63-N75))</f>
        <v>0</v>
      </c>
    </row>
    <row r="76" spans="2:17" ht="19.5" thickBot="1" x14ac:dyDescent="0.35">
      <c r="B76" s="204" t="str">
        <f>'2.Páginas de la muestra'!C16</f>
        <v>ALIAS 9</v>
      </c>
      <c r="C76" s="205"/>
      <c r="D76" s="82" t="str">
        <f>IF('2.Páginas de la muestra'!B5&gt;8,K34,"")</f>
        <v/>
      </c>
      <c r="E76" s="81" t="str">
        <f>IF('2.Páginas de la muestra'!B5&gt;8,M34,"")</f>
        <v/>
      </c>
      <c r="F76" s="82" t="str">
        <f>IF('2.Páginas de la muestra'!B5&gt;8,O34,"")</f>
        <v/>
      </c>
      <c r="G76" s="169" t="str">
        <f>IF('2.Páginas de la muestra'!B5&gt;8,P34,"")</f>
        <v/>
      </c>
      <c r="I76" s="87" t="str">
        <f>'2.Páginas de la muestra'!C19</f>
        <v>ALIAS 12</v>
      </c>
      <c r="J76" s="88">
        <f>COUNTIF('3. Evaluación Nivel A'!C524,Hoja4!A5)+COUNTIF('3. Evaluación Nivel A'!C546,Hoja4!A5)</f>
        <v>0</v>
      </c>
      <c r="K76" s="100">
        <f>J76*100/J63</f>
        <v>0</v>
      </c>
      <c r="L76" s="88">
        <f>COUNTIF('3. Evaluación Nivel A'!C524,Hoja4!A6)+COUNTIF('3. Evaluación Nivel A'!C546,Hoja4!A6)</f>
        <v>0</v>
      </c>
      <c r="M76" s="102">
        <f>L76*100/J63</f>
        <v>0</v>
      </c>
      <c r="N76" s="88">
        <f>COUNTIF('3. Evaluación Nivel A'!C524,Hoja4!A7)+COUNTIF('3. Evaluación Nivel A'!C546,Hoja4!A7)</f>
        <v>0</v>
      </c>
      <c r="O76" s="102">
        <f>N76*100/J63</f>
        <v>0</v>
      </c>
      <c r="P76" s="103">
        <f>IF(ISERROR((J76*100)/(J63-N76)),0,(J76*100)/(J63-N76))</f>
        <v>0</v>
      </c>
      <c r="Q76" s="104">
        <f>IF(ISERROR((L76*100)/(J63-N76)),0,(L76*100)/(J63-N76))</f>
        <v>0</v>
      </c>
    </row>
    <row r="77" spans="2:17" ht="19.5" thickBot="1" x14ac:dyDescent="0.35">
      <c r="B77" s="204" t="str">
        <f>'2.Páginas de la muestra'!C17</f>
        <v>ALIAS 10</v>
      </c>
      <c r="C77" s="205"/>
      <c r="D77" s="82" t="str">
        <f>IF('2.Páginas de la muestra'!B5&gt;9,K35,"")</f>
        <v/>
      </c>
      <c r="E77" s="81" t="str">
        <f>IF('2.Páginas de la muestra'!B5&gt;9,M35,"")</f>
        <v/>
      </c>
      <c r="F77" s="82" t="str">
        <f>IF('2.Páginas de la muestra'!B5&gt;9,O35,"")</f>
        <v/>
      </c>
      <c r="G77" s="169" t="str">
        <f>IF('2.Páginas de la muestra'!B5&gt;9,P35,"")</f>
        <v/>
      </c>
      <c r="I77" s="87" t="str">
        <f>'2.Páginas de la muestra'!C20</f>
        <v>ALIAS 13</v>
      </c>
      <c r="J77" s="88">
        <f>COUNTIF('3. Evaluación Nivel A'!C525,Hoja4!A5)+COUNTIF('3. Evaluación Nivel A'!C547,Hoja4!A5)</f>
        <v>0</v>
      </c>
      <c r="K77" s="100">
        <f>J77*100/J63</f>
        <v>0</v>
      </c>
      <c r="L77" s="88">
        <f>COUNTIF('3. Evaluación Nivel A'!C525,Hoja4!A6)+COUNTIF('3. Evaluación Nivel A'!C547,Hoja4!A6)</f>
        <v>0</v>
      </c>
      <c r="M77" s="102">
        <f>L77*100/J63</f>
        <v>0</v>
      </c>
      <c r="N77" s="88">
        <f>COUNTIF('3. Evaluación Nivel A'!C525,Hoja4!A7)+COUNTIF('3. Evaluación Nivel A'!C547,Hoja4!A7)</f>
        <v>0</v>
      </c>
      <c r="O77" s="102">
        <f>N77*100/J63</f>
        <v>0</v>
      </c>
      <c r="P77" s="103">
        <f>IF(ISERROR((J77*100)/(J63-N77)),0,(J77*100)/(J63-N77))</f>
        <v>0</v>
      </c>
      <c r="Q77" s="104">
        <f>IF(ISERROR((L77*100)/(J63-N77)),0,(L77*100)/(J63-N77))</f>
        <v>0</v>
      </c>
    </row>
    <row r="78" spans="2:17" ht="19.5" thickBot="1" x14ac:dyDescent="0.35">
      <c r="B78" s="204" t="str">
        <f>'2.Páginas de la muestra'!C18</f>
        <v>ALIAS 11</v>
      </c>
      <c r="C78" s="205"/>
      <c r="D78" s="82" t="str">
        <f>IF('2.Páginas de la muestra'!B5&gt;10,K36,"")</f>
        <v/>
      </c>
      <c r="E78" s="81" t="str">
        <f>IF('2.Páginas de la muestra'!B5&gt;10,M36,"")</f>
        <v/>
      </c>
      <c r="F78" s="82" t="str">
        <f>IF('2.Páginas de la muestra'!B5&gt;10,O36,"")</f>
        <v/>
      </c>
      <c r="G78" s="169" t="str">
        <f>IF('2.Páginas de la muestra'!B5&gt;10,P36,"")</f>
        <v/>
      </c>
      <c r="I78" s="87" t="str">
        <f>'2.Páginas de la muestra'!C21</f>
        <v>ALIAS 14</v>
      </c>
      <c r="J78" s="88">
        <f>COUNTIF('3. Evaluación Nivel A'!C526,Hoja4!A5)+COUNTIF('3. Evaluación Nivel A'!C548,Hoja4!A5)</f>
        <v>0</v>
      </c>
      <c r="K78" s="100">
        <f>J78*100/J63</f>
        <v>0</v>
      </c>
      <c r="L78" s="88">
        <f>COUNTIF('3. Evaluación Nivel A'!C526,Hoja4!A6)+COUNTIF('3. Evaluación Nivel A'!C548,Hoja4!A6)</f>
        <v>0</v>
      </c>
      <c r="M78" s="102">
        <f>L78*100/J63</f>
        <v>0</v>
      </c>
      <c r="N78" s="88">
        <f>COUNTIF('3. Evaluación Nivel A'!C526,Hoja4!A7)+COUNTIF('3. Evaluación Nivel A'!C548,Hoja4!A7)</f>
        <v>0</v>
      </c>
      <c r="O78" s="102">
        <f>N78*100/J63</f>
        <v>0</v>
      </c>
      <c r="P78" s="103">
        <f>IF(ISERROR((J78*100)/(J63-N78)),0,(J78*100)/(J63-N78))</f>
        <v>0</v>
      </c>
      <c r="Q78" s="104">
        <f>IF(ISERROR((L78*100)/(J63-N78)),0,(L78*100)/(J63-N78))</f>
        <v>0</v>
      </c>
    </row>
    <row r="79" spans="2:17" ht="19.5" thickBot="1" x14ac:dyDescent="0.35">
      <c r="B79" s="204" t="str">
        <f>'2.Páginas de la muestra'!C19</f>
        <v>ALIAS 12</v>
      </c>
      <c r="C79" s="205"/>
      <c r="D79" s="82" t="str">
        <f>IF('2.Páginas de la muestra'!B5&gt;11,K37,"")</f>
        <v/>
      </c>
      <c r="E79" s="81" t="str">
        <f>IF('2.Páginas de la muestra'!B5&gt;11,M37,"")</f>
        <v/>
      </c>
      <c r="F79" s="82" t="str">
        <f>IF('2.Páginas de la muestra'!B5&gt;11,O37,"")</f>
        <v/>
      </c>
      <c r="G79" s="169" t="str">
        <f>IF('2.Páginas de la muestra'!B5&gt;11,P37,"")</f>
        <v/>
      </c>
      <c r="I79" s="87" t="str">
        <f>'2.Páginas de la muestra'!C22</f>
        <v>ALIAS 15</v>
      </c>
      <c r="J79" s="88">
        <f>COUNTIF('3. Evaluación Nivel A'!C527,Hoja4!A5)+COUNTIF('3. Evaluación Nivel A'!C549,Hoja4!A5)</f>
        <v>0</v>
      </c>
      <c r="K79" s="100">
        <f>J79*100/J63</f>
        <v>0</v>
      </c>
      <c r="L79" s="88">
        <f>COUNTIF('3. Evaluación Nivel A'!C527,Hoja4!A6)+COUNTIF('3. Evaluación Nivel A'!C549,Hoja4!A6)</f>
        <v>0</v>
      </c>
      <c r="M79" s="102">
        <f>L79*100/J63</f>
        <v>0</v>
      </c>
      <c r="N79" s="88">
        <f>COUNTIF('3. Evaluación Nivel A'!C527,Hoja4!A7)+COUNTIF('3. Evaluación Nivel A'!C549,Hoja4!A7)</f>
        <v>0</v>
      </c>
      <c r="O79" s="102">
        <f>N79*100/J63</f>
        <v>0</v>
      </c>
      <c r="P79" s="103">
        <f>IF(ISERROR((J79*100)/(J63-N79)),0,(J79*100)/(J63-N79))</f>
        <v>0</v>
      </c>
      <c r="Q79" s="104">
        <f>IF(ISERROR((L79*100)/(J63-N79)),0,(L79*100)/(J63-N79))</f>
        <v>0</v>
      </c>
    </row>
    <row r="80" spans="2:17" ht="19.5" thickBot="1" x14ac:dyDescent="0.35">
      <c r="B80" s="204" t="str">
        <f>'2.Páginas de la muestra'!C20</f>
        <v>ALIAS 13</v>
      </c>
      <c r="C80" s="205"/>
      <c r="D80" s="82" t="str">
        <f>IF('2.Páginas de la muestra'!B5&gt;12,K38,"")</f>
        <v/>
      </c>
      <c r="E80" s="81" t="str">
        <f>IF('2.Páginas de la muestra'!B5&gt;12,M38,"")</f>
        <v/>
      </c>
      <c r="F80" s="82" t="str">
        <f>IF('2.Páginas de la muestra'!B5&gt;12,O38,"")</f>
        <v/>
      </c>
      <c r="G80" s="169" t="str">
        <f>IF('2.Páginas de la muestra'!B5&gt;12,P38,"")</f>
        <v/>
      </c>
      <c r="I80" s="71"/>
      <c r="J80" s="71"/>
      <c r="K80" s="71"/>
      <c r="L80" s="71"/>
      <c r="M80" s="71"/>
      <c r="N80" s="71"/>
      <c r="O80" s="71"/>
      <c r="P80" s="71"/>
      <c r="Q80" s="71"/>
    </row>
    <row r="81" spans="2:17" ht="19.5" thickBot="1" x14ac:dyDescent="0.35">
      <c r="B81" s="204" t="str">
        <f>'2.Páginas de la muestra'!C21</f>
        <v>ALIAS 14</v>
      </c>
      <c r="C81" s="205"/>
      <c r="D81" s="82" t="str">
        <f>IF('2.Páginas de la muestra'!B5&gt;13,K39,"")</f>
        <v/>
      </c>
      <c r="E81" s="81" t="str">
        <f>IF('2.Páginas de la muestra'!B5&gt;13,M39,"")</f>
        <v/>
      </c>
      <c r="F81" s="82" t="str">
        <f>IF('2.Páginas de la muestra'!B5&gt;13,O39,"")</f>
        <v/>
      </c>
      <c r="G81" s="169" t="str">
        <f>IF('2.Páginas de la muestra'!B5&gt;13,P39,"")</f>
        <v/>
      </c>
      <c r="I81" s="71"/>
      <c r="J81" s="71"/>
      <c r="K81" s="71"/>
      <c r="L81" s="71"/>
      <c r="M81" s="71"/>
      <c r="N81" s="71"/>
      <c r="O81" s="71"/>
      <c r="P81" s="71"/>
      <c r="Q81" s="71"/>
    </row>
    <row r="82" spans="2:17" ht="19.5" thickBot="1" x14ac:dyDescent="0.35">
      <c r="B82" s="204" t="str">
        <f>'2.Páginas de la muestra'!C22</f>
        <v>ALIAS 15</v>
      </c>
      <c r="C82" s="205"/>
      <c r="D82" s="82" t="str">
        <f>IF('2.Páginas de la muestra'!B5&gt;14,K40,"")</f>
        <v/>
      </c>
      <c r="E82" s="81" t="str">
        <f>IF('2.Páginas de la muestra'!B5&gt;14,M40,"")</f>
        <v/>
      </c>
      <c r="F82" s="82" t="str">
        <f>IF('2.Páginas de la muestra'!B5&gt;14,O40,"")</f>
        <v/>
      </c>
      <c r="G82" s="169" t="str">
        <f>IF('2.Páginas de la muestra'!B5&gt;14,P40,"")</f>
        <v/>
      </c>
      <c r="I82" s="71"/>
      <c r="J82" s="71"/>
      <c r="K82" s="71"/>
      <c r="L82" s="71"/>
      <c r="M82" s="71"/>
      <c r="N82" s="71"/>
      <c r="O82" s="71"/>
      <c r="P82" s="71"/>
      <c r="Q82" s="71"/>
    </row>
    <row r="83" spans="2:17" ht="19.5" thickBot="1" x14ac:dyDescent="0.35">
      <c r="B83" s="208" t="s">
        <v>133</v>
      </c>
      <c r="C83" s="209"/>
      <c r="D83" s="70">
        <f>AVERAGE(D68:D82)</f>
        <v>41.666666666666664</v>
      </c>
      <c r="E83" s="69">
        <f>AVERAGE(E68:E82)</f>
        <v>25</v>
      </c>
      <c r="F83" s="70">
        <f>AVERAGE(F68:F82)</f>
        <v>33.333333333333336</v>
      </c>
      <c r="G83" s="69">
        <f>AVERAGE(G68:G82)</f>
        <v>62.5</v>
      </c>
      <c r="I83" s="71"/>
      <c r="J83" s="71"/>
      <c r="K83" s="71"/>
      <c r="L83" s="71"/>
      <c r="M83" s="71"/>
      <c r="N83" s="71"/>
      <c r="O83" s="71"/>
      <c r="P83" s="71"/>
      <c r="Q83" s="71"/>
    </row>
    <row r="84" spans="2:17" ht="18.75" x14ac:dyDescent="0.3">
      <c r="B84" s="71"/>
      <c r="C84" s="71"/>
      <c r="D84" s="71"/>
      <c r="E84" s="71"/>
      <c r="F84" s="71"/>
      <c r="G84" s="71"/>
      <c r="I84" s="71"/>
      <c r="J84" s="71"/>
      <c r="K84" s="71"/>
      <c r="L84" s="71"/>
      <c r="M84" s="71"/>
      <c r="N84" s="71"/>
      <c r="O84" s="71"/>
      <c r="P84" s="71"/>
      <c r="Q84" s="71"/>
    </row>
    <row r="85" spans="2:17" ht="19.5" thickBot="1" x14ac:dyDescent="0.35">
      <c r="B85" s="202" t="s">
        <v>138</v>
      </c>
      <c r="C85" s="202"/>
      <c r="D85" s="202"/>
      <c r="E85" s="202"/>
      <c r="F85" s="202"/>
      <c r="G85" s="202"/>
      <c r="I85" s="71"/>
      <c r="J85" s="71"/>
      <c r="K85" s="71"/>
      <c r="L85" s="71"/>
      <c r="M85" s="71"/>
      <c r="N85" s="71"/>
      <c r="O85" s="71"/>
      <c r="P85" s="71"/>
      <c r="Q85" s="71"/>
    </row>
    <row r="86" spans="2:17" ht="19.5" thickBot="1" x14ac:dyDescent="0.35">
      <c r="B86" s="206" t="s">
        <v>3</v>
      </c>
      <c r="C86" s="207"/>
      <c r="D86" s="65" t="s">
        <v>128</v>
      </c>
      <c r="E86" s="65" t="s">
        <v>129</v>
      </c>
      <c r="F86" s="64" t="s">
        <v>130</v>
      </c>
      <c r="G86" s="65" t="s">
        <v>131</v>
      </c>
    </row>
    <row r="87" spans="2:17" ht="19.5" thickBot="1" x14ac:dyDescent="0.35">
      <c r="B87" s="204" t="str">
        <f>'2.Páginas de la muestra'!C8</f>
        <v>Inicio</v>
      </c>
      <c r="C87" s="205"/>
      <c r="D87" s="82">
        <f>IF('2.Páginas de la muestra'!B5&gt;0,K46,"")</f>
        <v>90</v>
      </c>
      <c r="E87" s="81">
        <f>IF('2.Páginas de la muestra'!B5&gt;0,M46,"")</f>
        <v>0</v>
      </c>
      <c r="F87" s="82">
        <f>IF('2.Páginas de la muestra'!B5&gt;0,O46,"")</f>
        <v>10</v>
      </c>
      <c r="G87" s="169">
        <f>IF('2.Páginas de la muestra'!B5&gt;0,P46,"")</f>
        <v>100</v>
      </c>
    </row>
    <row r="88" spans="2:17" ht="19.5" thickBot="1" x14ac:dyDescent="0.35">
      <c r="B88" s="204" t="str">
        <f>'2.Páginas de la muestra'!C9</f>
        <v>login</v>
      </c>
      <c r="C88" s="205"/>
      <c r="D88" s="82" t="str">
        <f>IF('2.Páginas de la muestra'!B5&gt;1,K47,"")</f>
        <v/>
      </c>
      <c r="E88" s="81" t="str">
        <f>IF('2.Páginas de la muestra'!B5&gt;1,M47,"")</f>
        <v/>
      </c>
      <c r="F88" s="82" t="str">
        <f>IF('2.Páginas de la muestra'!B5&gt;1,O47,"")</f>
        <v/>
      </c>
      <c r="G88" s="169" t="str">
        <f>IF('2.Páginas de la muestra'!B5&gt;1,P47,"")</f>
        <v/>
      </c>
    </row>
    <row r="89" spans="2:17" ht="19.5" thickBot="1" x14ac:dyDescent="0.35">
      <c r="B89" s="204" t="str">
        <f>'2.Páginas de la muestra'!C10</f>
        <v>Inicio-Dashboard</v>
      </c>
      <c r="C89" s="205"/>
      <c r="D89" s="82" t="str">
        <f>IF('2.Páginas de la muestra'!B5&gt;2,K48,"")</f>
        <v/>
      </c>
      <c r="E89" s="81" t="str">
        <f>IF('2.Páginas de la muestra'!B5&gt;2,M48,"")</f>
        <v/>
      </c>
      <c r="F89" s="82" t="str">
        <f>IF('2.Páginas de la muestra'!B5&gt;2,O48,"")</f>
        <v/>
      </c>
      <c r="G89" s="169" t="str">
        <f>IF('2.Páginas de la muestra'!B5&gt;2,P48,"")</f>
        <v/>
      </c>
    </row>
    <row r="90" spans="2:17" ht="19.5" thickBot="1" x14ac:dyDescent="0.35">
      <c r="B90" s="204" t="str">
        <f>'2.Páginas de la muestra'!C11</f>
        <v>Dashboard-Usuarios</v>
      </c>
      <c r="C90" s="205"/>
      <c r="D90" s="82" t="str">
        <f>IF('2.Páginas de la muestra'!B5&gt;3,K49,"")</f>
        <v/>
      </c>
      <c r="E90" s="81" t="str">
        <f>IF('2.Páginas de la muestra'!B5&gt;3,M49,"")</f>
        <v/>
      </c>
      <c r="F90" s="82" t="str">
        <f>IF('2.Páginas de la muestra'!B5&gt;3,O49,"")</f>
        <v/>
      </c>
      <c r="G90" s="169" t="str">
        <f>IF('2.Páginas de la muestra'!B5&gt;3,P49,"")</f>
        <v/>
      </c>
    </row>
    <row r="91" spans="2:17" ht="19.5" thickBot="1" x14ac:dyDescent="0.35">
      <c r="B91" s="204" t="str">
        <f>'2.Páginas de la muestra'!C12</f>
        <v>Dashboard-Servicios</v>
      </c>
      <c r="C91" s="205"/>
      <c r="D91" s="82" t="str">
        <f>IF('2.Páginas de la muestra'!B5&gt;4,K50,"")</f>
        <v/>
      </c>
      <c r="E91" s="81" t="str">
        <f>IF('2.Páginas de la muestra'!B5&gt;4,M50,"")</f>
        <v/>
      </c>
      <c r="F91" s="82" t="str">
        <f>IF('2.Páginas de la muestra'!B5&gt;4,O50,"")</f>
        <v/>
      </c>
      <c r="G91" s="169" t="str">
        <f>IF('2.Páginas de la muestra'!B5&gt;4,P50,"")</f>
        <v/>
      </c>
    </row>
    <row r="92" spans="2:17" ht="19.5" thickBot="1" x14ac:dyDescent="0.35">
      <c r="B92" s="204" t="str">
        <f>'2.Páginas de la muestra'!C13</f>
        <v>Dashboard-Reservas</v>
      </c>
      <c r="C92" s="205"/>
      <c r="D92" s="82" t="str">
        <f>IF('2.Páginas de la muestra'!B5&gt;5,K51,"")</f>
        <v/>
      </c>
      <c r="E92" s="81" t="str">
        <f>IF('2.Páginas de la muestra'!B5&gt;5,M51,"")</f>
        <v/>
      </c>
      <c r="F92" s="82" t="str">
        <f>IF('2.Páginas de la muestra'!B5&gt;5,O51,"")</f>
        <v/>
      </c>
      <c r="G92" s="169" t="str">
        <f>IF('2.Páginas de la muestra'!B5&gt;5,P51,"")</f>
        <v/>
      </c>
    </row>
    <row r="93" spans="2:17" ht="19.5" thickBot="1" x14ac:dyDescent="0.35">
      <c r="B93" s="204" t="str">
        <f>'2.Páginas de la muestra'!C14</f>
        <v>Dashboard-Reservas-clientes</v>
      </c>
      <c r="C93" s="205"/>
      <c r="D93" s="82" t="str">
        <f>IF('2.Páginas de la muestra'!B5&gt;6,K52,"")</f>
        <v/>
      </c>
      <c r="E93" s="81" t="str">
        <f>IF('2.Páginas de la muestra'!B5&gt;6,M52,"")</f>
        <v/>
      </c>
      <c r="F93" s="82" t="str">
        <f>IF('2.Páginas de la muestra'!B5&gt;6,O52,"")</f>
        <v/>
      </c>
      <c r="G93" s="169" t="str">
        <f>IF('2.Páginas de la muestra'!B5&gt;6,P52,"")</f>
        <v/>
      </c>
    </row>
    <row r="94" spans="2:17" ht="19.5" thickBot="1" x14ac:dyDescent="0.35">
      <c r="B94" s="204" t="str">
        <f>'2.Páginas de la muestra'!C15</f>
        <v>ALIAS 8</v>
      </c>
      <c r="C94" s="205"/>
      <c r="D94" s="82" t="str">
        <f>IF('2.Páginas de la muestra'!B5&gt;7,K53,"")</f>
        <v/>
      </c>
      <c r="E94" s="81" t="str">
        <f>IF('2.Páginas de la muestra'!B5&gt;7,M53,"")</f>
        <v/>
      </c>
      <c r="F94" s="82" t="str">
        <f>IF('2.Páginas de la muestra'!B5&gt;7,O53,"")</f>
        <v/>
      </c>
      <c r="G94" s="169" t="str">
        <f>IF('2.Páginas de la muestra'!B5&gt;7,P53,"")</f>
        <v/>
      </c>
    </row>
    <row r="95" spans="2:17" ht="19.5" thickBot="1" x14ac:dyDescent="0.35">
      <c r="B95" s="204" t="str">
        <f>'2.Páginas de la muestra'!C16</f>
        <v>ALIAS 9</v>
      </c>
      <c r="C95" s="205"/>
      <c r="D95" s="82" t="str">
        <f>IF('2.Páginas de la muestra'!B5&gt;8,K54,"")</f>
        <v/>
      </c>
      <c r="E95" s="81" t="str">
        <f>IF('2.Páginas de la muestra'!B5&gt;8,M54,"")</f>
        <v/>
      </c>
      <c r="F95" s="82" t="str">
        <f>IF('2.Páginas de la muestra'!B5&gt;8,O54,"")</f>
        <v/>
      </c>
      <c r="G95" s="169" t="str">
        <f>IF('2.Páginas de la muestra'!B5&gt;8,P54,"")</f>
        <v/>
      </c>
    </row>
    <row r="96" spans="2:17" ht="19.5" thickBot="1" x14ac:dyDescent="0.35">
      <c r="B96" s="204" t="str">
        <f>'2.Páginas de la muestra'!C17</f>
        <v>ALIAS 10</v>
      </c>
      <c r="C96" s="205"/>
      <c r="D96" s="82" t="str">
        <f>IF('2.Páginas de la muestra'!B5&gt;9,K55,"")</f>
        <v/>
      </c>
      <c r="E96" s="81" t="str">
        <f>IF('2.Páginas de la muestra'!B5&gt;9,M55,"")</f>
        <v/>
      </c>
      <c r="F96" s="82" t="str">
        <f>IF('2.Páginas de la muestra'!B5&gt;9,O55,"")</f>
        <v/>
      </c>
      <c r="G96" s="169" t="str">
        <f>IF('2.Páginas de la muestra'!B5&gt;9,P55,"")</f>
        <v/>
      </c>
    </row>
    <row r="97" spans="2:7" ht="19.5" thickBot="1" x14ac:dyDescent="0.35">
      <c r="B97" s="204" t="str">
        <f>'2.Páginas de la muestra'!C18</f>
        <v>ALIAS 11</v>
      </c>
      <c r="C97" s="205"/>
      <c r="D97" s="82" t="str">
        <f>IF('2.Páginas de la muestra'!B5&gt;10,K56,"")</f>
        <v/>
      </c>
      <c r="E97" s="81" t="str">
        <f>IF('2.Páginas de la muestra'!B5&gt;10,M56,"")</f>
        <v/>
      </c>
      <c r="F97" s="82" t="str">
        <f>IF('2.Páginas de la muestra'!B5&gt;10,O56,"")</f>
        <v/>
      </c>
      <c r="G97" s="169" t="str">
        <f>IF('2.Páginas de la muestra'!B5&gt;10,P56,"")</f>
        <v/>
      </c>
    </row>
    <row r="98" spans="2:7" ht="19.5" thickBot="1" x14ac:dyDescent="0.35">
      <c r="B98" s="204" t="str">
        <f>'2.Páginas de la muestra'!C19</f>
        <v>ALIAS 12</v>
      </c>
      <c r="C98" s="205"/>
      <c r="D98" s="82" t="str">
        <f>IF('2.Páginas de la muestra'!B5&gt;11,K57,"")</f>
        <v/>
      </c>
      <c r="E98" s="81" t="str">
        <f>IF('2.Páginas de la muestra'!B5&gt;11,M57,"")</f>
        <v/>
      </c>
      <c r="F98" s="82" t="str">
        <f>IF('2.Páginas de la muestra'!B5&gt;11,O57,"")</f>
        <v/>
      </c>
      <c r="G98" s="169" t="str">
        <f>IF('2.Páginas de la muestra'!B5&gt;11,P57,"")</f>
        <v/>
      </c>
    </row>
    <row r="99" spans="2:7" ht="19.5" thickBot="1" x14ac:dyDescent="0.35">
      <c r="B99" s="204" t="str">
        <f>'2.Páginas de la muestra'!C20</f>
        <v>ALIAS 13</v>
      </c>
      <c r="C99" s="205"/>
      <c r="D99" s="82" t="str">
        <f>IF('2.Páginas de la muestra'!B5&gt;12,K58,"")</f>
        <v/>
      </c>
      <c r="E99" s="81" t="str">
        <f>IF('2.Páginas de la muestra'!B5&gt;12,M58,"")</f>
        <v/>
      </c>
      <c r="F99" s="82" t="str">
        <f>IF('2.Páginas de la muestra'!B5&gt;12,O58,"")</f>
        <v/>
      </c>
      <c r="G99" s="169" t="str">
        <f>IF('2.Páginas de la muestra'!B5&gt;12,P58,"")</f>
        <v/>
      </c>
    </row>
    <row r="100" spans="2:7" ht="19.5" thickBot="1" x14ac:dyDescent="0.35">
      <c r="B100" s="204" t="str">
        <f>'2.Páginas de la muestra'!C21</f>
        <v>ALIAS 14</v>
      </c>
      <c r="C100" s="205"/>
      <c r="D100" s="82" t="str">
        <f>IF('2.Páginas de la muestra'!B5&gt;13,K59,"")</f>
        <v/>
      </c>
      <c r="E100" s="81" t="str">
        <f>IF('2.Páginas de la muestra'!B5&gt;13,M59,"")</f>
        <v/>
      </c>
      <c r="F100" s="82" t="str">
        <f>IF('2.Páginas de la muestra'!B5&gt;13,O59,"")</f>
        <v/>
      </c>
      <c r="G100" s="169" t="str">
        <f>IF('2.Páginas de la muestra'!B5&gt;13,P59,"")</f>
        <v/>
      </c>
    </row>
    <row r="101" spans="2:7" ht="19.5" thickBot="1" x14ac:dyDescent="0.35">
      <c r="B101" s="204" t="str">
        <f>'2.Páginas de la muestra'!C22</f>
        <v>ALIAS 15</v>
      </c>
      <c r="C101" s="205"/>
      <c r="D101" s="82" t="str">
        <f>IF('2.Páginas de la muestra'!B5&gt;14,K60,"")</f>
        <v/>
      </c>
      <c r="E101" s="81" t="str">
        <f>IF('2.Páginas de la muestra'!B5&gt;14,M60,"")</f>
        <v/>
      </c>
      <c r="F101" s="82" t="str">
        <f>IF('2.Páginas de la muestra'!B5&gt;14,O60,"")</f>
        <v/>
      </c>
      <c r="G101" s="169" t="str">
        <f>IF('2.Páginas de la muestra'!B5&gt;14,P60,"")</f>
        <v/>
      </c>
    </row>
    <row r="102" spans="2:7" ht="19.5" thickBot="1" x14ac:dyDescent="0.35">
      <c r="B102" s="208" t="s">
        <v>133</v>
      </c>
      <c r="C102" s="209"/>
      <c r="D102" s="70">
        <f>AVERAGE(D87:D101)</f>
        <v>90</v>
      </c>
      <c r="E102" s="69">
        <f>AVERAGE(E87:E101)</f>
        <v>0</v>
      </c>
      <c r="F102" s="70">
        <f>AVERAGE(F87:F101)</f>
        <v>10</v>
      </c>
      <c r="G102" s="69">
        <f>AVERAGE(G87:G101)</f>
        <v>100</v>
      </c>
    </row>
    <row r="103" spans="2:7" ht="18.75" x14ac:dyDescent="0.3">
      <c r="B103" s="71"/>
      <c r="C103" s="71"/>
      <c r="D103" s="71"/>
      <c r="E103" s="71"/>
      <c r="F103" s="71"/>
      <c r="G103" s="71"/>
    </row>
    <row r="104" spans="2:7" ht="19.5" thickBot="1" x14ac:dyDescent="0.35">
      <c r="B104" s="202" t="s">
        <v>139</v>
      </c>
      <c r="C104" s="202"/>
      <c r="D104" s="202"/>
      <c r="E104" s="202"/>
      <c r="F104" s="202"/>
      <c r="G104" s="202"/>
    </row>
    <row r="105" spans="2:7" ht="19.5" thickBot="1" x14ac:dyDescent="0.35">
      <c r="B105" s="206" t="s">
        <v>3</v>
      </c>
      <c r="C105" s="207"/>
      <c r="D105" s="65" t="s">
        <v>128</v>
      </c>
      <c r="E105" s="65" t="s">
        <v>129</v>
      </c>
      <c r="F105" s="64" t="s">
        <v>130</v>
      </c>
      <c r="G105" s="65" t="s">
        <v>131</v>
      </c>
    </row>
    <row r="106" spans="2:7" ht="19.5" thickBot="1" x14ac:dyDescent="0.35">
      <c r="B106" s="204" t="str">
        <f>'2.Páginas de la muestra'!C8</f>
        <v>Inicio</v>
      </c>
      <c r="C106" s="205"/>
      <c r="D106" s="82">
        <f>IF('2.Páginas de la muestra'!B5&gt;0,K65,"")</f>
        <v>100</v>
      </c>
      <c r="E106" s="81">
        <f>IF('2.Páginas de la muestra'!B5&gt;0,M65,"")</f>
        <v>0</v>
      </c>
      <c r="F106" s="82">
        <f>IF('2.Páginas de la muestra'!B5&gt;0,O65,"")</f>
        <v>0</v>
      </c>
      <c r="G106" s="169">
        <f>IF('2.Páginas de la muestra'!B5&gt;0,P65,"")</f>
        <v>100</v>
      </c>
    </row>
    <row r="107" spans="2:7" ht="19.5" thickBot="1" x14ac:dyDescent="0.35">
      <c r="B107" s="204" t="str">
        <f>'2.Páginas de la muestra'!C9</f>
        <v>login</v>
      </c>
      <c r="C107" s="205"/>
      <c r="D107" s="82" t="str">
        <f>IF('2.Páginas de la muestra'!B5&gt;1,K66,"")</f>
        <v/>
      </c>
      <c r="E107" s="81" t="str">
        <f>IF('2.Páginas de la muestra'!B5&gt;1,M66,"")</f>
        <v/>
      </c>
      <c r="F107" s="82" t="str">
        <f>IF('2.Páginas de la muestra'!B5&gt;1,O66,"")</f>
        <v/>
      </c>
      <c r="G107" s="169" t="str">
        <f>IF('2.Páginas de la muestra'!B5&gt;1,P66,"")</f>
        <v/>
      </c>
    </row>
    <row r="108" spans="2:7" ht="19.5" thickBot="1" x14ac:dyDescent="0.35">
      <c r="B108" s="204" t="str">
        <f>'2.Páginas de la muestra'!C10</f>
        <v>Inicio-Dashboard</v>
      </c>
      <c r="C108" s="205"/>
      <c r="D108" s="82" t="str">
        <f>IF('2.Páginas de la muestra'!B5&gt;2,K67,"")</f>
        <v/>
      </c>
      <c r="E108" s="81" t="str">
        <f>IF('2.Páginas de la muestra'!B5&gt;2,M67,"")</f>
        <v/>
      </c>
      <c r="F108" s="82" t="str">
        <f>IF('2.Páginas de la muestra'!B5&gt;2,O67,"")</f>
        <v/>
      </c>
      <c r="G108" s="169" t="str">
        <f>IF('2.Páginas de la muestra'!B5&gt;2,P67,"")</f>
        <v/>
      </c>
    </row>
    <row r="109" spans="2:7" ht="19.5" thickBot="1" x14ac:dyDescent="0.35">
      <c r="B109" s="204" t="str">
        <f>'2.Páginas de la muestra'!C11</f>
        <v>Dashboard-Usuarios</v>
      </c>
      <c r="C109" s="205"/>
      <c r="D109" s="82" t="str">
        <f>IF('2.Páginas de la muestra'!B5&gt;3,K68,"")</f>
        <v/>
      </c>
      <c r="E109" s="81" t="str">
        <f>IF('2.Páginas de la muestra'!B5&gt;3,M68,"")</f>
        <v/>
      </c>
      <c r="F109" s="82" t="str">
        <f>IF('2.Páginas de la muestra'!B5&gt;3,O68,"")</f>
        <v/>
      </c>
      <c r="G109" s="169" t="str">
        <f>IF('2.Páginas de la muestra'!B5&gt;3,P68,"")</f>
        <v/>
      </c>
    </row>
    <row r="110" spans="2:7" ht="19.5" thickBot="1" x14ac:dyDescent="0.35">
      <c r="B110" s="204" t="str">
        <f>'2.Páginas de la muestra'!C12</f>
        <v>Dashboard-Servicios</v>
      </c>
      <c r="C110" s="205"/>
      <c r="D110" s="82" t="str">
        <f>IF('2.Páginas de la muestra'!B5&gt;4,K69,"")</f>
        <v/>
      </c>
      <c r="E110" s="81" t="str">
        <f>IF('2.Páginas de la muestra'!B5&gt;4,M69,"")</f>
        <v/>
      </c>
      <c r="F110" s="82" t="str">
        <f>IF('2.Páginas de la muestra'!B5&gt;4,O69,"")</f>
        <v/>
      </c>
      <c r="G110" s="169" t="str">
        <f>IF('2.Páginas de la muestra'!B5&gt;4,P69,"")</f>
        <v/>
      </c>
    </row>
    <row r="111" spans="2:7" ht="19.5" thickBot="1" x14ac:dyDescent="0.35">
      <c r="B111" s="204" t="str">
        <f>'2.Páginas de la muestra'!C13</f>
        <v>Dashboard-Reservas</v>
      </c>
      <c r="C111" s="205"/>
      <c r="D111" s="82" t="str">
        <f>IF('2.Páginas de la muestra'!B5&gt;5,K70,"")</f>
        <v/>
      </c>
      <c r="E111" s="81" t="str">
        <f>IF('2.Páginas de la muestra'!B5&gt;5,M70,"")</f>
        <v/>
      </c>
      <c r="F111" s="82" t="str">
        <f>IF('2.Páginas de la muestra'!B5&gt;5,O70,"")</f>
        <v/>
      </c>
      <c r="G111" s="169" t="str">
        <f>IF('2.Páginas de la muestra'!B5&gt;5,P70,"")</f>
        <v/>
      </c>
    </row>
    <row r="112" spans="2:7" ht="19.5" thickBot="1" x14ac:dyDescent="0.35">
      <c r="B112" s="204" t="str">
        <f>'2.Páginas de la muestra'!C14</f>
        <v>Dashboard-Reservas-clientes</v>
      </c>
      <c r="C112" s="205"/>
      <c r="D112" s="82" t="str">
        <f>IF('2.Páginas de la muestra'!B5&gt;6,K71,"")</f>
        <v/>
      </c>
      <c r="E112" s="81" t="str">
        <f>IF('2.Páginas de la muestra'!B5&gt;6,M71,"")</f>
        <v/>
      </c>
      <c r="F112" s="82" t="str">
        <f>IF('2.Páginas de la muestra'!B5&gt;6,O71,"")</f>
        <v/>
      </c>
      <c r="G112" s="169" t="str">
        <f>IF('2.Páginas de la muestra'!B5&gt;6,P71,"")</f>
        <v/>
      </c>
    </row>
    <row r="113" spans="1:12" ht="19.5" thickBot="1" x14ac:dyDescent="0.35">
      <c r="B113" s="204" t="str">
        <f>'2.Páginas de la muestra'!C15</f>
        <v>ALIAS 8</v>
      </c>
      <c r="C113" s="205"/>
      <c r="D113" s="82" t="str">
        <f>IF('2.Páginas de la muestra'!B5&gt;7,K72,"")</f>
        <v/>
      </c>
      <c r="E113" s="81" t="str">
        <f>IF('2.Páginas de la muestra'!B5&gt;7,M72,"")</f>
        <v/>
      </c>
      <c r="F113" s="82" t="str">
        <f>IF('2.Páginas de la muestra'!B5&gt;7,O72,"")</f>
        <v/>
      </c>
      <c r="G113" s="169" t="str">
        <f>IF('2.Páginas de la muestra'!B5&gt;7,P72,"")</f>
        <v/>
      </c>
    </row>
    <row r="114" spans="1:12" ht="19.5" thickBot="1" x14ac:dyDescent="0.35">
      <c r="B114" s="204" t="str">
        <f>'2.Páginas de la muestra'!C16</f>
        <v>ALIAS 9</v>
      </c>
      <c r="C114" s="205"/>
      <c r="D114" s="82" t="str">
        <f>IF('2.Páginas de la muestra'!B5&gt;8,K73,"")</f>
        <v/>
      </c>
      <c r="E114" s="81" t="str">
        <f>IF('2.Páginas de la muestra'!B5&gt;8,M73,"")</f>
        <v/>
      </c>
      <c r="F114" s="82" t="str">
        <f>IF('2.Páginas de la muestra'!B5&gt;8,O73,"")</f>
        <v/>
      </c>
      <c r="G114" s="169" t="str">
        <f>IF('2.Páginas de la muestra'!B5&gt;8,P73,"")</f>
        <v/>
      </c>
    </row>
    <row r="115" spans="1:12" ht="19.5" thickBot="1" x14ac:dyDescent="0.35">
      <c r="B115" s="204" t="str">
        <f>'2.Páginas de la muestra'!C17</f>
        <v>ALIAS 10</v>
      </c>
      <c r="C115" s="205"/>
      <c r="D115" s="82" t="str">
        <f>IF('2.Páginas de la muestra'!B5&gt;9,K74,"")</f>
        <v/>
      </c>
      <c r="E115" s="81" t="str">
        <f>IF('2.Páginas de la muestra'!B5&gt;9,M74,"")</f>
        <v/>
      </c>
      <c r="F115" s="82" t="str">
        <f>IF('2.Páginas de la muestra'!B5&gt;9,O74,"")</f>
        <v/>
      </c>
      <c r="G115" s="169" t="str">
        <f>IF('2.Páginas de la muestra'!B5&gt;9,P74,"")</f>
        <v/>
      </c>
    </row>
    <row r="116" spans="1:12" ht="19.5" thickBot="1" x14ac:dyDescent="0.35">
      <c r="B116" s="204" t="str">
        <f>'2.Páginas de la muestra'!C18</f>
        <v>ALIAS 11</v>
      </c>
      <c r="C116" s="205"/>
      <c r="D116" s="82" t="str">
        <f>IF('2.Páginas de la muestra'!B5&gt;10,K75,"")</f>
        <v/>
      </c>
      <c r="E116" s="81" t="str">
        <f>IF('2.Páginas de la muestra'!B5&gt;10,M75,"")</f>
        <v/>
      </c>
      <c r="F116" s="82" t="str">
        <f>IF('2.Páginas de la muestra'!B5&gt;10,O75,"")</f>
        <v/>
      </c>
      <c r="G116" s="169" t="str">
        <f>IF('2.Páginas de la muestra'!B5&gt;10,P75,"")</f>
        <v/>
      </c>
    </row>
    <row r="117" spans="1:12" ht="19.5" thickBot="1" x14ac:dyDescent="0.35">
      <c r="B117" s="204" t="str">
        <f>'2.Páginas de la muestra'!C19</f>
        <v>ALIAS 12</v>
      </c>
      <c r="C117" s="205"/>
      <c r="D117" s="82" t="str">
        <f>IF('2.Páginas de la muestra'!B5&gt;11,K76,"")</f>
        <v/>
      </c>
      <c r="E117" s="81" t="str">
        <f>IF('2.Páginas de la muestra'!B5&gt;11,M76,"")</f>
        <v/>
      </c>
      <c r="F117" s="82" t="str">
        <f>IF('2.Páginas de la muestra'!B5&gt;11,O76,"")</f>
        <v/>
      </c>
      <c r="G117" s="169" t="str">
        <f>IF('2.Páginas de la muestra'!B5&gt;11,P76,"")</f>
        <v/>
      </c>
    </row>
    <row r="118" spans="1:12" ht="19.5" thickBot="1" x14ac:dyDescent="0.35">
      <c r="B118" s="204" t="str">
        <f>'2.Páginas de la muestra'!C20</f>
        <v>ALIAS 13</v>
      </c>
      <c r="C118" s="205"/>
      <c r="D118" s="82" t="str">
        <f>IF('2.Páginas de la muestra'!B5&gt;12,K77,"")</f>
        <v/>
      </c>
      <c r="E118" s="81" t="str">
        <f>IF('2.Páginas de la muestra'!B5&gt;12,M77,"")</f>
        <v/>
      </c>
      <c r="F118" s="82" t="str">
        <f>IF('2.Páginas de la muestra'!B5&gt;12,O77,"")</f>
        <v/>
      </c>
      <c r="G118" s="169" t="str">
        <f>IF('2.Páginas de la muestra'!B5&gt;12,P77,"")</f>
        <v/>
      </c>
    </row>
    <row r="119" spans="1:12" ht="19.5" thickBot="1" x14ac:dyDescent="0.35">
      <c r="B119" s="204" t="str">
        <f>'2.Páginas de la muestra'!C21</f>
        <v>ALIAS 14</v>
      </c>
      <c r="C119" s="205"/>
      <c r="D119" s="82" t="str">
        <f>IF('2.Páginas de la muestra'!B5&gt;13,K78,"")</f>
        <v/>
      </c>
      <c r="E119" s="81" t="str">
        <f>IF('2.Páginas de la muestra'!B5&gt;13,M78,"")</f>
        <v/>
      </c>
      <c r="F119" s="82" t="str">
        <f>IF('2.Páginas de la muestra'!B5&gt;13,O78,"")</f>
        <v/>
      </c>
      <c r="G119" s="169" t="str">
        <f>IF('2.Páginas de la muestra'!B5&gt;13,P78,"")</f>
        <v/>
      </c>
    </row>
    <row r="120" spans="1:12" ht="19.5" thickBot="1" x14ac:dyDescent="0.35">
      <c r="B120" s="204" t="str">
        <f>'2.Páginas de la muestra'!C22</f>
        <v>ALIAS 15</v>
      </c>
      <c r="C120" s="205"/>
      <c r="D120" s="82" t="str">
        <f>IF('2.Páginas de la muestra'!B5&gt;14,K79,"")</f>
        <v/>
      </c>
      <c r="E120" s="81" t="str">
        <f>IF('2.Páginas de la muestra'!B5&gt;14,M79,"")</f>
        <v/>
      </c>
      <c r="F120" s="82" t="str">
        <f>IF('2.Páginas de la muestra'!B5&gt;14,O79,"")</f>
        <v/>
      </c>
      <c r="G120" s="169" t="str">
        <f>IF('2.Páginas de la muestra'!B5&gt;14,P79,"")</f>
        <v/>
      </c>
    </row>
    <row r="121" spans="1:12" ht="19.5" thickBot="1" x14ac:dyDescent="0.35">
      <c r="B121" s="208" t="s">
        <v>133</v>
      </c>
      <c r="C121" s="209"/>
      <c r="D121" s="70">
        <f>AVERAGE(D106:D120)</f>
        <v>100</v>
      </c>
      <c r="E121" s="69">
        <f>AVERAGE(E106:E120)</f>
        <v>0</v>
      </c>
      <c r="F121" s="70">
        <f>AVERAGE(F106:F120)</f>
        <v>0</v>
      </c>
      <c r="G121" s="69">
        <f>AVERAGE(G106:G120)</f>
        <v>100</v>
      </c>
    </row>
    <row r="122" spans="1:12" ht="18.75" x14ac:dyDescent="0.3">
      <c r="B122" s="71"/>
      <c r="C122" s="71"/>
      <c r="D122" s="71"/>
      <c r="E122" s="71"/>
      <c r="F122" s="71"/>
      <c r="G122" s="71"/>
    </row>
    <row r="123" spans="1:12" ht="18.75" x14ac:dyDescent="0.3">
      <c r="B123" s="71"/>
      <c r="C123" s="71"/>
      <c r="D123" s="71"/>
      <c r="E123" s="71"/>
      <c r="F123" s="71"/>
      <c r="G123" s="71"/>
    </row>
    <row r="124" spans="1:12" ht="15.75" thickBot="1" x14ac:dyDescent="0.3"/>
    <row r="125" spans="1:12" s="8" customFormat="1" ht="15.75" thickTop="1" x14ac:dyDescent="0.25">
      <c r="A125" s="195"/>
      <c r="B125" s="195"/>
      <c r="C125" s="195"/>
      <c r="D125" s="195"/>
      <c r="E125" s="195"/>
      <c r="F125" s="195"/>
      <c r="G125" s="195"/>
      <c r="H125" s="195"/>
      <c r="I125" s="195"/>
      <c r="J125" s="195"/>
      <c r="K125" s="195"/>
      <c r="L125" s="195"/>
    </row>
    <row r="126" spans="1:12" s="8" customFormat="1" x14ac:dyDescent="0.25">
      <c r="A126" s="120" t="s">
        <v>44</v>
      </c>
      <c r="B126" s="196" t="s">
        <v>2</v>
      </c>
      <c r="C126" s="196"/>
      <c r="D126" s="196"/>
      <c r="E126" s="196"/>
      <c r="F126" s="196"/>
      <c r="G126" s="196"/>
      <c r="H126" s="196"/>
      <c r="I126" s="196"/>
      <c r="J126" s="196"/>
      <c r="K126" s="3"/>
      <c r="L126" s="3"/>
    </row>
    <row r="127" spans="1:12" s="8" customFormat="1" x14ac:dyDescent="0.25">
      <c r="A127" s="121" t="s">
        <v>173</v>
      </c>
      <c r="B127" s="197" t="s">
        <v>47</v>
      </c>
      <c r="C127" s="198"/>
      <c r="D127" s="198"/>
      <c r="E127" s="198"/>
      <c r="F127" s="198"/>
      <c r="G127" s="198"/>
      <c r="H127" s="198"/>
      <c r="I127" s="198"/>
      <c r="J127" s="198"/>
      <c r="K127" s="3"/>
      <c r="L127" s="3"/>
    </row>
    <row r="128" spans="1:12" s="8" customFormat="1" x14ac:dyDescent="0.25">
      <c r="A128" s="121" t="s">
        <v>45</v>
      </c>
      <c r="B128" s="198" t="s">
        <v>46</v>
      </c>
      <c r="C128" s="198"/>
      <c r="D128" s="198"/>
      <c r="E128" s="198"/>
      <c r="F128" s="198"/>
      <c r="G128" s="198"/>
      <c r="H128" s="198"/>
      <c r="I128" s="198"/>
      <c r="J128" s="198"/>
      <c r="K128" s="3"/>
      <c r="L128" s="3"/>
    </row>
    <row r="129" spans="1:12" s="8" customFormat="1" x14ac:dyDescent="0.25">
      <c r="A129" s="122" t="s">
        <v>171</v>
      </c>
      <c r="B129" s="199" t="s">
        <v>437</v>
      </c>
      <c r="C129" s="199"/>
      <c r="D129" s="199"/>
      <c r="E129" s="199"/>
      <c r="F129" s="199"/>
      <c r="G129" s="199"/>
      <c r="H129" s="199"/>
      <c r="I129" s="199"/>
      <c r="J129" s="199"/>
      <c r="K129" s="3"/>
      <c r="L129" s="3"/>
    </row>
    <row r="130" spans="1:12" s="8" customFormat="1" x14ac:dyDescent="0.25">
      <c r="A130" s="121" t="s">
        <v>172</v>
      </c>
      <c r="B130" s="200" t="s">
        <v>52</v>
      </c>
      <c r="C130" s="200"/>
      <c r="D130" s="200"/>
      <c r="E130" s="200"/>
      <c r="F130" s="200"/>
      <c r="G130" s="200"/>
      <c r="H130" s="200"/>
      <c r="I130" s="200"/>
      <c r="J130" s="200"/>
      <c r="K130" s="3"/>
      <c r="L130" s="3"/>
    </row>
    <row r="131" spans="1:12" s="8" customFormat="1" x14ac:dyDescent="0.25">
      <c r="A131" s="3"/>
      <c r="B131" s="3"/>
      <c r="C131" s="3"/>
      <c r="D131" s="3"/>
      <c r="E131" s="3"/>
      <c r="F131" s="3"/>
      <c r="G131" s="3"/>
      <c r="H131" s="3"/>
      <c r="I131" s="3"/>
      <c r="J131" s="3"/>
      <c r="K131" s="3"/>
      <c r="L131" s="3"/>
    </row>
  </sheetData>
  <mergeCells count="117">
    <mergeCell ref="H125:L125"/>
    <mergeCell ref="B129:J129"/>
    <mergeCell ref="B130:J130"/>
    <mergeCell ref="A125:G125"/>
    <mergeCell ref="B126:J126"/>
    <mergeCell ref="B127:J127"/>
    <mergeCell ref="B128:J128"/>
    <mergeCell ref="A1:H2"/>
    <mergeCell ref="B13:C13"/>
    <mergeCell ref="B14:C14"/>
    <mergeCell ref="B15:C15"/>
    <mergeCell ref="B25:C25"/>
    <mergeCell ref="B28:G28"/>
    <mergeCell ref="B29:C29"/>
    <mergeCell ref="B6:G6"/>
    <mergeCell ref="B8:G8"/>
    <mergeCell ref="B9:C9"/>
    <mergeCell ref="B10:C10"/>
    <mergeCell ref="B11:C11"/>
    <mergeCell ref="B12:C12"/>
    <mergeCell ref="B48:C48"/>
    <mergeCell ref="B49:C49"/>
    <mergeCell ref="B50:C50"/>
    <mergeCell ref="B51:C51"/>
    <mergeCell ref="B30:C30"/>
    <mergeCell ref="B31:C31"/>
    <mergeCell ref="B32:C32"/>
    <mergeCell ref="B33:C33"/>
    <mergeCell ref="B35:C35"/>
    <mergeCell ref="B44:C44"/>
    <mergeCell ref="B34:C34"/>
    <mergeCell ref="B36:C36"/>
    <mergeCell ref="B37:C37"/>
    <mergeCell ref="B38:C38"/>
    <mergeCell ref="B89:C89"/>
    <mergeCell ref="B68:C68"/>
    <mergeCell ref="B69:C69"/>
    <mergeCell ref="B70:C70"/>
    <mergeCell ref="B71:C71"/>
    <mergeCell ref="B72:C72"/>
    <mergeCell ref="B82:C82"/>
    <mergeCell ref="B75:C75"/>
    <mergeCell ref="B76:C76"/>
    <mergeCell ref="B77:C77"/>
    <mergeCell ref="B78:C78"/>
    <mergeCell ref="B121:C121"/>
    <mergeCell ref="B16:C16"/>
    <mergeCell ref="B17:C17"/>
    <mergeCell ref="B18:C18"/>
    <mergeCell ref="B19:C19"/>
    <mergeCell ref="B24:C24"/>
    <mergeCell ref="B20:C20"/>
    <mergeCell ref="B21:C21"/>
    <mergeCell ref="B22:C22"/>
    <mergeCell ref="B23:C23"/>
    <mergeCell ref="B106:C106"/>
    <mergeCell ref="B107:C107"/>
    <mergeCell ref="B108:C108"/>
    <mergeCell ref="B109:C109"/>
    <mergeCell ref="B110:C110"/>
    <mergeCell ref="B120:C120"/>
    <mergeCell ref="B116:C116"/>
    <mergeCell ref="B117:C117"/>
    <mergeCell ref="B118:C118"/>
    <mergeCell ref="B119:C119"/>
    <mergeCell ref="B90:C90"/>
    <mergeCell ref="B91:C91"/>
    <mergeCell ref="B101:C101"/>
    <mergeCell ref="B102:C102"/>
    <mergeCell ref="B60:C60"/>
    <mergeCell ref="B59:C59"/>
    <mergeCell ref="B61:C61"/>
    <mergeCell ref="B62:C62"/>
    <mergeCell ref="B73:C73"/>
    <mergeCell ref="B74:C74"/>
    <mergeCell ref="B39:C39"/>
    <mergeCell ref="B40:C40"/>
    <mergeCell ref="B41:C41"/>
    <mergeCell ref="B42:C42"/>
    <mergeCell ref="B43:C43"/>
    <mergeCell ref="B54:C54"/>
    <mergeCell ref="B52:C52"/>
    <mergeCell ref="B53:C53"/>
    <mergeCell ref="B63:C63"/>
    <mergeCell ref="B64:C64"/>
    <mergeCell ref="B66:G66"/>
    <mergeCell ref="B67:C67"/>
    <mergeCell ref="B55:C55"/>
    <mergeCell ref="B56:C56"/>
    <mergeCell ref="B57:C57"/>
    <mergeCell ref="B58:C58"/>
    <mergeCell ref="B45:C45"/>
    <mergeCell ref="B47:G47"/>
    <mergeCell ref="B99:C99"/>
    <mergeCell ref="B100:C100"/>
    <mergeCell ref="B111:C111"/>
    <mergeCell ref="B112:C112"/>
    <mergeCell ref="B113:C113"/>
    <mergeCell ref="B115:C115"/>
    <mergeCell ref="B114:C114"/>
    <mergeCell ref="B79:C79"/>
    <mergeCell ref="B80:C80"/>
    <mergeCell ref="B81:C81"/>
    <mergeCell ref="B92:C92"/>
    <mergeCell ref="B93:C93"/>
    <mergeCell ref="B94:C94"/>
    <mergeCell ref="B104:G104"/>
    <mergeCell ref="B105:C105"/>
    <mergeCell ref="B95:C95"/>
    <mergeCell ref="B96:C96"/>
    <mergeCell ref="B97:C97"/>
    <mergeCell ref="B98:C98"/>
    <mergeCell ref="B83:C83"/>
    <mergeCell ref="B85:G85"/>
    <mergeCell ref="B86:C86"/>
    <mergeCell ref="B87:C87"/>
    <mergeCell ref="B88:C88"/>
  </mergeCells>
  <conditionalFormatting sqref="D10:G25">
    <cfRule type="cellIs" dxfId="9" priority="9" operator="equal">
      <formula>""</formula>
    </cfRule>
  </conditionalFormatting>
  <conditionalFormatting sqref="D30:G44">
    <cfRule type="cellIs" dxfId="8" priority="7" operator="equal">
      <formula>""</formula>
    </cfRule>
  </conditionalFormatting>
  <conditionalFormatting sqref="D45:G45">
    <cfRule type="cellIs" dxfId="7" priority="5" operator="equal">
      <formula>""</formula>
    </cfRule>
  </conditionalFormatting>
  <conditionalFormatting sqref="D49:G64">
    <cfRule type="cellIs" dxfId="6" priority="4" operator="equal">
      <formula>""</formula>
    </cfRule>
  </conditionalFormatting>
  <conditionalFormatting sqref="D68:G83">
    <cfRule type="cellIs" dxfId="5" priority="3" operator="equal">
      <formula>""</formula>
    </cfRule>
  </conditionalFormatting>
  <conditionalFormatting sqref="D87:G102">
    <cfRule type="cellIs" dxfId="4" priority="2" operator="equal">
      <formula>""</formula>
    </cfRule>
  </conditionalFormatting>
  <conditionalFormatting sqref="D106:G121">
    <cfRule type="cellIs" dxfId="3" priority="1" operator="equal">
      <formula>""</formula>
    </cfRule>
  </conditionalFormatting>
  <hyperlinks>
    <hyperlink ref="B128" r:id="rId1"/>
    <hyperlink ref="B12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4</vt:i4>
      </vt:variant>
    </vt:vector>
  </HeadingPairs>
  <TitlesOfParts>
    <vt:vector size="14" baseType="lpstr">
      <vt:lpstr>1.Datos generales</vt:lpstr>
      <vt:lpstr>2.Páginas de la muestra</vt:lpstr>
      <vt:lpstr>3. Evaluación Nivel A</vt:lpstr>
      <vt:lpstr>3.1 Gráficas y estadísticas A</vt:lpstr>
      <vt:lpstr>4. Evaluación Nivel AA</vt:lpstr>
      <vt:lpstr>4.1 Gráficas y estadísticas AA</vt:lpstr>
      <vt:lpstr>5. Resultados x criterio</vt:lpstr>
      <vt:lpstr>6. Resultados x principio</vt:lpstr>
      <vt:lpstr>7. Resultados detalle página</vt:lpstr>
      <vt:lpstr>Hoja4</vt:lpstr>
      <vt:lpstr>Cumple</vt:lpstr>
      <vt:lpstr>muestra</vt:lpstr>
      <vt:lpstr>nivel</vt:lpstr>
      <vt:lpstr>PuntosA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2020-09-17T20:12:44Z</dcterms:modified>
</cp:coreProperties>
</file>