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4Data" sheetId="2" r:id="rId5"/>
    <sheet state="visible" name="2017 Data" sheetId="3" r:id="rId6"/>
    <sheet state="visible" name="2018 Data" sheetId="4" r:id="rId7"/>
    <sheet state="visible" name="Surfer Stats - Event 1" sheetId="5" r:id="rId8"/>
    <sheet state="visible" name="Surfer Stats - Event 1 proper" sheetId="6" r:id="rId9"/>
    <sheet state="visible" name="Sheet25" sheetId="7" r:id="rId10"/>
    <sheet state="visible" name="Surfer Stats - Event 2" sheetId="8" r:id="rId11"/>
    <sheet state="visible" name="Event 2 Assist" sheetId="9" r:id="rId12"/>
    <sheet state="visible" name="Surfer Stats - Event 3" sheetId="10" r:id="rId13"/>
    <sheet state="visible" name="Surfer Stats - Event 4" sheetId="11" r:id="rId14"/>
    <sheet state="visible" name="Surfer Stats - Event 5" sheetId="12" r:id="rId15"/>
    <sheet state="visible" name="Post-Event_5" sheetId="13" r:id="rId16"/>
    <sheet state="visible" name="Surfer Stats - Event 6" sheetId="14" r:id="rId17"/>
    <sheet state="visible" name="Event 6 Assist" sheetId="15" r:id="rId18"/>
    <sheet state="visible" name="Surfer Stats - Event 7" sheetId="16" r:id="rId19"/>
    <sheet state="visible" name="Event 7 Assist" sheetId="17" r:id="rId20"/>
    <sheet state="visible" name="Surfer Stats - Event 8" sheetId="18" r:id="rId21"/>
    <sheet state="visible" name="Event 8 Assist" sheetId="19" r:id="rId22"/>
    <sheet state="visible" name="Surfer Stats - Event 9" sheetId="20" r:id="rId23"/>
    <sheet state="visible" name="Event 9 Assist" sheetId="21" r:id="rId24"/>
    <sheet state="visible" name="Surfer Stats - Event 10" sheetId="22" r:id="rId25"/>
    <sheet state="visible" name="Event 10 Assist" sheetId="23" r:id="rId26"/>
    <sheet state="visible" name="Surfer Stats - Event 11" sheetId="24" r:id="rId27"/>
    <sheet state="visible" name="Event 11 Assist" sheetId="25" r:id="rId28"/>
  </sheets>
  <definedNames/>
  <calcPr/>
  <extLst>
    <ext uri="GoogleSheetsCustomDataVersion2">
      <go:sheetsCustomData xmlns:go="http://customooxmlschemas.google.com/" r:id="rId29" roundtripDataChecksum="LEK10GuHeWqe2OqGGxs+WkCwulg+ky5pdorm7jMwpro="/>
    </ext>
  </extLst>
</workbook>
</file>

<file path=xl/sharedStrings.xml><?xml version="1.0" encoding="utf-8"?>
<sst xmlns="http://schemas.openxmlformats.org/spreadsheetml/2006/main" count="16598" uniqueCount="303">
  <si>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</si>
  <si>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</si>
  <si>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</si>
  <si>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</si>
  <si>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</si>
  <si>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</si>
  <si>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</si>
  <si>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</si>
  <si>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</si>
  <si>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</si>
  <si>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</si>
  <si>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</si>
  <si>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</si>
  <si>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</si>
  <si>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</si>
  <si>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</si>
  <si>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</si>
  <si>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</si>
  <si>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</si>
  <si>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</si>
  <si>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</si>
  <si>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</si>
  <si>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</si>
  <si>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</si>
  <si>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</si>
  <si>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</si>
  <si>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</si>
  <si>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</si>
  <si>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</si>
  <si>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</si>
  <si>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</si>
  <si>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</si>
  <si>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</si>
  <si>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</si>
  <si>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</si>
  <si>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</si>
  <si>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</si>
  <si>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</si>
  <si>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</si>
  <si>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</si>
  <si>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</si>
  <si>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</si>
  <si>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</si>
  <si>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</si>
  <si>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</si>
  <si>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</si>
  <si>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</si>
  <si>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</si>
  <si>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</si>
  <si>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</si>
  <si>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</si>
  <si>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</si>
  <si>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</si>
  <si>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</si>
  <si>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</si>
  <si>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</si>
  <si>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</si>
  <si>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</si>
  <si>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</si>
  <si>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</si>
  <si>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</si>
  <si>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</si>
  <si>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</si>
  <si>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</si>
  <si>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</si>
  <si>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</si>
  <si>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</si>
  <si>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</si>
  <si>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</si>
  <si>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</si>
  <si>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</si>
  <si>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</si>
  <si>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</si>
  <si>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</si>
  <si>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</si>
  <si>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</si>
  <si>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</si>
  <si>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</si>
  <si>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</si>
  <si>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</si>
  <si>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</si>
  <si>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</si>
  <si>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</si>
  <si>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</si>
  <si>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</si>
  <si>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</si>
  <si>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</si>
  <si>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</si>
  <si>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</si>
  <si>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</si>
  <si>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</si>
  <si>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</si>
  <si>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</si>
  <si>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</si>
  <si>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</si>
  <si>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</si>
  <si>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</si>
  <si>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</si>
  <si>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</si>
  <si>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</si>
  <si>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</si>
  <si>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</si>
  <si>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</si>
  <si>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</si>
  <si>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</si>
  <si>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</si>
  <si>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</si>
  <si>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</si>
  <si>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</si>
  <si>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</si>
  <si>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</si>
  <si>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</si>
  <si>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</si>
  <si>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</si>
  <si>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</si>
  <si>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</si>
  <si>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</si>
  <si>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</si>
  <si>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</si>
  <si>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</si>
  <si>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</si>
  <si>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</si>
  <si>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</si>
  <si>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</si>
  <si>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</si>
  <si>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</si>
  <si>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</si>
  <si>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</si>
  <si>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</si>
  <si>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</si>
  <si>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</si>
  <si>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</si>
  <si>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</si>
  <si>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</si>
  <si>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</si>
  <si>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</si>
  <si>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</si>
  <si>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Isei Tokovou</t>
  </si>
  <si>
    <t>Dylan Lightfoot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</si>
  <si>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</si>
  <si>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</si>
  <si>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</si>
  <si>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</si>
  <si>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</si>
  <si>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</si>
  <si>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</si>
  <si>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</si>
  <si>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</si>
  <si>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</si>
  <si>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</si>
  <si>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</si>
  <si>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</si>
  <si>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</si>
  <si>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</si>
  <si>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</si>
  <si>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</si>
  <si>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</si>
  <si>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</si>
  <si>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</si>
  <si>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</si>
  <si>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</si>
  <si>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</si>
  <si>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</si>
  <si>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</si>
  <si>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</si>
  <si>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</si>
  <si>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</si>
  <si>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</si>
  <si>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</si>
  <si>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</si>
  <si>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</si>
  <si>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</si>
  <si>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</si>
  <si>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</si>
  <si>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</si>
  <si>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</si>
  <si>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</si>
  <si>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</si>
  <si>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</si>
  <si>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</si>
  <si>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</si>
  <si>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</si>
  <si>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</si>
  <si>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</si>
  <si>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</si>
  <si>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</si>
  <si>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</si>
  <si>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</si>
  <si>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</si>
  <si>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</si>
  <si>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</si>
  <si>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</si>
  <si>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</si>
  <si>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</si>
  <si>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</si>
  <si>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</si>
  <si>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</si>
  <si>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</si>
  <si>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</si>
  <si>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</si>
  <si>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</si>
  <si>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</si>
  <si>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</si>
  <si>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</si>
  <si>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</si>
  <si>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</si>
  <si>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</si>
  <si>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</si>
  <si>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</si>
  <si>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</si>
  <si>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</si>
  <si>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</si>
  <si>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</si>
  <si>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</si>
  <si>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</si>
  <si>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</si>
  <si>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</si>
  <si>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</si>
  <si>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</si>
  <si>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</si>
  <si>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</si>
  <si>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</si>
  <si>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</si>
  <si>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Surfing stance</t>
  </si>
  <si>
    <t>HWP Event 1 2014</t>
  </si>
  <si>
    <t>Average Heat Score</t>
  </si>
  <si>
    <t>Total Heats Surfed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</si>
  <si>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</si>
  <si>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</si>
  <si>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</si>
  <si>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</si>
  <si>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</si>
  <si>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</si>
  <si>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</si>
  <si>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</si>
  <si>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</si>
  <si>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</si>
  <si>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</si>
  <si>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Previous Heat Score</t>
  </si>
  <si>
    <t>Average Previous Heat Score</t>
  </si>
  <si>
    <t>Championship Score</t>
  </si>
  <si>
    <t>Years Surfin</t>
  </si>
  <si>
    <t>Experience</t>
  </si>
  <si>
    <t>Actual Points</t>
  </si>
  <si>
    <t>Regular</t>
  </si>
  <si>
    <t>Experienced</t>
  </si>
  <si>
    <t>Veteran</t>
  </si>
  <si>
    <t>Goofy</t>
  </si>
  <si>
    <t>Rookie</t>
  </si>
  <si>
    <t>Points (2016)</t>
  </si>
  <si>
    <t>INJ REP</t>
  </si>
  <si>
    <t>WC</t>
  </si>
  <si>
    <t>Participant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</si>
  <si>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</si>
  <si>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</si>
  <si>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</si>
  <si>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</si>
  <si>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</si>
  <si>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</si>
  <si>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</si>
  <si>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Actual points</t>
  </si>
  <si>
    <t>Years Surfing</t>
  </si>
  <si>
    <t>Jacob Willcox</t>
  </si>
  <si>
    <t>Surfer stance</t>
  </si>
  <si>
    <t>HWP Event 3 2014</t>
  </si>
  <si>
    <t>HWP Event 3</t>
  </si>
  <si>
    <t>Heats surfed event 3</t>
  </si>
  <si>
    <t>HWP Event 3 2015</t>
  </si>
  <si>
    <t>HWP Event 3 2016</t>
  </si>
  <si>
    <t>Number of Excellent heats 2016 - Event 3</t>
  </si>
  <si>
    <t>Tier</t>
  </si>
  <si>
    <t>Surfer Stance</t>
  </si>
  <si>
    <t>Number of Excellent heats 2016 - Event 4</t>
  </si>
  <si>
    <t>Previous Heat score</t>
  </si>
  <si>
    <t>Dion ATkinson</t>
  </si>
  <si>
    <t>Heats surfed event 5</t>
  </si>
  <si>
    <t>Number of Excellent heats 2016 - Event 5</t>
  </si>
  <si>
    <t>FIJ</t>
  </si>
  <si>
    <t>Rank</t>
  </si>
  <si>
    <t>Points</t>
  </si>
  <si>
    <t>Injured</t>
  </si>
  <si>
    <t>Fantasy Points</t>
  </si>
  <si>
    <t>Heats surfed event 6</t>
  </si>
  <si>
    <t>National Advantage</t>
  </si>
  <si>
    <t>Number of Excellent heats 2016 - Event 6</t>
  </si>
  <si>
    <r>
      <rPr>
        <rFont val="&quot;Google Sans&quot;, Roboto, sans-serif"/>
        <color rgb="FF1F1F1F"/>
        <sz val="11.0"/>
      </rPr>
      <t>Leonardo Fioravanti</t>
    </r>
  </si>
  <si>
    <t xml:space="preserve">Dale Staples </t>
  </si>
  <si>
    <t>Heats surfed event 4</t>
  </si>
  <si>
    <t>Previous 3 heat average</t>
  </si>
  <si>
    <t>Previous 3 Event Points</t>
  </si>
  <si>
    <t>Heats surfed event 7</t>
  </si>
  <si>
    <t>Number of Excellent heats 2016 - Event 7</t>
  </si>
  <si>
    <t>Event Part 2016?</t>
  </si>
  <si>
    <t>Heats surfed event 8</t>
  </si>
  <si>
    <t>Number of Excellent heats 2016 - Event 8</t>
  </si>
  <si>
    <t>Heats surfed event 9</t>
  </si>
  <si>
    <t>Number of Excellent heats 2016 - Event 9</t>
  </si>
  <si>
    <r>
      <rPr>
        <rFont val="-apple-system, BlinkMacSystemFont, Systemic, sans-serif"/>
        <color theme="1"/>
        <sz val="11.0"/>
      </rPr>
      <t>Marc Lacomare</t>
    </r>
  </si>
  <si>
    <t>Marc Lacomare</t>
  </si>
  <si>
    <t>Heats surfed event 10</t>
  </si>
  <si>
    <t>Number of Excellent heats 2016 - Event 10</t>
  </si>
  <si>
    <t>Number of Excellent heats 2016 - Event 11</t>
  </si>
  <si>
    <t xml:space="preserve">Benji Brand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</si>
</sst>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3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&quot;Google Sans Mono&quot;"/>
    </font>
    <font>
      <color theme="1"/>
      <name val="Arial"/>
    </font>
    <font>
      <sz val="11.0"/>
      <color rgb="FF424242"/>
      <name val="Aptos Narrow"/>
    </font>
    <font>
      <sz val="11.0"/>
      <color rgb="FF000000"/>
      <name val="Aptos Narrow"/>
    </font>
    <font>
      <sz val="11.0"/>
      <color rgb="FF000000"/>
      <name val="&quot;Aptos Narrow&quot;"/>
    </font>
    <font>
      <sz val="11.0"/>
      <color rgb="FF424242"/>
      <name val="&quot;Aptos Narrow&quot;"/>
    </font>
    <font>
      <sz val="11.0"/>
      <color rgb="FF000000"/>
      <name val="Arial"/>
    </font>
    <font>
      <b/>
      <sz val="11.0"/>
      <color rgb="FFFFFFFF"/>
      <name val="&quot;Aptos Narrow&quot;"/>
    </font>
    <font>
      <b/>
      <sz val="11.0"/>
      <color rgb="FF000000"/>
      <name val="&quot;Aptos Narrow&quot;"/>
    </font>
    <font>
      <sz val="11.0"/>
      <color theme="1"/>
      <name val="Arial"/>
    </font>
    <font>
      <b/>
      <sz val="11.0"/>
      <color rgb="FF000000"/>
      <name val="Arial"/>
    </font>
    <font>
      <sz val="11.0"/>
      <color rgb="FF1F1F1F"/>
      <name val="&quot;Google Sans&quot;"/>
    </font>
    <font>
      <sz val="11.0"/>
      <color rgb="FF1F1F1F"/>
      <name val="Arial"/>
    </font>
    <font>
      <sz val="11.0"/>
      <color theme="1"/>
      <name val="&quot;Aptos Narrow&quot;"/>
    </font>
    <font>
      <b/>
      <sz val="11.0"/>
      <color rgb="FF1F1F1F"/>
      <name val="Arial"/>
    </font>
    <font>
      <color rgb="FF1F1F1F"/>
      <name val="Arial"/>
    </font>
    <font>
      <sz val="9.0"/>
      <color rgb="FF1F1F1F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FF0000"/>
        <bgColor rgb="FFFF0000"/>
      </patternFill>
    </fill>
    <fill>
      <patternFill patternType="solid">
        <fgColor rgb="FF4EA72E"/>
        <bgColor rgb="FF4EA72E"/>
      </patternFill>
    </fill>
    <fill>
      <patternFill patternType="solid">
        <fgColor theme="0"/>
        <bgColor theme="0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</fills>
  <borders count="5">
    <border/>
    <border>
      <left/>
      <right/>
      <top/>
      <bottom/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1" fillId="3" fontId="4" numFmtId="0" xfId="0" applyBorder="1" applyFill="1" applyFont="1"/>
    <xf borderId="0" fillId="4" fontId="6" numFmtId="0" xfId="0" applyFill="1" applyFont="1"/>
    <xf borderId="0" fillId="5" fontId="3" numFmtId="0" xfId="0" applyFill="1" applyFont="1"/>
    <xf borderId="0" fillId="6" fontId="3" numFmtId="0" xfId="0" applyFill="1" applyFont="1"/>
    <xf borderId="0" fillId="0" fontId="7" numFmtId="0" xfId="0" applyAlignment="1" applyFont="1">
      <alignment readingOrder="0"/>
    </xf>
    <xf borderId="0" fillId="7" fontId="3" numFmtId="0" xfId="0" applyFill="1" applyFont="1"/>
    <xf borderId="1" fillId="2" fontId="8" numFmtId="0" xfId="0" applyBorder="1" applyFont="1"/>
    <xf borderId="1" fillId="8" fontId="4" numFmtId="0" xfId="0" applyBorder="1" applyFill="1" applyFont="1"/>
    <xf borderId="0" fillId="0" fontId="9" numFmtId="0" xfId="0" applyFont="1"/>
    <xf borderId="2" fillId="9" fontId="10" numFmtId="0" xfId="0" applyAlignment="1" applyBorder="1" applyFill="1" applyFont="1">
      <alignment horizontal="right" readingOrder="0" shrinkToFit="0" vertical="bottom" wrapText="0"/>
    </xf>
    <xf borderId="3" fillId="9" fontId="10" numFmtId="0" xfId="0" applyAlignment="1" applyBorder="1" applyFont="1">
      <alignment horizontal="right" readingOrder="0" shrinkToFit="0" vertical="bottom" wrapText="0"/>
    </xf>
    <xf borderId="3" fillId="9" fontId="10" numFmtId="0" xfId="0" applyAlignment="1" applyBorder="1" applyFont="1">
      <alignment readingOrder="0" shrinkToFit="0" vertical="bottom" wrapText="0"/>
    </xf>
    <xf borderId="3" fillId="2" fontId="11" numFmtId="0" xfId="0" applyAlignment="1" applyBorder="1" applyFont="1">
      <alignment readingOrder="0" shrinkToFit="0" vertical="bottom" wrapText="0"/>
    </xf>
    <xf borderId="4" fillId="9" fontId="10" numFmtId="0" xfId="0" applyAlignment="1" applyBorder="1" applyFont="1">
      <alignment horizontal="right" readingOrder="0" shrinkToFit="0" vertical="bottom" wrapText="0"/>
    </xf>
    <xf borderId="2" fillId="0" fontId="10" numFmtId="0" xfId="0" applyAlignment="1" applyBorder="1" applyFont="1">
      <alignment horizontal="right" readingOrder="0" shrinkToFit="0" vertical="bottom" wrapText="0"/>
    </xf>
    <xf borderId="3" fillId="0" fontId="10" numFmtId="0" xfId="0" applyAlignment="1" applyBorder="1" applyFont="1">
      <alignment horizontal="right"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horizontal="right"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3" fillId="9" fontId="10" numFmtId="3" xfId="0" applyAlignment="1" applyBorder="1" applyFont="1" applyNumberFormat="1">
      <alignment horizontal="right" readingOrder="0" shrinkToFit="0" vertical="bottom" wrapText="0"/>
    </xf>
    <xf borderId="4" fillId="9" fontId="10" numFmtId="3" xfId="0" applyAlignment="1" applyBorder="1" applyFont="1" applyNumberFormat="1">
      <alignment horizontal="right" readingOrder="0" shrinkToFit="0" vertical="bottom" wrapText="0"/>
    </xf>
    <xf borderId="3" fillId="8" fontId="10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horizontal="right" readingOrder="0" shrinkToFit="0" vertical="bottom" wrapText="0"/>
    </xf>
    <xf borderId="2" fillId="10" fontId="13" numFmtId="0" xfId="0" applyAlignment="1" applyBorder="1" applyFill="1" applyFont="1">
      <alignment readingOrder="0" shrinkToFit="0" vertical="bottom" wrapText="0"/>
    </xf>
    <xf borderId="3" fillId="10" fontId="13" numFmtId="0" xfId="0" applyAlignment="1" applyBorder="1" applyFont="1">
      <alignment readingOrder="0" shrinkToFit="0" vertical="bottom" wrapText="0"/>
    </xf>
    <xf borderId="4" fillId="10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11" fontId="10" numFmtId="0" xfId="0" applyAlignment="1" applyFill="1" applyFont="1">
      <alignment readingOrder="0" shrinkToFit="0" vertical="bottom" wrapText="0"/>
    </xf>
    <xf borderId="0" fillId="11" fontId="12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 shrinkToFit="0" vertical="bottom" wrapText="0"/>
    </xf>
    <xf borderId="0" fillId="12" fontId="10" numFmtId="0" xfId="0" applyAlignment="1" applyFill="1" applyFont="1">
      <alignment readingOrder="0" shrinkToFit="0" vertical="bottom" wrapText="0"/>
    </xf>
    <xf borderId="0" fillId="13" fontId="10" numFmtId="0" xfId="0" applyAlignment="1" applyFill="1" applyFont="1">
      <alignment readingOrder="0" shrinkToFit="0" vertical="bottom" wrapText="0"/>
    </xf>
    <xf borderId="0" fillId="12" fontId="12" numFmtId="0" xfId="0" applyAlignment="1" applyFont="1">
      <alignment readingOrder="0" shrinkToFit="0" vertical="bottom" wrapText="0"/>
    </xf>
    <xf borderId="0" fillId="14" fontId="7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15" fontId="7" numFmtId="0" xfId="0" applyAlignment="1" applyFill="1" applyFont="1">
      <alignment readingOrder="0"/>
    </xf>
    <xf borderId="0" fillId="15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16" fontId="7" numFmtId="0" xfId="0" applyAlignment="1" applyFill="1" applyFont="1">
      <alignment readingOrder="0"/>
    </xf>
    <xf borderId="0" fillId="12" fontId="7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17" fontId="7" numFmtId="0" xfId="0" applyAlignment="1" applyFill="1" applyFont="1">
      <alignment readingOrder="0"/>
    </xf>
    <xf borderId="0" fillId="11" fontId="7" numFmtId="0" xfId="0" applyAlignment="1" applyFont="1">
      <alignment readingOrder="0"/>
    </xf>
    <xf borderId="0" fillId="18" fontId="7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19" fontId="7" numFmtId="0" xfId="0" applyAlignment="1" applyFill="1" applyFont="1">
      <alignment readingOrder="0"/>
    </xf>
    <xf borderId="0" fillId="0" fontId="4" numFmtId="0" xfId="0" applyAlignment="1" applyFont="1">
      <alignment horizontal="right" vertical="bottom"/>
    </xf>
    <xf borderId="0" fillId="20" fontId="7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5" numFmtId="0" xfId="0" applyAlignment="1" applyFont="1">
      <alignment horizontal="right" readingOrder="0" vertical="bottom"/>
    </xf>
    <xf borderId="0" fillId="11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11" fontId="1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4" fontId="17" numFmtId="0" xfId="0" applyAlignment="1" applyFont="1">
      <alignment readingOrder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21" fontId="3" numFmtId="0" xfId="0" applyFill="1" applyFont="1"/>
    <xf borderId="0" fillId="0" fontId="7" numFmtId="0" xfId="0" applyFont="1"/>
    <xf borderId="0" fillId="22" fontId="15" numFmtId="0" xfId="0" applyAlignment="1" applyFill="1" applyFont="1">
      <alignment horizontal="right" readingOrder="0" vertical="bottom"/>
    </xf>
    <xf borderId="0" fillId="21" fontId="15" numFmtId="0" xfId="0" applyAlignment="1" applyFont="1">
      <alignment vertical="bottom"/>
    </xf>
    <xf borderId="0" fillId="21" fontId="4" numFmtId="0" xfId="0" applyAlignment="1" applyFont="1">
      <alignment horizontal="right" vertical="bottom"/>
    </xf>
    <xf borderId="0" fillId="0" fontId="18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4" fontId="6" numFmtId="0" xfId="0" applyAlignment="1" applyFont="1">
      <alignment readingOrder="0"/>
    </xf>
    <xf borderId="0" fillId="4" fontId="15" numFmtId="0" xfId="0" applyAlignment="1" applyFont="1">
      <alignment vertical="bottom"/>
    </xf>
    <xf borderId="0" fillId="23" fontId="15" numFmtId="0" xfId="0" applyAlignment="1" applyFill="1" applyFont="1">
      <alignment horizontal="right" vertical="bottom"/>
    </xf>
    <xf borderId="0" fillId="23" fontId="15" numFmtId="0" xfId="0" applyAlignment="1" applyFont="1">
      <alignment horizontal="right" readingOrder="0" vertical="bottom"/>
    </xf>
    <xf borderId="0" fillId="21" fontId="15" numFmtId="0" xfId="0" applyAlignment="1" applyFont="1">
      <alignment readingOrder="0" vertical="bottom"/>
    </xf>
    <xf borderId="0" fillId="21" fontId="15" numFmtId="0" xfId="0" applyAlignment="1" applyFont="1">
      <alignment horizontal="right" vertical="bottom"/>
    </xf>
    <xf borderId="0" fillId="23" fontId="15" numFmtId="0" xfId="0" applyAlignment="1" applyFont="1">
      <alignment readingOrder="0" vertical="bottom"/>
    </xf>
    <xf borderId="0" fillId="21" fontId="4" numFmtId="0" xfId="0" applyAlignment="1" applyFont="1">
      <alignment vertical="bottom"/>
    </xf>
    <xf borderId="0" fillId="21" fontId="15" numFmtId="0" xfId="0" applyAlignment="1" applyFont="1">
      <alignment horizontal="right" readingOrder="0" vertical="bottom"/>
    </xf>
    <xf borderId="0" fillId="23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/>
    </xf>
    <xf borderId="0" fillId="0" fontId="19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21" fontId="19" numFmtId="0" xfId="0" applyAlignment="1" applyFont="1">
      <alignment readingOrder="0" vertical="bottom"/>
    </xf>
    <xf borderId="0" fillId="4" fontId="15" numFmtId="0" xfId="0" applyAlignment="1" applyFont="1">
      <alignment readingOrder="0" vertical="bottom"/>
    </xf>
    <xf borderId="0" fillId="7" fontId="15" numFmtId="0" xfId="0" applyAlignment="1" applyFont="1">
      <alignment vertical="bottom"/>
    </xf>
    <xf borderId="0" fillId="22" fontId="15" numFmtId="0" xfId="0" applyAlignment="1" applyFont="1">
      <alignment horizontal="right" vertical="bottom"/>
    </xf>
    <xf borderId="0" fillId="24" fontId="15" numFmtId="0" xfId="0" applyAlignment="1" applyFill="1" applyFont="1">
      <alignment horizontal="right" vertical="bottom"/>
    </xf>
    <xf borderId="0" fillId="25" fontId="15" numFmtId="0" xfId="0" applyAlignment="1" applyFill="1" applyFont="1">
      <alignment horizontal="right" vertical="bottom"/>
    </xf>
    <xf borderId="0" fillId="4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  <c r="L1653" s="3">
        <f>SUMIFS(J:J,G:G,G1631,B:B,2015,C:C,4)</f>
        <v>76.54</v>
      </c>
      <c r="M1653" s="3">
        <f>SUMIFS(J:J,G:G,G1688,B:B,2015,C:C,4)</f>
        <v>22.97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3">
        <f t="shared" ref="A2598:A3535" si="46">A2597+1</f>
        <v>2597</v>
      </c>
      <c r="B2598" s="3">
        <v>2014.0</v>
      </c>
      <c r="C2598" s="3">
        <v>1.0</v>
      </c>
      <c r="D2598" s="3">
        <v>3.0</v>
      </c>
      <c r="E2598" s="3">
        <v>1.0</v>
      </c>
      <c r="F2598" s="3" t="s">
        <v>16</v>
      </c>
      <c r="G2598" s="12" t="s">
        <v>62</v>
      </c>
      <c r="H2598" s="3">
        <v>7.0</v>
      </c>
      <c r="I2598" s="3">
        <v>5.93</v>
      </c>
      <c r="J2598" s="3">
        <f t="shared" ref="J2598:J3535" si="47">H2598+I2598</f>
        <v>12.93</v>
      </c>
    </row>
    <row r="2599" ht="15.75" customHeight="1">
      <c r="A2599" s="3">
        <f t="shared" si="46"/>
        <v>2598</v>
      </c>
      <c r="B2599" s="3">
        <v>2014.0</v>
      </c>
      <c r="C2599" s="3">
        <v>1.0</v>
      </c>
      <c r="D2599" s="3">
        <v>3.0</v>
      </c>
      <c r="E2599" s="3">
        <v>1.0</v>
      </c>
      <c r="F2599" s="3" t="s">
        <v>16</v>
      </c>
      <c r="G2599" s="3" t="s">
        <v>122</v>
      </c>
      <c r="H2599" s="3">
        <v>5.33</v>
      </c>
      <c r="I2599" s="3">
        <v>4.6</v>
      </c>
      <c r="J2599" s="3">
        <f t="shared" si="47"/>
        <v>9.93</v>
      </c>
    </row>
    <row r="2600" ht="15.75" customHeight="1">
      <c r="A2600" s="3">
        <f t="shared" si="46"/>
        <v>2599</v>
      </c>
      <c r="B2600" s="3">
        <v>2014.0</v>
      </c>
      <c r="C2600" s="3">
        <v>1.0</v>
      </c>
      <c r="D2600" s="3">
        <v>3.0</v>
      </c>
      <c r="E2600" s="3">
        <v>2.0</v>
      </c>
      <c r="F2600" s="3" t="s">
        <v>16</v>
      </c>
      <c r="G2600" s="3" t="s">
        <v>27</v>
      </c>
      <c r="H2600" s="3">
        <v>5.1</v>
      </c>
      <c r="I2600" s="3">
        <v>5.0</v>
      </c>
      <c r="J2600" s="3">
        <f t="shared" si="47"/>
        <v>10.1</v>
      </c>
    </row>
    <row r="2601" ht="15.75" customHeight="1">
      <c r="A2601" s="3">
        <f t="shared" si="46"/>
        <v>2600</v>
      </c>
      <c r="B2601" s="3">
        <v>2014.0</v>
      </c>
      <c r="C2601" s="3">
        <v>1.0</v>
      </c>
      <c r="D2601" s="3">
        <v>3.0</v>
      </c>
      <c r="E2601" s="3">
        <v>2.0</v>
      </c>
      <c r="F2601" s="3" t="s">
        <v>16</v>
      </c>
      <c r="G2601" s="4" t="s">
        <v>123</v>
      </c>
      <c r="H2601" s="3">
        <v>7.0</v>
      </c>
      <c r="I2601" s="3">
        <v>3.93</v>
      </c>
      <c r="J2601" s="3">
        <f t="shared" si="47"/>
        <v>10.93</v>
      </c>
    </row>
    <row r="2602" ht="15.75" customHeight="1">
      <c r="A2602" s="3">
        <f t="shared" si="46"/>
        <v>2601</v>
      </c>
      <c r="B2602" s="3">
        <v>2014.0</v>
      </c>
      <c r="C2602" s="3">
        <v>1.0</v>
      </c>
      <c r="D2602" s="3">
        <v>3.0</v>
      </c>
      <c r="E2602" s="3">
        <v>3.0</v>
      </c>
      <c r="F2602" s="3" t="s">
        <v>16</v>
      </c>
      <c r="G2602" s="3" t="s">
        <v>31</v>
      </c>
      <c r="H2602" s="3">
        <v>7.433</v>
      </c>
      <c r="I2602" s="3">
        <v>6.33</v>
      </c>
      <c r="J2602" s="3">
        <f t="shared" si="47"/>
        <v>13.763</v>
      </c>
    </row>
    <row r="2603" ht="15.75" customHeight="1">
      <c r="A2603" s="3">
        <f t="shared" si="46"/>
        <v>2602</v>
      </c>
      <c r="B2603" s="3">
        <v>2014.0</v>
      </c>
      <c r="C2603" s="3">
        <v>1.0</v>
      </c>
      <c r="D2603" s="3">
        <v>3.0</v>
      </c>
      <c r="E2603" s="3">
        <v>3.0</v>
      </c>
      <c r="F2603" s="3" t="s">
        <v>16</v>
      </c>
      <c r="G2603" s="4" t="s">
        <v>124</v>
      </c>
      <c r="H2603" s="3">
        <v>8.33</v>
      </c>
      <c r="I2603" s="3">
        <v>6.83</v>
      </c>
      <c r="J2603" s="3">
        <f t="shared" si="47"/>
        <v>15.16</v>
      </c>
    </row>
    <row r="2604" ht="15.75" customHeight="1">
      <c r="A2604" s="3">
        <f t="shared" si="46"/>
        <v>2603</v>
      </c>
      <c r="B2604" s="3">
        <v>2014.0</v>
      </c>
      <c r="C2604" s="3">
        <v>1.0</v>
      </c>
      <c r="D2604" s="3">
        <v>3.0</v>
      </c>
      <c r="E2604" s="3">
        <v>4.0</v>
      </c>
      <c r="F2604" s="3" t="s">
        <v>16</v>
      </c>
      <c r="G2604" s="4" t="s">
        <v>125</v>
      </c>
      <c r="H2604" s="3">
        <v>5.67</v>
      </c>
      <c r="I2604" s="3">
        <v>4.53</v>
      </c>
      <c r="J2604" s="3">
        <f t="shared" si="47"/>
        <v>10.2</v>
      </c>
    </row>
    <row r="2605" ht="15.75" customHeight="1">
      <c r="A2605" s="3">
        <f t="shared" si="46"/>
        <v>2604</v>
      </c>
      <c r="B2605" s="3">
        <v>2014.0</v>
      </c>
      <c r="C2605" s="3">
        <v>1.0</v>
      </c>
      <c r="D2605" s="3">
        <v>3.0</v>
      </c>
      <c r="E2605" s="3">
        <v>4.0</v>
      </c>
      <c r="F2605" s="3" t="s">
        <v>16</v>
      </c>
      <c r="G2605" s="3" t="s">
        <v>29</v>
      </c>
      <c r="H2605" s="3">
        <v>5.13</v>
      </c>
      <c r="I2605" s="3">
        <v>4.83</v>
      </c>
      <c r="J2605" s="3">
        <f t="shared" si="47"/>
        <v>9.96</v>
      </c>
    </row>
    <row r="2606" ht="15.75" customHeight="1">
      <c r="A2606" s="3">
        <f t="shared" si="46"/>
        <v>2605</v>
      </c>
      <c r="B2606" s="3">
        <v>2014.0</v>
      </c>
      <c r="C2606" s="3">
        <v>1.0</v>
      </c>
      <c r="D2606" s="3">
        <v>3.0</v>
      </c>
      <c r="E2606" s="3">
        <v>5.0</v>
      </c>
      <c r="F2606" s="3" t="s">
        <v>16</v>
      </c>
      <c r="G2606" s="4" t="s">
        <v>30</v>
      </c>
      <c r="H2606" s="3">
        <v>7.83</v>
      </c>
      <c r="I2606" s="3">
        <v>5.33</v>
      </c>
      <c r="J2606" s="3">
        <f t="shared" si="47"/>
        <v>13.16</v>
      </c>
    </row>
    <row r="2607" ht="15.75" customHeight="1">
      <c r="A2607" s="3">
        <f t="shared" si="46"/>
        <v>2606</v>
      </c>
      <c r="B2607" s="3">
        <v>2014.0</v>
      </c>
      <c r="C2607" s="3">
        <v>1.0</v>
      </c>
      <c r="D2607" s="3">
        <v>3.0</v>
      </c>
      <c r="E2607" s="3">
        <v>5.0</v>
      </c>
      <c r="F2607" s="3" t="s">
        <v>16</v>
      </c>
      <c r="G2607" s="3" t="s">
        <v>47</v>
      </c>
      <c r="H2607" s="3">
        <v>2.6</v>
      </c>
      <c r="I2607" s="3">
        <v>2.17</v>
      </c>
      <c r="J2607" s="3">
        <f t="shared" si="47"/>
        <v>4.77</v>
      </c>
    </row>
    <row r="2608" ht="15.75" customHeight="1">
      <c r="A2608" s="3">
        <f t="shared" si="46"/>
        <v>2607</v>
      </c>
      <c r="B2608" s="3">
        <v>2014.0</v>
      </c>
      <c r="C2608" s="3">
        <v>1.0</v>
      </c>
      <c r="D2608" s="3">
        <v>3.0</v>
      </c>
      <c r="E2608" s="3">
        <v>6.0</v>
      </c>
      <c r="F2608" s="3" t="s">
        <v>16</v>
      </c>
      <c r="G2608" s="4" t="s">
        <v>41</v>
      </c>
      <c r="H2608" s="3">
        <v>8.5</v>
      </c>
      <c r="I2608" s="3">
        <v>7.33</v>
      </c>
      <c r="J2608" s="3">
        <f t="shared" si="47"/>
        <v>15.83</v>
      </c>
    </row>
    <row r="2609" ht="15.75" customHeight="1">
      <c r="A2609" s="3">
        <f t="shared" si="46"/>
        <v>2608</v>
      </c>
      <c r="B2609" s="3">
        <v>2014.0</v>
      </c>
      <c r="C2609" s="3">
        <v>1.0</v>
      </c>
      <c r="D2609" s="3">
        <v>3.0</v>
      </c>
      <c r="E2609" s="3">
        <v>6.0</v>
      </c>
      <c r="F2609" s="3" t="s">
        <v>16</v>
      </c>
      <c r="G2609" s="3" t="s">
        <v>100</v>
      </c>
      <c r="H2609" s="3">
        <v>7.33</v>
      </c>
      <c r="I2609" s="3">
        <v>6.13</v>
      </c>
      <c r="J2609" s="3">
        <f t="shared" si="47"/>
        <v>13.46</v>
      </c>
    </row>
    <row r="2610" ht="15.75" customHeight="1">
      <c r="A2610" s="3">
        <f t="shared" si="46"/>
        <v>2609</v>
      </c>
      <c r="B2610" s="3">
        <v>2014.0</v>
      </c>
      <c r="C2610" s="3">
        <v>1.0</v>
      </c>
      <c r="D2610" s="3">
        <v>3.0</v>
      </c>
      <c r="E2610" s="3">
        <v>7.0</v>
      </c>
      <c r="F2610" s="3" t="s">
        <v>16</v>
      </c>
      <c r="G2610" s="4" t="s">
        <v>37</v>
      </c>
      <c r="H2610" s="3">
        <v>9.07</v>
      </c>
      <c r="I2610" s="3">
        <v>7.5</v>
      </c>
      <c r="J2610" s="3">
        <f t="shared" si="47"/>
        <v>16.57</v>
      </c>
    </row>
    <row r="2611" ht="15.75" customHeight="1">
      <c r="A2611" s="3">
        <f t="shared" si="46"/>
        <v>2610</v>
      </c>
      <c r="B2611" s="3">
        <v>2014.0</v>
      </c>
      <c r="C2611" s="3">
        <v>1.0</v>
      </c>
      <c r="D2611" s="3">
        <v>3.0</v>
      </c>
      <c r="E2611" s="3">
        <v>7.0</v>
      </c>
      <c r="F2611" s="3" t="s">
        <v>16</v>
      </c>
      <c r="G2611" s="3" t="s">
        <v>120</v>
      </c>
      <c r="H2611" s="3">
        <v>5.5</v>
      </c>
      <c r="I2611" s="3">
        <v>3.17</v>
      </c>
      <c r="J2611" s="3">
        <f t="shared" si="47"/>
        <v>8.67</v>
      </c>
    </row>
    <row r="2612" ht="15.75" customHeight="1">
      <c r="A2612" s="3">
        <f t="shared" si="46"/>
        <v>2611</v>
      </c>
      <c r="B2612" s="3">
        <v>2014.0</v>
      </c>
      <c r="C2612" s="3">
        <v>1.0</v>
      </c>
      <c r="D2612" s="3">
        <v>3.0</v>
      </c>
      <c r="E2612" s="3">
        <v>8.0</v>
      </c>
      <c r="F2612" s="3" t="s">
        <v>16</v>
      </c>
      <c r="G2612" s="4" t="s">
        <v>42</v>
      </c>
      <c r="H2612" s="3">
        <v>8.33</v>
      </c>
      <c r="I2612" s="3">
        <v>5.67</v>
      </c>
      <c r="J2612" s="3">
        <f t="shared" si="47"/>
        <v>14</v>
      </c>
    </row>
    <row r="2613" ht="15.75" customHeight="1">
      <c r="A2613" s="3">
        <f t="shared" si="46"/>
        <v>2612</v>
      </c>
      <c r="B2613" s="3">
        <v>2014.0</v>
      </c>
      <c r="C2613" s="3">
        <v>1.0</v>
      </c>
      <c r="D2613" s="3">
        <v>3.0</v>
      </c>
      <c r="E2613" s="3">
        <v>8.0</v>
      </c>
      <c r="F2613" s="3" t="s">
        <v>16</v>
      </c>
      <c r="G2613" s="3" t="s">
        <v>50</v>
      </c>
      <c r="H2613" s="3">
        <v>0.0</v>
      </c>
      <c r="I2613" s="3">
        <v>5.33</v>
      </c>
      <c r="J2613" s="3">
        <f t="shared" si="47"/>
        <v>5.33</v>
      </c>
    </row>
    <row r="2614" ht="15.75" customHeight="1">
      <c r="A2614" s="3">
        <f t="shared" si="46"/>
        <v>2613</v>
      </c>
      <c r="B2614" s="3">
        <v>2014.0</v>
      </c>
      <c r="C2614" s="3">
        <v>1.0</v>
      </c>
      <c r="D2614" s="3">
        <v>3.0</v>
      </c>
      <c r="E2614" s="3">
        <v>9.0</v>
      </c>
      <c r="F2614" s="3" t="s">
        <v>16</v>
      </c>
      <c r="G2614" s="4" t="s">
        <v>45</v>
      </c>
      <c r="H2614" s="3">
        <v>6.5</v>
      </c>
      <c r="I2614" s="3">
        <v>5.97</v>
      </c>
      <c r="J2614" s="3">
        <f t="shared" si="47"/>
        <v>12.47</v>
      </c>
    </row>
    <row r="2615" ht="15.75" customHeight="1">
      <c r="A2615" s="3">
        <f t="shared" si="46"/>
        <v>2614</v>
      </c>
      <c r="B2615" s="3">
        <v>2014.0</v>
      </c>
      <c r="C2615" s="3">
        <v>1.0</v>
      </c>
      <c r="D2615" s="3">
        <v>3.0</v>
      </c>
      <c r="E2615" s="3">
        <v>9.0</v>
      </c>
      <c r="F2615" s="3" t="s">
        <v>16</v>
      </c>
      <c r="G2615" s="3" t="s">
        <v>32</v>
      </c>
      <c r="H2615" s="3">
        <v>5.83</v>
      </c>
      <c r="I2615" s="3">
        <v>5.5</v>
      </c>
      <c r="J2615" s="3">
        <f t="shared" si="47"/>
        <v>11.33</v>
      </c>
    </row>
    <row r="2616" ht="15.75" customHeight="1">
      <c r="A2616" s="3">
        <f t="shared" si="46"/>
        <v>2615</v>
      </c>
      <c r="B2616" s="3">
        <v>2014.0</v>
      </c>
      <c r="C2616" s="3">
        <v>1.0</v>
      </c>
      <c r="D2616" s="3">
        <v>3.0</v>
      </c>
      <c r="E2616" s="3">
        <v>10.0</v>
      </c>
      <c r="F2616" s="3" t="s">
        <v>16</v>
      </c>
      <c r="G2616" s="4" t="s">
        <v>56</v>
      </c>
      <c r="H2616" s="3">
        <v>9.0</v>
      </c>
      <c r="I2616" s="3">
        <v>6.17</v>
      </c>
      <c r="J2616" s="3">
        <f t="shared" si="47"/>
        <v>15.17</v>
      </c>
    </row>
    <row r="2617" ht="15.75" customHeight="1">
      <c r="A2617" s="3">
        <f t="shared" si="46"/>
        <v>2616</v>
      </c>
      <c r="B2617" s="3">
        <v>2014.0</v>
      </c>
      <c r="C2617" s="3">
        <v>1.0</v>
      </c>
      <c r="D2617" s="3">
        <v>3.0</v>
      </c>
      <c r="E2617" s="3">
        <v>10.0</v>
      </c>
      <c r="F2617" s="3" t="s">
        <v>16</v>
      </c>
      <c r="G2617" s="3" t="s">
        <v>35</v>
      </c>
      <c r="H2617" s="3">
        <v>7.03</v>
      </c>
      <c r="I2617" s="3">
        <v>5.57</v>
      </c>
      <c r="J2617" s="3">
        <f t="shared" si="47"/>
        <v>12.6</v>
      </c>
    </row>
    <row r="2618" ht="15.75" customHeight="1">
      <c r="A2618" s="3">
        <f t="shared" si="46"/>
        <v>2617</v>
      </c>
      <c r="B2618" s="3">
        <v>2014.0</v>
      </c>
      <c r="C2618" s="3">
        <v>1.0</v>
      </c>
      <c r="D2618" s="3">
        <v>3.0</v>
      </c>
      <c r="E2618" s="3">
        <v>11.0</v>
      </c>
      <c r="F2618" s="3" t="s">
        <v>16</v>
      </c>
      <c r="G2618" s="3" t="s">
        <v>57</v>
      </c>
      <c r="H2618" s="3">
        <v>9.73</v>
      </c>
      <c r="I2618" s="3">
        <v>6.17</v>
      </c>
      <c r="J2618" s="3">
        <f t="shared" si="47"/>
        <v>15.9</v>
      </c>
    </row>
    <row r="2619" ht="15.75" customHeight="1">
      <c r="A2619" s="3">
        <f t="shared" si="46"/>
        <v>2618</v>
      </c>
      <c r="B2619" s="3">
        <v>2014.0</v>
      </c>
      <c r="C2619" s="3">
        <v>1.0</v>
      </c>
      <c r="D2619" s="3">
        <v>3.0</v>
      </c>
      <c r="E2619" s="3">
        <v>11.0</v>
      </c>
      <c r="F2619" s="3" t="s">
        <v>16</v>
      </c>
      <c r="G2619" s="4" t="s">
        <v>55</v>
      </c>
      <c r="H2619" s="3">
        <v>8.87</v>
      </c>
      <c r="I2619" s="3">
        <v>7.33</v>
      </c>
      <c r="J2619" s="3">
        <f t="shared" si="47"/>
        <v>16.2</v>
      </c>
    </row>
    <row r="2620" ht="15.75" customHeight="1">
      <c r="A2620" s="3">
        <f t="shared" si="46"/>
        <v>2619</v>
      </c>
      <c r="B2620" s="3">
        <v>2014.0</v>
      </c>
      <c r="C2620" s="3">
        <v>1.0</v>
      </c>
      <c r="D2620" s="3">
        <v>3.0</v>
      </c>
      <c r="E2620" s="3">
        <v>12.0</v>
      </c>
      <c r="F2620" s="3" t="s">
        <v>16</v>
      </c>
      <c r="G2620" s="4" t="s">
        <v>39</v>
      </c>
      <c r="H2620" s="3">
        <v>7.33</v>
      </c>
      <c r="I2620" s="3">
        <v>6.33</v>
      </c>
      <c r="J2620" s="3">
        <f t="shared" si="47"/>
        <v>13.66</v>
      </c>
    </row>
    <row r="2621" ht="15.75" customHeight="1">
      <c r="A2621" s="3">
        <f t="shared" si="46"/>
        <v>2620</v>
      </c>
      <c r="B2621" s="3">
        <v>2014.0</v>
      </c>
      <c r="C2621" s="3">
        <v>1.0</v>
      </c>
      <c r="D2621" s="3">
        <v>3.0</v>
      </c>
      <c r="E2621" s="3">
        <v>12.0</v>
      </c>
      <c r="F2621" s="3" t="s">
        <v>16</v>
      </c>
      <c r="G2621" s="3" t="s">
        <v>126</v>
      </c>
      <c r="H2621" s="3">
        <v>6.67</v>
      </c>
      <c r="I2621" s="3">
        <v>6.57</v>
      </c>
      <c r="J2621" s="3">
        <f t="shared" si="47"/>
        <v>13.24</v>
      </c>
    </row>
    <row r="2622" ht="15.75" customHeight="1">
      <c r="A2622" s="3">
        <f t="shared" si="46"/>
        <v>2621</v>
      </c>
      <c r="B2622" s="3">
        <v>2014.0</v>
      </c>
      <c r="C2622" s="3">
        <v>1.0</v>
      </c>
      <c r="D2622" s="3">
        <v>4.0</v>
      </c>
      <c r="E2622" s="3">
        <v>1.0</v>
      </c>
      <c r="F2622" s="3" t="s">
        <v>16</v>
      </c>
      <c r="G2622" s="4" t="s">
        <v>62</v>
      </c>
      <c r="H2622" s="3">
        <v>7.7</v>
      </c>
      <c r="I2622" s="3">
        <v>6.83</v>
      </c>
      <c r="J2622" s="3">
        <f t="shared" si="47"/>
        <v>14.53</v>
      </c>
    </row>
    <row r="2623" ht="15.75" customHeight="1">
      <c r="A2623" s="3">
        <f t="shared" si="46"/>
        <v>2622</v>
      </c>
      <c r="B2623" s="3">
        <v>2014.0</v>
      </c>
      <c r="C2623" s="3">
        <v>1.0</v>
      </c>
      <c r="D2623" s="3">
        <v>4.0</v>
      </c>
      <c r="E2623" s="3">
        <v>1.0</v>
      </c>
      <c r="F2623" s="3" t="s">
        <v>16</v>
      </c>
      <c r="G2623" s="3" t="s">
        <v>123</v>
      </c>
      <c r="H2623" s="3">
        <v>7.57</v>
      </c>
      <c r="I2623" s="3">
        <v>6.53</v>
      </c>
      <c r="J2623" s="3">
        <f t="shared" si="47"/>
        <v>14.1</v>
      </c>
    </row>
    <row r="2624" ht="15.75" customHeight="1">
      <c r="A2624" s="3">
        <f t="shared" si="46"/>
        <v>2623</v>
      </c>
      <c r="B2624" s="3">
        <v>2014.0</v>
      </c>
      <c r="C2624" s="3">
        <v>1.0</v>
      </c>
      <c r="D2624" s="3">
        <v>4.0</v>
      </c>
      <c r="E2624" s="3">
        <v>1.0</v>
      </c>
      <c r="F2624" s="3" t="s">
        <v>16</v>
      </c>
      <c r="G2624" s="3" t="s">
        <v>124</v>
      </c>
      <c r="H2624" s="3">
        <v>7.43</v>
      </c>
      <c r="I2624" s="3">
        <v>5.57</v>
      </c>
      <c r="J2624" s="3">
        <f t="shared" si="47"/>
        <v>13</v>
      </c>
    </row>
    <row r="2625" ht="15.75" customHeight="1">
      <c r="A2625" s="3">
        <f t="shared" si="46"/>
        <v>2624</v>
      </c>
      <c r="B2625" s="3">
        <v>2014.0</v>
      </c>
      <c r="C2625" s="3">
        <v>1.0</v>
      </c>
      <c r="D2625" s="3">
        <v>4.0</v>
      </c>
      <c r="E2625" s="3">
        <v>2.0</v>
      </c>
      <c r="F2625" s="3" t="s">
        <v>16</v>
      </c>
      <c r="G2625" s="3" t="s">
        <v>125</v>
      </c>
      <c r="H2625" s="3">
        <v>4.9</v>
      </c>
      <c r="I2625" s="3">
        <v>4.63</v>
      </c>
      <c r="J2625" s="3">
        <f t="shared" si="47"/>
        <v>9.53</v>
      </c>
    </row>
    <row r="2626" ht="15.75" customHeight="1">
      <c r="A2626" s="3">
        <f t="shared" si="46"/>
        <v>2625</v>
      </c>
      <c r="B2626" s="3">
        <v>2014.0</v>
      </c>
      <c r="C2626" s="3">
        <v>1.0</v>
      </c>
      <c r="D2626" s="3">
        <v>4.0</v>
      </c>
      <c r="E2626" s="3">
        <v>2.0</v>
      </c>
      <c r="F2626" s="3" t="s">
        <v>16</v>
      </c>
      <c r="G2626" s="4" t="s">
        <v>30</v>
      </c>
      <c r="H2626" s="3">
        <v>8.6</v>
      </c>
      <c r="I2626" s="3">
        <v>6.33</v>
      </c>
      <c r="J2626" s="3">
        <f t="shared" si="47"/>
        <v>14.93</v>
      </c>
    </row>
    <row r="2627" ht="15.75" customHeight="1">
      <c r="A2627" s="3">
        <f t="shared" si="46"/>
        <v>2626</v>
      </c>
      <c r="B2627" s="3">
        <v>2014.0</v>
      </c>
      <c r="C2627" s="3">
        <v>1.0</v>
      </c>
      <c r="D2627" s="3">
        <v>4.0</v>
      </c>
      <c r="E2627" s="3">
        <v>2.0</v>
      </c>
      <c r="F2627" s="3" t="s">
        <v>16</v>
      </c>
      <c r="G2627" s="3" t="s">
        <v>41</v>
      </c>
      <c r="H2627" s="3">
        <v>7.93</v>
      </c>
      <c r="I2627" s="3">
        <v>6.77</v>
      </c>
      <c r="J2627" s="3">
        <f t="shared" si="47"/>
        <v>14.7</v>
      </c>
    </row>
    <row r="2628" ht="15.75" customHeight="1">
      <c r="A2628" s="3">
        <f t="shared" si="46"/>
        <v>2627</v>
      </c>
      <c r="B2628" s="3">
        <v>2014.0</v>
      </c>
      <c r="C2628" s="3">
        <v>1.0</v>
      </c>
      <c r="D2628" s="3">
        <v>4.0</v>
      </c>
      <c r="E2628" s="3">
        <v>3.0</v>
      </c>
      <c r="F2628" s="3" t="s">
        <v>16</v>
      </c>
      <c r="G2628" s="3" t="s">
        <v>37</v>
      </c>
      <c r="H2628" s="3">
        <v>7.5</v>
      </c>
      <c r="I2628" s="3">
        <v>6.27</v>
      </c>
      <c r="J2628" s="3">
        <f t="shared" si="47"/>
        <v>13.77</v>
      </c>
    </row>
    <row r="2629" ht="15.75" customHeight="1">
      <c r="A2629" s="3">
        <f t="shared" si="46"/>
        <v>2628</v>
      </c>
      <c r="B2629" s="3">
        <v>2014.0</v>
      </c>
      <c r="C2629" s="3">
        <v>1.0</v>
      </c>
      <c r="D2629" s="3">
        <v>4.0</v>
      </c>
      <c r="E2629" s="3">
        <v>3.0</v>
      </c>
      <c r="F2629" s="3" t="s">
        <v>16</v>
      </c>
      <c r="G2629" s="4" t="s">
        <v>42</v>
      </c>
      <c r="H2629" s="3">
        <v>8.27</v>
      </c>
      <c r="I2629" s="3">
        <v>6.6</v>
      </c>
      <c r="J2629" s="3">
        <f t="shared" si="47"/>
        <v>14.87</v>
      </c>
    </row>
    <row r="2630" ht="15.75" customHeight="1">
      <c r="A2630" s="3">
        <f t="shared" si="46"/>
        <v>2629</v>
      </c>
      <c r="B2630" s="3">
        <v>2014.0</v>
      </c>
      <c r="C2630" s="3">
        <v>1.0</v>
      </c>
      <c r="D2630" s="3">
        <v>4.0</v>
      </c>
      <c r="E2630" s="3">
        <v>3.0</v>
      </c>
      <c r="F2630" s="3" t="s">
        <v>16</v>
      </c>
      <c r="G2630" s="3" t="s">
        <v>45</v>
      </c>
      <c r="H2630" s="3">
        <v>6.1</v>
      </c>
      <c r="I2630" s="3">
        <v>4.67</v>
      </c>
      <c r="J2630" s="3">
        <f t="shared" si="47"/>
        <v>10.77</v>
      </c>
    </row>
    <row r="2631" ht="15.75" customHeight="1">
      <c r="A2631" s="3">
        <f t="shared" si="46"/>
        <v>2630</v>
      </c>
      <c r="B2631" s="3">
        <v>2014.0</v>
      </c>
      <c r="C2631" s="3">
        <v>1.0</v>
      </c>
      <c r="D2631" s="3">
        <v>4.0</v>
      </c>
      <c r="E2631" s="3">
        <v>4.0</v>
      </c>
      <c r="F2631" s="3" t="s">
        <v>16</v>
      </c>
      <c r="G2631" s="3" t="s">
        <v>56</v>
      </c>
      <c r="H2631" s="3">
        <v>6.4</v>
      </c>
      <c r="I2631" s="3">
        <v>4.5</v>
      </c>
      <c r="J2631" s="3">
        <f t="shared" si="47"/>
        <v>10.9</v>
      </c>
    </row>
    <row r="2632" ht="15.75" customHeight="1">
      <c r="A2632" s="3">
        <f t="shared" si="46"/>
        <v>2631</v>
      </c>
      <c r="B2632" s="3">
        <v>2014.0</v>
      </c>
      <c r="C2632" s="3">
        <v>1.0</v>
      </c>
      <c r="D2632" s="3">
        <v>4.0</v>
      </c>
      <c r="E2632" s="3">
        <v>4.0</v>
      </c>
      <c r="F2632" s="3" t="s">
        <v>16</v>
      </c>
      <c r="G2632" s="3" t="s">
        <v>55</v>
      </c>
      <c r="H2632" s="3">
        <v>6.67</v>
      </c>
      <c r="I2632" s="3">
        <v>4.9</v>
      </c>
      <c r="J2632" s="3">
        <f t="shared" si="47"/>
        <v>11.57</v>
      </c>
    </row>
    <row r="2633" ht="15.75" customHeight="1">
      <c r="A2633" s="3">
        <f t="shared" si="46"/>
        <v>2632</v>
      </c>
      <c r="B2633" s="3">
        <v>2014.0</v>
      </c>
      <c r="C2633" s="3">
        <v>1.0</v>
      </c>
      <c r="D2633" s="3">
        <v>4.0</v>
      </c>
      <c r="E2633" s="3">
        <v>4.0</v>
      </c>
      <c r="F2633" s="3" t="s">
        <v>16</v>
      </c>
      <c r="G2633" s="4" t="s">
        <v>39</v>
      </c>
      <c r="H2633" s="3">
        <v>7.07</v>
      </c>
      <c r="I2633" s="3">
        <v>6.87</v>
      </c>
      <c r="J2633" s="3">
        <f t="shared" si="47"/>
        <v>13.94</v>
      </c>
    </row>
    <row r="2634" ht="15.75" customHeight="1">
      <c r="A2634" s="3">
        <f t="shared" si="46"/>
        <v>2633</v>
      </c>
      <c r="B2634" s="3">
        <v>2014.0</v>
      </c>
      <c r="C2634" s="3">
        <v>1.0</v>
      </c>
      <c r="D2634" s="3">
        <v>5.0</v>
      </c>
      <c r="E2634" s="3">
        <v>1.0</v>
      </c>
      <c r="F2634" s="3" t="s">
        <v>16</v>
      </c>
      <c r="G2634" s="3" t="s">
        <v>123</v>
      </c>
      <c r="H2634" s="3">
        <v>7.07</v>
      </c>
      <c r="I2634" s="3">
        <v>6.13</v>
      </c>
      <c r="J2634" s="3">
        <f t="shared" si="47"/>
        <v>13.2</v>
      </c>
    </row>
    <row r="2635" ht="15.75" customHeight="1">
      <c r="A2635" s="3">
        <f t="shared" si="46"/>
        <v>2634</v>
      </c>
      <c r="B2635" s="3">
        <v>2014.0</v>
      </c>
      <c r="C2635" s="3">
        <v>1.0</v>
      </c>
      <c r="D2635" s="3">
        <v>5.0</v>
      </c>
      <c r="E2635" s="3">
        <v>1.0</v>
      </c>
      <c r="F2635" s="3" t="s">
        <v>16</v>
      </c>
      <c r="G2635" s="4" t="s">
        <v>125</v>
      </c>
      <c r="H2635" s="3">
        <v>7.33</v>
      </c>
      <c r="I2635" s="3">
        <v>6.2</v>
      </c>
      <c r="J2635" s="3">
        <f t="shared" si="47"/>
        <v>13.53</v>
      </c>
    </row>
    <row r="2636" ht="15.75" customHeight="1">
      <c r="A2636" s="3">
        <f t="shared" si="46"/>
        <v>2635</v>
      </c>
      <c r="B2636" s="3">
        <v>2014.0</v>
      </c>
      <c r="C2636" s="3">
        <v>1.0</v>
      </c>
      <c r="D2636" s="3">
        <v>5.0</v>
      </c>
      <c r="E2636" s="3">
        <v>2.0</v>
      </c>
      <c r="F2636" s="3" t="s">
        <v>16</v>
      </c>
      <c r="G2636" s="4" t="s">
        <v>41</v>
      </c>
      <c r="H2636" s="3">
        <v>9.23</v>
      </c>
      <c r="I2636" s="3">
        <v>9.17</v>
      </c>
      <c r="J2636" s="3">
        <f t="shared" si="47"/>
        <v>18.4</v>
      </c>
    </row>
    <row r="2637" ht="15.75" customHeight="1">
      <c r="A2637" s="3">
        <f t="shared" si="46"/>
        <v>2636</v>
      </c>
      <c r="B2637" s="3">
        <v>2014.0</v>
      </c>
      <c r="C2637" s="3">
        <v>1.0</v>
      </c>
      <c r="D2637" s="3">
        <v>5.0</v>
      </c>
      <c r="E2637" s="3">
        <v>2.0</v>
      </c>
      <c r="F2637" s="3" t="s">
        <v>16</v>
      </c>
      <c r="G2637" s="3" t="s">
        <v>124</v>
      </c>
      <c r="H2637" s="3">
        <v>6.27</v>
      </c>
      <c r="I2637" s="3">
        <v>4.0</v>
      </c>
      <c r="J2637" s="3">
        <f t="shared" si="47"/>
        <v>10.27</v>
      </c>
    </row>
    <row r="2638" ht="15.75" customHeight="1">
      <c r="A2638" s="3">
        <f t="shared" si="46"/>
        <v>2637</v>
      </c>
      <c r="B2638" s="3">
        <v>2014.0</v>
      </c>
      <c r="C2638" s="3">
        <v>1.0</v>
      </c>
      <c r="D2638" s="3">
        <v>5.0</v>
      </c>
      <c r="E2638" s="3">
        <v>3.0</v>
      </c>
      <c r="F2638" s="3" t="s">
        <v>16</v>
      </c>
      <c r="G2638" s="4" t="s">
        <v>37</v>
      </c>
      <c r="H2638" s="3">
        <v>8.33</v>
      </c>
      <c r="I2638" s="3">
        <v>7.93</v>
      </c>
      <c r="J2638" s="3">
        <f t="shared" si="47"/>
        <v>16.26</v>
      </c>
    </row>
    <row r="2639" ht="15.75" customHeight="1">
      <c r="A2639" s="3">
        <f t="shared" si="46"/>
        <v>2638</v>
      </c>
      <c r="B2639" s="3">
        <v>2014.0</v>
      </c>
      <c r="C2639" s="3">
        <v>1.0</v>
      </c>
      <c r="D2639" s="3">
        <v>5.0</v>
      </c>
      <c r="E2639" s="3">
        <v>3.0</v>
      </c>
      <c r="F2639" s="3" t="s">
        <v>16</v>
      </c>
      <c r="G2639" s="3" t="s">
        <v>56</v>
      </c>
      <c r="H2639" s="3">
        <v>7.33</v>
      </c>
      <c r="I2639" s="3">
        <v>7.07</v>
      </c>
      <c r="J2639" s="3">
        <f t="shared" si="47"/>
        <v>14.4</v>
      </c>
    </row>
    <row r="2640" ht="15.75" customHeight="1">
      <c r="A2640" s="3">
        <f t="shared" si="46"/>
        <v>2639</v>
      </c>
      <c r="B2640" s="3">
        <v>2014.0</v>
      </c>
      <c r="C2640" s="3">
        <v>1.0</v>
      </c>
      <c r="D2640" s="3">
        <v>5.0</v>
      </c>
      <c r="E2640" s="3">
        <v>4.0</v>
      </c>
      <c r="F2640" s="3" t="s">
        <v>16</v>
      </c>
      <c r="G2640" s="4" t="s">
        <v>55</v>
      </c>
      <c r="H2640" s="3">
        <v>8.8</v>
      </c>
      <c r="I2640" s="3">
        <v>7.6</v>
      </c>
      <c r="J2640" s="3">
        <f t="shared" si="47"/>
        <v>16.4</v>
      </c>
    </row>
    <row r="2641" ht="15.75" customHeight="1">
      <c r="A2641" s="3">
        <f t="shared" si="46"/>
        <v>2640</v>
      </c>
      <c r="B2641" s="3">
        <v>2014.0</v>
      </c>
      <c r="C2641" s="3">
        <v>1.0</v>
      </c>
      <c r="D2641" s="3">
        <v>5.0</v>
      </c>
      <c r="E2641" s="3">
        <v>4.0</v>
      </c>
      <c r="F2641" s="3" t="s">
        <v>16</v>
      </c>
      <c r="G2641" s="3" t="s">
        <v>45</v>
      </c>
      <c r="H2641" s="3">
        <v>8.43</v>
      </c>
      <c r="I2641" s="3">
        <v>6.77</v>
      </c>
      <c r="J2641" s="3">
        <f t="shared" si="47"/>
        <v>15.2</v>
      </c>
    </row>
    <row r="2642" ht="15.75" customHeight="1">
      <c r="A2642" s="3">
        <f t="shared" si="46"/>
        <v>2641</v>
      </c>
      <c r="B2642" s="3">
        <v>2014.0</v>
      </c>
      <c r="C2642" s="3">
        <v>1.0</v>
      </c>
      <c r="D2642" s="3">
        <v>6.0</v>
      </c>
      <c r="E2642" s="3">
        <v>1.0</v>
      </c>
      <c r="F2642" s="3" t="s">
        <v>16</v>
      </c>
      <c r="G2642" s="4" t="s">
        <v>62</v>
      </c>
      <c r="H2642" s="3">
        <v>8.0</v>
      </c>
      <c r="I2642" s="3">
        <v>7.0</v>
      </c>
      <c r="J2642" s="3">
        <f t="shared" si="47"/>
        <v>15</v>
      </c>
    </row>
    <row r="2643" ht="15.75" customHeight="1">
      <c r="A2643" s="3">
        <f t="shared" si="46"/>
        <v>2642</v>
      </c>
      <c r="B2643" s="3">
        <v>2014.0</v>
      </c>
      <c r="C2643" s="3">
        <v>1.0</v>
      </c>
      <c r="D2643" s="3">
        <v>6.0</v>
      </c>
      <c r="E2643" s="3">
        <v>1.0</v>
      </c>
      <c r="F2643" s="3" t="s">
        <v>16</v>
      </c>
      <c r="G2643" s="3" t="s">
        <v>125</v>
      </c>
      <c r="H2643" s="3">
        <v>7.43</v>
      </c>
      <c r="I2643" s="3">
        <v>5.03</v>
      </c>
      <c r="J2643" s="3">
        <f t="shared" si="47"/>
        <v>12.46</v>
      </c>
    </row>
    <row r="2644" ht="15.75" customHeight="1">
      <c r="A2644" s="3">
        <f t="shared" si="46"/>
        <v>2643</v>
      </c>
      <c r="B2644" s="3">
        <v>2014.0</v>
      </c>
      <c r="C2644" s="3">
        <v>1.0</v>
      </c>
      <c r="D2644" s="3">
        <v>6.0</v>
      </c>
      <c r="E2644" s="3">
        <v>2.0</v>
      </c>
      <c r="F2644" s="3" t="s">
        <v>16</v>
      </c>
      <c r="G2644" s="4" t="s">
        <v>30</v>
      </c>
      <c r="H2644" s="3">
        <v>9.4</v>
      </c>
      <c r="I2644" s="3">
        <v>6.43</v>
      </c>
      <c r="J2644" s="3">
        <f t="shared" si="47"/>
        <v>15.83</v>
      </c>
    </row>
    <row r="2645" ht="15.75" customHeight="1">
      <c r="A2645" s="3">
        <f t="shared" si="46"/>
        <v>2644</v>
      </c>
      <c r="B2645" s="3">
        <v>2014.0</v>
      </c>
      <c r="C2645" s="3">
        <v>1.0</v>
      </c>
      <c r="D2645" s="3">
        <v>6.0</v>
      </c>
      <c r="E2645" s="3">
        <v>2.0</v>
      </c>
      <c r="F2645" s="3" t="s">
        <v>16</v>
      </c>
      <c r="G2645" s="3" t="s">
        <v>41</v>
      </c>
      <c r="H2645" s="3">
        <v>7.2</v>
      </c>
      <c r="I2645" s="3">
        <v>6.8</v>
      </c>
      <c r="J2645" s="3">
        <f t="shared" si="47"/>
        <v>14</v>
      </c>
    </row>
    <row r="2646" ht="15.75" customHeight="1">
      <c r="A2646" s="3">
        <f t="shared" si="46"/>
        <v>2645</v>
      </c>
      <c r="B2646" s="3">
        <v>2014.0</v>
      </c>
      <c r="C2646" s="3">
        <v>1.0</v>
      </c>
      <c r="D2646" s="3">
        <v>6.0</v>
      </c>
      <c r="E2646" s="3">
        <v>3.0</v>
      </c>
      <c r="F2646" s="3" t="s">
        <v>16</v>
      </c>
      <c r="G2646" s="4" t="s">
        <v>42</v>
      </c>
      <c r="H2646" s="3">
        <v>8.6</v>
      </c>
      <c r="I2646" s="3">
        <v>7.93</v>
      </c>
      <c r="J2646" s="3">
        <f t="shared" si="47"/>
        <v>16.53</v>
      </c>
    </row>
    <row r="2647" ht="15.75" customHeight="1">
      <c r="A2647" s="3">
        <f t="shared" si="46"/>
        <v>2646</v>
      </c>
      <c r="B2647" s="3">
        <v>2014.0</v>
      </c>
      <c r="C2647" s="3">
        <v>1.0</v>
      </c>
      <c r="D2647" s="3">
        <v>6.0</v>
      </c>
      <c r="E2647" s="3">
        <v>3.0</v>
      </c>
      <c r="F2647" s="3" t="s">
        <v>16</v>
      </c>
      <c r="G2647" s="3" t="s">
        <v>37</v>
      </c>
      <c r="H2647" s="3">
        <v>6.67</v>
      </c>
      <c r="I2647" s="3">
        <v>5.5</v>
      </c>
      <c r="J2647" s="3">
        <f t="shared" si="47"/>
        <v>12.17</v>
      </c>
    </row>
    <row r="2648" ht="15.75" customHeight="1">
      <c r="A2648" s="3">
        <f t="shared" si="46"/>
        <v>2647</v>
      </c>
      <c r="B2648" s="3">
        <v>2014.0</v>
      </c>
      <c r="C2648" s="3">
        <v>1.0</v>
      </c>
      <c r="D2648" s="3">
        <v>6.0</v>
      </c>
      <c r="E2648" s="3">
        <v>4.0</v>
      </c>
      <c r="F2648" s="3" t="s">
        <v>16</v>
      </c>
      <c r="G2648" s="4" t="s">
        <v>39</v>
      </c>
      <c r="H2648" s="3">
        <v>9.0</v>
      </c>
      <c r="I2648" s="3">
        <v>8.93</v>
      </c>
      <c r="J2648" s="3">
        <f t="shared" si="47"/>
        <v>17.93</v>
      </c>
    </row>
    <row r="2649" ht="15.75" customHeight="1">
      <c r="A2649" s="3">
        <f t="shared" si="46"/>
        <v>2648</v>
      </c>
      <c r="B2649" s="3">
        <v>2014.0</v>
      </c>
      <c r="C2649" s="3">
        <v>1.0</v>
      </c>
      <c r="D2649" s="3">
        <v>6.0</v>
      </c>
      <c r="E2649" s="3">
        <v>4.0</v>
      </c>
      <c r="F2649" s="3" t="s">
        <v>16</v>
      </c>
      <c r="G2649" s="3" t="s">
        <v>55</v>
      </c>
      <c r="H2649" s="3">
        <v>6.83</v>
      </c>
      <c r="I2649" s="3">
        <v>6.43</v>
      </c>
      <c r="J2649" s="3">
        <f t="shared" si="47"/>
        <v>13.26</v>
      </c>
    </row>
    <row r="2650" ht="15.75" customHeight="1">
      <c r="A2650" s="3">
        <f t="shared" si="46"/>
        <v>2649</v>
      </c>
      <c r="B2650" s="3">
        <v>2014.0</v>
      </c>
      <c r="C2650" s="3">
        <v>1.0</v>
      </c>
      <c r="D2650" s="3">
        <v>7.0</v>
      </c>
      <c r="E2650" s="3">
        <v>1.0</v>
      </c>
      <c r="F2650" s="3" t="s">
        <v>16</v>
      </c>
      <c r="G2650" s="3" t="s">
        <v>62</v>
      </c>
      <c r="H2650" s="3">
        <v>7.77</v>
      </c>
      <c r="I2650" s="3">
        <v>6.33</v>
      </c>
      <c r="J2650" s="3">
        <f t="shared" si="47"/>
        <v>14.1</v>
      </c>
    </row>
    <row r="2651" ht="15.75" customHeight="1">
      <c r="A2651" s="3">
        <f t="shared" si="46"/>
        <v>2650</v>
      </c>
      <c r="B2651" s="3">
        <v>2014.0</v>
      </c>
      <c r="C2651" s="3">
        <v>1.0</v>
      </c>
      <c r="D2651" s="3">
        <v>7.0</v>
      </c>
      <c r="E2651" s="3">
        <v>1.0</v>
      </c>
      <c r="F2651" s="3" t="s">
        <v>16</v>
      </c>
      <c r="G2651" s="4" t="s">
        <v>30</v>
      </c>
      <c r="H2651" s="3">
        <v>7.23</v>
      </c>
      <c r="I2651" s="3">
        <v>6.9</v>
      </c>
      <c r="J2651" s="3">
        <f t="shared" si="47"/>
        <v>14.13</v>
      </c>
    </row>
    <row r="2652" ht="15.75" customHeight="1">
      <c r="A2652" s="3">
        <f t="shared" si="46"/>
        <v>2651</v>
      </c>
      <c r="B2652" s="3">
        <v>2014.0</v>
      </c>
      <c r="C2652" s="3">
        <v>1.0</v>
      </c>
      <c r="D2652" s="3">
        <v>7.0</v>
      </c>
      <c r="E2652" s="3">
        <v>2.0</v>
      </c>
      <c r="F2652" s="3" t="s">
        <v>16</v>
      </c>
      <c r="G2652" s="3" t="s">
        <v>42</v>
      </c>
      <c r="H2652" s="3">
        <v>7.07</v>
      </c>
      <c r="I2652" s="3">
        <v>2.6</v>
      </c>
      <c r="J2652" s="3">
        <f t="shared" si="47"/>
        <v>9.67</v>
      </c>
    </row>
    <row r="2653" ht="15.75" customHeight="1">
      <c r="A2653" s="3">
        <f t="shared" si="46"/>
        <v>2652</v>
      </c>
      <c r="B2653" s="3">
        <v>2014.0</v>
      </c>
      <c r="C2653" s="3">
        <v>1.0</v>
      </c>
      <c r="D2653" s="3">
        <v>7.0</v>
      </c>
      <c r="E2653" s="3">
        <v>2.0</v>
      </c>
      <c r="F2653" s="3" t="s">
        <v>16</v>
      </c>
      <c r="G2653" s="4" t="s">
        <v>39</v>
      </c>
      <c r="H2653" s="3">
        <v>9.93</v>
      </c>
      <c r="I2653" s="3">
        <v>8.77</v>
      </c>
      <c r="J2653" s="3">
        <f t="shared" si="47"/>
        <v>18.7</v>
      </c>
    </row>
    <row r="2654" ht="15.75" customHeight="1">
      <c r="A2654" s="3">
        <f t="shared" si="46"/>
        <v>2653</v>
      </c>
      <c r="B2654" s="3">
        <v>2014.0</v>
      </c>
      <c r="C2654" s="3">
        <v>1.0</v>
      </c>
      <c r="D2654" s="3">
        <v>8.0</v>
      </c>
      <c r="E2654" s="3">
        <v>1.0</v>
      </c>
      <c r="F2654" s="3" t="s">
        <v>16</v>
      </c>
      <c r="G2654" s="4" t="s">
        <v>30</v>
      </c>
      <c r="H2654" s="3">
        <v>8.5</v>
      </c>
      <c r="I2654" s="3">
        <v>7.83</v>
      </c>
      <c r="J2654" s="3">
        <f t="shared" si="47"/>
        <v>16.33</v>
      </c>
    </row>
    <row r="2655" ht="15.75" customHeight="1">
      <c r="A2655" s="3">
        <f t="shared" si="46"/>
        <v>2654</v>
      </c>
      <c r="B2655" s="3">
        <v>2014.0</v>
      </c>
      <c r="C2655" s="3">
        <v>1.0</v>
      </c>
      <c r="D2655" s="3">
        <v>8.0</v>
      </c>
      <c r="E2655" s="3">
        <v>1.0</v>
      </c>
      <c r="F2655" s="3" t="s">
        <v>16</v>
      </c>
      <c r="G2655" s="3" t="s">
        <v>39</v>
      </c>
      <c r="H2655" s="3">
        <v>9.0</v>
      </c>
      <c r="I2655" s="3">
        <v>7.27</v>
      </c>
      <c r="J2655" s="3">
        <f t="shared" si="47"/>
        <v>16.27</v>
      </c>
    </row>
    <row r="2656" ht="15.75" customHeight="1">
      <c r="A2656" s="3">
        <f t="shared" si="46"/>
        <v>2655</v>
      </c>
      <c r="B2656" s="3">
        <v>2014.0</v>
      </c>
      <c r="C2656" s="3">
        <v>2.0</v>
      </c>
      <c r="D2656" s="3">
        <v>3.0</v>
      </c>
      <c r="E2656" s="3">
        <v>1.0</v>
      </c>
      <c r="F2656" s="3" t="s">
        <v>16</v>
      </c>
      <c r="G2656" s="3" t="s">
        <v>62</v>
      </c>
      <c r="H2656" s="3">
        <v>7.6</v>
      </c>
      <c r="I2656" s="3">
        <v>7.33</v>
      </c>
      <c r="J2656" s="3">
        <f t="shared" si="47"/>
        <v>14.93</v>
      </c>
    </row>
    <row r="2657" ht="15.75" customHeight="1">
      <c r="A2657" s="3">
        <f t="shared" si="46"/>
        <v>2656</v>
      </c>
      <c r="B2657" s="3">
        <v>2014.0</v>
      </c>
      <c r="C2657" s="3">
        <v>2.0</v>
      </c>
      <c r="D2657" s="3">
        <v>3.0</v>
      </c>
      <c r="E2657" s="3">
        <v>1.0</v>
      </c>
      <c r="F2657" s="3" t="s">
        <v>16</v>
      </c>
      <c r="G2657" s="13" t="s">
        <v>59</v>
      </c>
      <c r="H2657" s="3">
        <v>8.6</v>
      </c>
      <c r="I2657" s="3">
        <v>6.6</v>
      </c>
      <c r="J2657" s="3">
        <f t="shared" si="47"/>
        <v>15.2</v>
      </c>
    </row>
    <row r="2658" ht="15.75" customHeight="1">
      <c r="A2658" s="3">
        <f t="shared" si="46"/>
        <v>2657</v>
      </c>
      <c r="B2658" s="3">
        <v>2014.0</v>
      </c>
      <c r="C2658" s="3">
        <v>2.0</v>
      </c>
      <c r="D2658" s="3">
        <v>3.0</v>
      </c>
      <c r="E2658" s="3">
        <v>2.0</v>
      </c>
      <c r="F2658" s="3" t="s">
        <v>16</v>
      </c>
      <c r="G2658" s="13" t="s">
        <v>45</v>
      </c>
      <c r="H2658" s="3">
        <v>6.23</v>
      </c>
      <c r="I2658" s="3">
        <v>6.0</v>
      </c>
      <c r="J2658" s="3">
        <f t="shared" si="47"/>
        <v>12.23</v>
      </c>
    </row>
    <row r="2659" ht="15.75" customHeight="1">
      <c r="A2659" s="3">
        <f t="shared" si="46"/>
        <v>2658</v>
      </c>
      <c r="B2659" s="3">
        <v>2014.0</v>
      </c>
      <c r="C2659" s="3">
        <v>2.0</v>
      </c>
      <c r="D2659" s="3">
        <v>3.0</v>
      </c>
      <c r="E2659" s="3">
        <v>2.0</v>
      </c>
      <c r="F2659" s="3" t="s">
        <v>16</v>
      </c>
      <c r="G2659" s="3" t="s">
        <v>47</v>
      </c>
      <c r="H2659" s="3">
        <v>5.4</v>
      </c>
      <c r="I2659" s="3">
        <v>4.9</v>
      </c>
      <c r="J2659" s="3">
        <f t="shared" si="47"/>
        <v>10.3</v>
      </c>
    </row>
    <row r="2660" ht="15.75" customHeight="1">
      <c r="A2660" s="3">
        <f t="shared" si="46"/>
        <v>2659</v>
      </c>
      <c r="B2660" s="3">
        <v>2014.0</v>
      </c>
      <c r="C2660" s="3">
        <v>2.0</v>
      </c>
      <c r="D2660" s="3">
        <v>3.0</v>
      </c>
      <c r="E2660" s="3">
        <v>3.0</v>
      </c>
      <c r="F2660" s="3" t="s">
        <v>16</v>
      </c>
      <c r="G2660" s="13" t="s">
        <v>28</v>
      </c>
      <c r="H2660" s="3">
        <v>7.83</v>
      </c>
      <c r="I2660" s="3">
        <v>5.27</v>
      </c>
      <c r="J2660" s="3">
        <f t="shared" si="47"/>
        <v>13.1</v>
      </c>
    </row>
    <row r="2661" ht="15.75" customHeight="1">
      <c r="A2661" s="3">
        <f t="shared" si="46"/>
        <v>2660</v>
      </c>
      <c r="B2661" s="3">
        <v>2014.0</v>
      </c>
      <c r="C2661" s="3">
        <v>2.0</v>
      </c>
      <c r="D2661" s="3">
        <v>3.0</v>
      </c>
      <c r="E2661" s="3">
        <v>3.0</v>
      </c>
      <c r="F2661" s="3" t="s">
        <v>16</v>
      </c>
      <c r="G2661" s="3" t="s">
        <v>29</v>
      </c>
      <c r="H2661" s="3">
        <v>7.5</v>
      </c>
      <c r="I2661" s="3">
        <v>2.17</v>
      </c>
      <c r="J2661" s="3">
        <f t="shared" si="47"/>
        <v>9.67</v>
      </c>
    </row>
    <row r="2662" ht="15.75" customHeight="1">
      <c r="A2662" s="3">
        <f t="shared" si="46"/>
        <v>2661</v>
      </c>
      <c r="B2662" s="3">
        <v>2014.0</v>
      </c>
      <c r="C2662" s="3">
        <v>2.0</v>
      </c>
      <c r="D2662" s="3">
        <v>3.0</v>
      </c>
      <c r="E2662" s="3">
        <v>4.0</v>
      </c>
      <c r="F2662" s="3" t="s">
        <v>16</v>
      </c>
      <c r="G2662" s="3" t="s">
        <v>125</v>
      </c>
      <c r="H2662" s="3">
        <v>5.67</v>
      </c>
      <c r="I2662" s="3">
        <v>4.0</v>
      </c>
      <c r="J2662" s="3">
        <f t="shared" si="47"/>
        <v>9.67</v>
      </c>
    </row>
    <row r="2663" ht="15.75" customHeight="1">
      <c r="A2663" s="3">
        <f t="shared" si="46"/>
        <v>2662</v>
      </c>
      <c r="B2663" s="3">
        <v>2014.0</v>
      </c>
      <c r="C2663" s="3">
        <v>2.0</v>
      </c>
      <c r="D2663" s="3">
        <v>3.0</v>
      </c>
      <c r="E2663" s="3">
        <v>4.0</v>
      </c>
      <c r="F2663" s="3" t="s">
        <v>16</v>
      </c>
      <c r="G2663" s="13" t="s">
        <v>55</v>
      </c>
      <c r="H2663" s="3">
        <v>6.67</v>
      </c>
      <c r="I2663" s="3">
        <v>4.67</v>
      </c>
      <c r="J2663" s="3">
        <f t="shared" si="47"/>
        <v>11.34</v>
      </c>
    </row>
    <row r="2664" ht="15.75" customHeight="1">
      <c r="A2664" s="3">
        <f t="shared" si="46"/>
        <v>2663</v>
      </c>
      <c r="B2664" s="3">
        <v>2014.0</v>
      </c>
      <c r="C2664" s="3">
        <v>2.0</v>
      </c>
      <c r="D2664" s="3">
        <v>3.0</v>
      </c>
      <c r="E2664" s="3">
        <v>5.0</v>
      </c>
      <c r="F2664" s="3" t="s">
        <v>16</v>
      </c>
      <c r="G2664" s="13" t="s">
        <v>30</v>
      </c>
      <c r="H2664" s="3">
        <v>8.77</v>
      </c>
      <c r="I2664" s="3">
        <v>7.67</v>
      </c>
      <c r="J2664" s="3">
        <f t="shared" si="47"/>
        <v>16.44</v>
      </c>
    </row>
    <row r="2665" ht="15.75" customHeight="1">
      <c r="A2665" s="3">
        <f t="shared" si="46"/>
        <v>2664</v>
      </c>
      <c r="B2665" s="3">
        <v>2014.0</v>
      </c>
      <c r="C2665" s="3">
        <v>2.0</v>
      </c>
      <c r="D2665" s="3">
        <v>3.0</v>
      </c>
      <c r="E2665" s="3">
        <v>5.0</v>
      </c>
      <c r="F2665" s="3" t="s">
        <v>16</v>
      </c>
      <c r="G2665" s="3" t="s">
        <v>26</v>
      </c>
      <c r="H2665" s="3">
        <v>8.5</v>
      </c>
      <c r="I2665" s="3">
        <v>4.5</v>
      </c>
      <c r="J2665" s="3">
        <f t="shared" si="47"/>
        <v>13</v>
      </c>
    </row>
    <row r="2666" ht="15.75" customHeight="1">
      <c r="A2666" s="3">
        <f t="shared" si="46"/>
        <v>2665</v>
      </c>
      <c r="B2666" s="3">
        <v>2014.0</v>
      </c>
      <c r="C2666" s="3">
        <v>2.0</v>
      </c>
      <c r="D2666" s="3">
        <v>3.0</v>
      </c>
      <c r="E2666" s="3">
        <v>6.0</v>
      </c>
      <c r="F2666" s="3" t="s">
        <v>16</v>
      </c>
      <c r="G2666" s="3" t="s">
        <v>41</v>
      </c>
      <c r="H2666" s="3">
        <v>5.5</v>
      </c>
      <c r="I2666" s="3">
        <v>4.33</v>
      </c>
      <c r="J2666" s="3">
        <f t="shared" si="47"/>
        <v>9.83</v>
      </c>
    </row>
    <row r="2667" ht="15.75" customHeight="1">
      <c r="A2667" s="3">
        <f t="shared" si="46"/>
        <v>2666</v>
      </c>
      <c r="B2667" s="3">
        <v>2014.0</v>
      </c>
      <c r="C2667" s="3">
        <v>2.0</v>
      </c>
      <c r="D2667" s="3">
        <v>3.0</v>
      </c>
      <c r="E2667" s="3">
        <v>6.0</v>
      </c>
      <c r="F2667" s="3" t="s">
        <v>16</v>
      </c>
      <c r="G2667" s="13" t="s">
        <v>127</v>
      </c>
      <c r="H2667" s="3">
        <v>9.77</v>
      </c>
      <c r="I2667" s="3">
        <v>7.17</v>
      </c>
      <c r="J2667" s="3">
        <f t="shared" si="47"/>
        <v>16.94</v>
      </c>
    </row>
    <row r="2668" ht="15.75" customHeight="1">
      <c r="A2668" s="3">
        <f t="shared" si="46"/>
        <v>2667</v>
      </c>
      <c r="B2668" s="3">
        <v>2014.0</v>
      </c>
      <c r="C2668" s="3">
        <v>2.0</v>
      </c>
      <c r="D2668" s="3">
        <v>3.0</v>
      </c>
      <c r="E2668" s="3">
        <v>7.0</v>
      </c>
      <c r="F2668" s="3" t="s">
        <v>16</v>
      </c>
      <c r="G2668" s="13" t="s">
        <v>37</v>
      </c>
      <c r="H2668" s="3">
        <v>6.83</v>
      </c>
      <c r="I2668" s="3">
        <v>5.73</v>
      </c>
      <c r="J2668" s="3">
        <f t="shared" si="47"/>
        <v>12.56</v>
      </c>
    </row>
    <row r="2669" ht="15.75" customHeight="1">
      <c r="A2669" s="3">
        <f t="shared" si="46"/>
        <v>2668</v>
      </c>
      <c r="B2669" s="3">
        <v>2014.0</v>
      </c>
      <c r="C2669" s="3">
        <v>2.0</v>
      </c>
      <c r="D2669" s="3">
        <v>3.0</v>
      </c>
      <c r="E2669" s="3">
        <v>7.0</v>
      </c>
      <c r="F2669" s="3" t="s">
        <v>16</v>
      </c>
      <c r="G2669" s="3" t="s">
        <v>35</v>
      </c>
      <c r="H2669" s="3">
        <v>5.27</v>
      </c>
      <c r="I2669" s="3">
        <v>5.2</v>
      </c>
      <c r="J2669" s="3">
        <f t="shared" si="47"/>
        <v>10.47</v>
      </c>
    </row>
    <row r="2670" ht="15.75" customHeight="1">
      <c r="A2670" s="3">
        <f t="shared" si="46"/>
        <v>2669</v>
      </c>
      <c r="B2670" s="3">
        <v>2014.0</v>
      </c>
      <c r="C2670" s="3">
        <v>2.0</v>
      </c>
      <c r="D2670" s="3">
        <v>3.0</v>
      </c>
      <c r="E2670" s="3">
        <v>8.0</v>
      </c>
      <c r="F2670" s="3" t="s">
        <v>16</v>
      </c>
      <c r="G2670" s="3" t="s">
        <v>60</v>
      </c>
      <c r="H2670" s="3">
        <v>4.97</v>
      </c>
      <c r="I2670" s="3">
        <v>4.73</v>
      </c>
      <c r="J2670" s="3">
        <f t="shared" si="47"/>
        <v>9.7</v>
      </c>
    </row>
    <row r="2671" ht="15.75" customHeight="1">
      <c r="A2671" s="3">
        <f t="shared" si="46"/>
        <v>2670</v>
      </c>
      <c r="B2671" s="3">
        <v>2014.0</v>
      </c>
      <c r="C2671" s="3">
        <v>2.0</v>
      </c>
      <c r="D2671" s="3">
        <v>3.0</v>
      </c>
      <c r="E2671" s="3">
        <v>8.0</v>
      </c>
      <c r="F2671" s="3" t="s">
        <v>16</v>
      </c>
      <c r="G2671" s="13" t="s">
        <v>27</v>
      </c>
      <c r="H2671" s="3">
        <v>6.67</v>
      </c>
      <c r="I2671" s="3">
        <v>6.2</v>
      </c>
      <c r="J2671" s="3">
        <f t="shared" si="47"/>
        <v>12.87</v>
      </c>
    </row>
    <row r="2672" ht="15.75" customHeight="1">
      <c r="A2672" s="3">
        <f t="shared" si="46"/>
        <v>2671</v>
      </c>
      <c r="B2672" s="3">
        <v>2014.0</v>
      </c>
      <c r="C2672" s="3">
        <v>2.0</v>
      </c>
      <c r="D2672" s="3">
        <v>3.0</v>
      </c>
      <c r="E2672" s="3">
        <v>9.0</v>
      </c>
      <c r="F2672" s="3" t="s">
        <v>16</v>
      </c>
      <c r="G2672" s="3" t="s">
        <v>128</v>
      </c>
      <c r="H2672" s="3">
        <v>7.17</v>
      </c>
      <c r="I2672" s="3">
        <v>4.83</v>
      </c>
      <c r="J2672" s="3">
        <f t="shared" si="47"/>
        <v>12</v>
      </c>
    </row>
    <row r="2673" ht="15.75" customHeight="1">
      <c r="A2673" s="3">
        <f t="shared" si="46"/>
        <v>2672</v>
      </c>
      <c r="B2673" s="3">
        <v>2014.0</v>
      </c>
      <c r="C2673" s="3">
        <v>2.0</v>
      </c>
      <c r="D2673" s="3">
        <v>3.0</v>
      </c>
      <c r="E2673" s="3">
        <v>9.0</v>
      </c>
      <c r="F2673" s="3" t="s">
        <v>16</v>
      </c>
      <c r="G2673" s="13" t="s">
        <v>33</v>
      </c>
      <c r="H2673" s="3">
        <v>8.07</v>
      </c>
      <c r="I2673" s="3">
        <v>6.5</v>
      </c>
      <c r="J2673" s="3">
        <f t="shared" si="47"/>
        <v>14.57</v>
      </c>
    </row>
    <row r="2674" ht="15.75" customHeight="1">
      <c r="A2674" s="3">
        <f t="shared" si="46"/>
        <v>2673</v>
      </c>
      <c r="B2674" s="3">
        <v>2014.0</v>
      </c>
      <c r="C2674" s="3">
        <v>2.0</v>
      </c>
      <c r="D2674" s="3">
        <v>3.0</v>
      </c>
      <c r="E2674" s="3">
        <v>10.0</v>
      </c>
      <c r="F2674" s="3" t="s">
        <v>16</v>
      </c>
      <c r="G2674" s="13" t="s">
        <v>56</v>
      </c>
      <c r="H2674" s="3">
        <v>6.33</v>
      </c>
      <c r="I2674" s="3">
        <v>5.93</v>
      </c>
      <c r="J2674" s="3">
        <f t="shared" si="47"/>
        <v>12.26</v>
      </c>
    </row>
    <row r="2675" ht="15.75" customHeight="1">
      <c r="A2675" s="3">
        <f t="shared" si="46"/>
        <v>2674</v>
      </c>
      <c r="B2675" s="3">
        <v>2014.0</v>
      </c>
      <c r="C2675" s="3">
        <v>2.0</v>
      </c>
      <c r="D2675" s="3">
        <v>3.0</v>
      </c>
      <c r="E2675" s="3">
        <v>10.0</v>
      </c>
      <c r="F2675" s="3" t="s">
        <v>16</v>
      </c>
      <c r="G2675" s="3" t="s">
        <v>38</v>
      </c>
      <c r="H2675" s="3">
        <v>5.53</v>
      </c>
      <c r="I2675" s="3">
        <v>5.5</v>
      </c>
      <c r="J2675" s="3">
        <f t="shared" si="47"/>
        <v>11.03</v>
      </c>
    </row>
    <row r="2676" ht="15.75" customHeight="1">
      <c r="A2676" s="3">
        <f t="shared" si="46"/>
        <v>2675</v>
      </c>
      <c r="B2676" s="3">
        <v>2014.0</v>
      </c>
      <c r="C2676" s="3">
        <v>2.0</v>
      </c>
      <c r="D2676" s="3">
        <v>3.0</v>
      </c>
      <c r="E2676" s="3">
        <v>11.0</v>
      </c>
      <c r="F2676" s="3" t="s">
        <v>16</v>
      </c>
      <c r="G2676" s="13" t="s">
        <v>42</v>
      </c>
      <c r="H2676" s="3">
        <v>6.83</v>
      </c>
      <c r="I2676" s="3">
        <v>5.67</v>
      </c>
      <c r="J2676" s="3">
        <f t="shared" si="47"/>
        <v>12.5</v>
      </c>
    </row>
    <row r="2677" ht="15.75" customHeight="1">
      <c r="A2677" s="3">
        <f t="shared" si="46"/>
        <v>2676</v>
      </c>
      <c r="B2677" s="3">
        <v>2014.0</v>
      </c>
      <c r="C2677" s="3">
        <v>2.0</v>
      </c>
      <c r="D2677" s="3">
        <v>3.0</v>
      </c>
      <c r="E2677" s="3">
        <v>11.0</v>
      </c>
      <c r="F2677" s="3" t="s">
        <v>16</v>
      </c>
      <c r="G2677" s="3" t="s">
        <v>57</v>
      </c>
      <c r="H2677" s="3">
        <v>6.6</v>
      </c>
      <c r="I2677" s="3">
        <v>4.8</v>
      </c>
      <c r="J2677" s="3">
        <f t="shared" si="47"/>
        <v>11.4</v>
      </c>
    </row>
    <row r="2678" ht="15.75" customHeight="1">
      <c r="A2678" s="3">
        <f t="shared" si="46"/>
        <v>2677</v>
      </c>
      <c r="B2678" s="3">
        <v>2014.0</v>
      </c>
      <c r="C2678" s="3">
        <v>2.0</v>
      </c>
      <c r="D2678" s="3">
        <v>3.0</v>
      </c>
      <c r="E2678" s="3">
        <v>12.0</v>
      </c>
      <c r="F2678" s="3" t="s">
        <v>16</v>
      </c>
      <c r="G2678" s="13" t="s">
        <v>39</v>
      </c>
      <c r="H2678" s="3">
        <v>8.5</v>
      </c>
      <c r="I2678" s="3">
        <v>6.0</v>
      </c>
      <c r="J2678" s="3">
        <f t="shared" si="47"/>
        <v>14.5</v>
      </c>
    </row>
    <row r="2679" ht="15.75" customHeight="1">
      <c r="A2679" s="3">
        <f t="shared" si="46"/>
        <v>2678</v>
      </c>
      <c r="B2679" s="3">
        <v>2014.0</v>
      </c>
      <c r="C2679" s="3">
        <v>2.0</v>
      </c>
      <c r="D2679" s="3">
        <v>3.0</v>
      </c>
      <c r="E2679" s="3">
        <v>12.0</v>
      </c>
      <c r="F2679" s="3" t="s">
        <v>16</v>
      </c>
      <c r="G2679" s="3" t="s">
        <v>32</v>
      </c>
      <c r="H2679" s="3">
        <v>3.5</v>
      </c>
      <c r="I2679" s="3">
        <v>1.73</v>
      </c>
      <c r="J2679" s="3">
        <f t="shared" si="47"/>
        <v>5.23</v>
      </c>
    </row>
    <row r="2680" ht="15.75" customHeight="1">
      <c r="A2680" s="3">
        <f t="shared" si="46"/>
        <v>2679</v>
      </c>
      <c r="B2680" s="3">
        <v>2014.0</v>
      </c>
      <c r="C2680" s="3">
        <v>2.0</v>
      </c>
      <c r="D2680" s="3">
        <v>4.0</v>
      </c>
      <c r="E2680" s="3">
        <v>1.0</v>
      </c>
      <c r="F2680" s="3" t="s">
        <v>16</v>
      </c>
      <c r="G2680" s="13" t="s">
        <v>59</v>
      </c>
      <c r="H2680" s="3">
        <v>7.33</v>
      </c>
      <c r="I2680" s="3">
        <v>6.33</v>
      </c>
      <c r="J2680" s="3">
        <f t="shared" si="47"/>
        <v>13.66</v>
      </c>
    </row>
    <row r="2681" ht="15.75" customHeight="1">
      <c r="A2681" s="3">
        <f t="shared" si="46"/>
        <v>2680</v>
      </c>
      <c r="B2681" s="3">
        <v>2014.0</v>
      </c>
      <c r="C2681" s="3">
        <v>2.0</v>
      </c>
      <c r="D2681" s="3">
        <v>4.0</v>
      </c>
      <c r="E2681" s="3">
        <v>1.0</v>
      </c>
      <c r="F2681" s="3" t="s">
        <v>16</v>
      </c>
      <c r="G2681" s="3" t="s">
        <v>45</v>
      </c>
      <c r="H2681" s="3">
        <v>6.93</v>
      </c>
      <c r="I2681" s="3">
        <v>0.0</v>
      </c>
      <c r="J2681" s="3">
        <f t="shared" si="47"/>
        <v>6.93</v>
      </c>
    </row>
    <row r="2682" ht="15.75" customHeight="1">
      <c r="A2682" s="3">
        <f t="shared" si="46"/>
        <v>2681</v>
      </c>
      <c r="B2682" s="3">
        <v>2014.0</v>
      </c>
      <c r="C2682" s="3">
        <v>2.0</v>
      </c>
      <c r="D2682" s="3">
        <v>4.0</v>
      </c>
      <c r="E2682" s="3">
        <v>1.0</v>
      </c>
      <c r="F2682" s="3" t="s">
        <v>16</v>
      </c>
      <c r="G2682" s="3" t="s">
        <v>28</v>
      </c>
      <c r="H2682" s="3">
        <v>7.0</v>
      </c>
      <c r="I2682" s="3">
        <v>5.0</v>
      </c>
      <c r="J2682" s="3">
        <f t="shared" si="47"/>
        <v>12</v>
      </c>
    </row>
    <row r="2683" ht="15.75" customHeight="1">
      <c r="A2683" s="3">
        <f t="shared" si="46"/>
        <v>2682</v>
      </c>
      <c r="B2683" s="3">
        <v>2014.0</v>
      </c>
      <c r="C2683" s="3">
        <v>2.0</v>
      </c>
      <c r="D2683" s="3">
        <v>4.0</v>
      </c>
      <c r="E2683" s="3">
        <v>2.0</v>
      </c>
      <c r="F2683" s="3" t="s">
        <v>16</v>
      </c>
      <c r="G2683" s="3" t="s">
        <v>55</v>
      </c>
      <c r="H2683" s="3">
        <v>6.3</v>
      </c>
      <c r="I2683" s="3">
        <v>3.0</v>
      </c>
      <c r="J2683" s="3">
        <f t="shared" si="47"/>
        <v>9.3</v>
      </c>
    </row>
    <row r="2684" ht="15.75" customHeight="1">
      <c r="A2684" s="3">
        <f t="shared" si="46"/>
        <v>2683</v>
      </c>
      <c r="B2684" s="3">
        <v>2014.0</v>
      </c>
      <c r="C2684" s="3">
        <v>2.0</v>
      </c>
      <c r="D2684" s="3">
        <v>4.0</v>
      </c>
      <c r="E2684" s="3">
        <v>2.0</v>
      </c>
      <c r="F2684" s="3" t="s">
        <v>16</v>
      </c>
      <c r="G2684" s="13" t="s">
        <v>30</v>
      </c>
      <c r="H2684" s="3">
        <v>7.5</v>
      </c>
      <c r="I2684" s="3">
        <v>6.83</v>
      </c>
      <c r="J2684" s="3">
        <f t="shared" si="47"/>
        <v>14.33</v>
      </c>
    </row>
    <row r="2685" ht="15.75" customHeight="1">
      <c r="A2685" s="3">
        <f t="shared" si="46"/>
        <v>2684</v>
      </c>
      <c r="B2685" s="3">
        <v>2014.0</v>
      </c>
      <c r="C2685" s="3">
        <v>2.0</v>
      </c>
      <c r="D2685" s="3">
        <v>4.0</v>
      </c>
      <c r="E2685" s="3">
        <v>2.0</v>
      </c>
      <c r="F2685" s="3" t="s">
        <v>16</v>
      </c>
      <c r="G2685" s="3" t="s">
        <v>127</v>
      </c>
      <c r="H2685" s="3">
        <v>6.0</v>
      </c>
      <c r="I2685" s="3">
        <v>5.5</v>
      </c>
      <c r="J2685" s="3">
        <f t="shared" si="47"/>
        <v>11.5</v>
      </c>
    </row>
    <row r="2686" ht="15.75" customHeight="1">
      <c r="A2686" s="3">
        <f t="shared" si="46"/>
        <v>2685</v>
      </c>
      <c r="B2686" s="3">
        <v>2014.0</v>
      </c>
      <c r="C2686" s="3">
        <v>2.0</v>
      </c>
      <c r="D2686" s="3">
        <v>4.0</v>
      </c>
      <c r="E2686" s="3">
        <v>3.0</v>
      </c>
      <c r="F2686" s="3" t="s">
        <v>16</v>
      </c>
      <c r="G2686" s="13" t="s">
        <v>37</v>
      </c>
      <c r="H2686" s="3">
        <v>6.33</v>
      </c>
      <c r="I2686" s="3">
        <v>5.6</v>
      </c>
      <c r="J2686" s="3">
        <f t="shared" si="47"/>
        <v>11.93</v>
      </c>
    </row>
    <row r="2687" ht="15.75" customHeight="1">
      <c r="A2687" s="3">
        <f t="shared" si="46"/>
        <v>2686</v>
      </c>
      <c r="B2687" s="3">
        <v>2014.0</v>
      </c>
      <c r="C2687" s="3">
        <v>2.0</v>
      </c>
      <c r="D2687" s="3">
        <v>4.0</v>
      </c>
      <c r="E2687" s="3">
        <v>3.0</v>
      </c>
      <c r="F2687" s="3" t="s">
        <v>16</v>
      </c>
      <c r="G2687" s="3" t="s">
        <v>27</v>
      </c>
      <c r="H2687" s="3">
        <v>4.33</v>
      </c>
      <c r="I2687" s="3">
        <v>4.17</v>
      </c>
      <c r="J2687" s="3">
        <f t="shared" si="47"/>
        <v>8.5</v>
      </c>
    </row>
    <row r="2688" ht="15.75" customHeight="1">
      <c r="A2688" s="3">
        <f t="shared" si="46"/>
        <v>2687</v>
      </c>
      <c r="B2688" s="3">
        <v>2014.0</v>
      </c>
      <c r="C2688" s="3">
        <v>2.0</v>
      </c>
      <c r="D2688" s="3">
        <v>4.0</v>
      </c>
      <c r="E2688" s="3">
        <v>3.0</v>
      </c>
      <c r="F2688" s="3" t="s">
        <v>16</v>
      </c>
      <c r="G2688" s="3" t="s">
        <v>33</v>
      </c>
      <c r="H2688" s="3">
        <v>5.33</v>
      </c>
      <c r="I2688" s="3">
        <v>5.3</v>
      </c>
      <c r="J2688" s="3">
        <f t="shared" si="47"/>
        <v>10.63</v>
      </c>
    </row>
    <row r="2689" ht="15.75" customHeight="1">
      <c r="A2689" s="3">
        <f t="shared" si="46"/>
        <v>2688</v>
      </c>
      <c r="B2689" s="3">
        <v>2014.0</v>
      </c>
      <c r="C2689" s="3">
        <v>2.0</v>
      </c>
      <c r="D2689" s="3">
        <v>4.0</v>
      </c>
      <c r="E2689" s="3">
        <v>4.0</v>
      </c>
      <c r="F2689" s="3" t="s">
        <v>16</v>
      </c>
      <c r="G2689" s="13" t="s">
        <v>56</v>
      </c>
      <c r="H2689" s="3">
        <v>7.0</v>
      </c>
      <c r="I2689" s="3">
        <v>6.93</v>
      </c>
      <c r="J2689" s="3">
        <f t="shared" si="47"/>
        <v>13.93</v>
      </c>
    </row>
    <row r="2690" ht="15.75" customHeight="1">
      <c r="A2690" s="3">
        <f t="shared" si="46"/>
        <v>2689</v>
      </c>
      <c r="B2690" s="3">
        <v>2014.0</v>
      </c>
      <c r="C2690" s="3">
        <v>2.0</v>
      </c>
      <c r="D2690" s="3">
        <v>4.0</v>
      </c>
      <c r="E2690" s="3">
        <v>4.0</v>
      </c>
      <c r="F2690" s="3" t="s">
        <v>16</v>
      </c>
      <c r="G2690" s="3" t="s">
        <v>42</v>
      </c>
      <c r="H2690" s="3">
        <v>7.77</v>
      </c>
      <c r="I2690" s="3">
        <v>5.6</v>
      </c>
      <c r="J2690" s="3">
        <f t="shared" si="47"/>
        <v>13.37</v>
      </c>
    </row>
    <row r="2691" ht="15.75" customHeight="1">
      <c r="A2691" s="3">
        <f t="shared" si="46"/>
        <v>2690</v>
      </c>
      <c r="B2691" s="3">
        <v>2014.0</v>
      </c>
      <c r="C2691" s="3">
        <v>2.0</v>
      </c>
      <c r="D2691" s="3">
        <v>4.0</v>
      </c>
      <c r="E2691" s="3">
        <v>4.0</v>
      </c>
      <c r="F2691" s="3" t="s">
        <v>16</v>
      </c>
      <c r="G2691" s="3" t="s">
        <v>39</v>
      </c>
      <c r="H2691" s="3">
        <v>5.4</v>
      </c>
      <c r="I2691" s="3">
        <v>5.33</v>
      </c>
      <c r="J2691" s="3">
        <f t="shared" si="47"/>
        <v>10.73</v>
      </c>
    </row>
    <row r="2692" ht="15.75" customHeight="1">
      <c r="A2692" s="3">
        <f t="shared" si="46"/>
        <v>2691</v>
      </c>
      <c r="B2692" s="3">
        <v>2014.0</v>
      </c>
      <c r="C2692" s="3">
        <v>2.0</v>
      </c>
      <c r="D2692" s="3">
        <v>5.0</v>
      </c>
      <c r="E2692" s="3">
        <v>1.0</v>
      </c>
      <c r="F2692" s="3" t="s">
        <v>16</v>
      </c>
      <c r="G2692" s="13" t="s">
        <v>28</v>
      </c>
      <c r="H2692" s="3">
        <v>6.33</v>
      </c>
      <c r="I2692" s="3">
        <v>4.83</v>
      </c>
      <c r="J2692" s="3">
        <f t="shared" si="47"/>
        <v>11.16</v>
      </c>
    </row>
    <row r="2693" ht="15.75" customHeight="1">
      <c r="A2693" s="3">
        <f t="shared" si="46"/>
        <v>2692</v>
      </c>
      <c r="B2693" s="3">
        <v>2014.0</v>
      </c>
      <c r="C2693" s="3">
        <v>2.0</v>
      </c>
      <c r="D2693" s="3">
        <v>5.0</v>
      </c>
      <c r="E2693" s="3">
        <v>1.0</v>
      </c>
      <c r="F2693" s="3" t="s">
        <v>16</v>
      </c>
      <c r="G2693" s="3" t="s">
        <v>55</v>
      </c>
      <c r="H2693" s="3">
        <v>4.6</v>
      </c>
      <c r="I2693" s="3">
        <v>3.77</v>
      </c>
      <c r="J2693" s="3">
        <f t="shared" si="47"/>
        <v>8.37</v>
      </c>
    </row>
    <row r="2694" ht="15.75" customHeight="1">
      <c r="A2694" s="3">
        <f t="shared" si="46"/>
        <v>2693</v>
      </c>
      <c r="B2694" s="3">
        <v>2014.0</v>
      </c>
      <c r="C2694" s="3">
        <v>2.0</v>
      </c>
      <c r="D2694" s="3">
        <v>5.0</v>
      </c>
      <c r="E2694" s="3">
        <v>2.0</v>
      </c>
      <c r="F2694" s="3" t="s">
        <v>16</v>
      </c>
      <c r="G2694" s="3" t="s">
        <v>127</v>
      </c>
      <c r="H2694" s="3">
        <v>4.97</v>
      </c>
      <c r="I2694" s="3">
        <v>4.5</v>
      </c>
      <c r="J2694" s="3">
        <f t="shared" si="47"/>
        <v>9.47</v>
      </c>
    </row>
    <row r="2695" ht="15.75" customHeight="1">
      <c r="A2695" s="3">
        <f t="shared" si="46"/>
        <v>2694</v>
      </c>
      <c r="B2695" s="3">
        <v>2014.0</v>
      </c>
      <c r="C2695" s="3">
        <v>2.0</v>
      </c>
      <c r="D2695" s="3">
        <v>5.0</v>
      </c>
      <c r="E2695" s="3">
        <v>2.0</v>
      </c>
      <c r="F2695" s="3" t="s">
        <v>16</v>
      </c>
      <c r="G2695" s="13" t="s">
        <v>45</v>
      </c>
      <c r="H2695" s="3">
        <v>8.17</v>
      </c>
      <c r="I2695" s="3">
        <v>6.17</v>
      </c>
      <c r="J2695" s="3">
        <f t="shared" si="47"/>
        <v>14.34</v>
      </c>
    </row>
    <row r="2696" ht="15.75" customHeight="1">
      <c r="A2696" s="3">
        <f t="shared" si="46"/>
        <v>2695</v>
      </c>
      <c r="B2696" s="3">
        <v>2014.0</v>
      </c>
      <c r="C2696" s="3">
        <v>2.0</v>
      </c>
      <c r="D2696" s="3">
        <v>5.0</v>
      </c>
      <c r="E2696" s="3">
        <v>3.0</v>
      </c>
      <c r="F2696" s="3" t="s">
        <v>16</v>
      </c>
      <c r="G2696" s="3" t="s">
        <v>33</v>
      </c>
      <c r="H2696" s="3">
        <v>8.23</v>
      </c>
      <c r="I2696" s="3">
        <v>5.27</v>
      </c>
      <c r="J2696" s="3">
        <f t="shared" si="47"/>
        <v>13.5</v>
      </c>
    </row>
    <row r="2697" ht="15.75" customHeight="1">
      <c r="A2697" s="3">
        <f t="shared" si="46"/>
        <v>2696</v>
      </c>
      <c r="B2697" s="3">
        <v>2014.0</v>
      </c>
      <c r="C2697" s="3">
        <v>2.0</v>
      </c>
      <c r="D2697" s="3">
        <v>5.0</v>
      </c>
      <c r="E2697" s="3">
        <v>3.0</v>
      </c>
      <c r="F2697" s="3" t="s">
        <v>16</v>
      </c>
      <c r="G2697" s="13" t="s">
        <v>39</v>
      </c>
      <c r="H2697" s="3">
        <v>8.43</v>
      </c>
      <c r="I2697" s="3">
        <v>8.17</v>
      </c>
      <c r="J2697" s="3">
        <f t="shared" si="47"/>
        <v>16.6</v>
      </c>
    </row>
    <row r="2698" ht="15.75" customHeight="1">
      <c r="A2698" s="3">
        <f t="shared" si="46"/>
        <v>2697</v>
      </c>
      <c r="B2698" s="3">
        <v>2014.0</v>
      </c>
      <c r="C2698" s="3">
        <v>2.0</v>
      </c>
      <c r="D2698" s="3">
        <v>5.0</v>
      </c>
      <c r="E2698" s="3">
        <v>4.0</v>
      </c>
      <c r="F2698" s="3" t="s">
        <v>16</v>
      </c>
      <c r="G2698" s="3" t="s">
        <v>42</v>
      </c>
      <c r="H2698" s="3">
        <v>6.33</v>
      </c>
      <c r="I2698" s="3">
        <v>5.17</v>
      </c>
      <c r="J2698" s="3">
        <f t="shared" si="47"/>
        <v>11.5</v>
      </c>
    </row>
    <row r="2699" ht="15.75" customHeight="1">
      <c r="A2699" s="3">
        <f t="shared" si="46"/>
        <v>2698</v>
      </c>
      <c r="B2699" s="3">
        <v>2014.0</v>
      </c>
      <c r="C2699" s="3">
        <v>2.0</v>
      </c>
      <c r="D2699" s="3">
        <v>5.0</v>
      </c>
      <c r="E2699" s="3">
        <v>4.0</v>
      </c>
      <c r="F2699" s="3" t="s">
        <v>16</v>
      </c>
      <c r="G2699" s="13" t="s">
        <v>27</v>
      </c>
      <c r="H2699" s="3">
        <v>7.83</v>
      </c>
      <c r="I2699" s="3">
        <v>6.5</v>
      </c>
      <c r="J2699" s="3">
        <f t="shared" si="47"/>
        <v>14.33</v>
      </c>
    </row>
    <row r="2700" ht="15.75" customHeight="1">
      <c r="A2700" s="3">
        <f t="shared" si="46"/>
        <v>2699</v>
      </c>
      <c r="B2700" s="3">
        <v>2014.0</v>
      </c>
      <c r="C2700" s="3">
        <v>2.0</v>
      </c>
      <c r="D2700" s="3">
        <v>6.0</v>
      </c>
      <c r="E2700" s="3">
        <v>1.0</v>
      </c>
      <c r="F2700" s="3" t="s">
        <v>16</v>
      </c>
      <c r="G2700" s="13" t="s">
        <v>59</v>
      </c>
      <c r="H2700" s="3">
        <v>7.67</v>
      </c>
      <c r="I2700" s="3">
        <v>7.63</v>
      </c>
      <c r="J2700" s="3">
        <f t="shared" si="47"/>
        <v>15.3</v>
      </c>
    </row>
    <row r="2701" ht="15.75" customHeight="1">
      <c r="A2701" s="3">
        <f t="shared" si="46"/>
        <v>2700</v>
      </c>
      <c r="B2701" s="3">
        <v>2014.0</v>
      </c>
      <c r="C2701" s="3">
        <v>2.0</v>
      </c>
      <c r="D2701" s="3">
        <v>6.0</v>
      </c>
      <c r="E2701" s="3">
        <v>1.0</v>
      </c>
      <c r="F2701" s="3" t="s">
        <v>16</v>
      </c>
      <c r="G2701" s="3" t="s">
        <v>28</v>
      </c>
      <c r="H2701" s="3">
        <v>8.0</v>
      </c>
      <c r="I2701" s="3">
        <v>6.0</v>
      </c>
      <c r="J2701" s="3">
        <f t="shared" si="47"/>
        <v>14</v>
      </c>
    </row>
    <row r="2702" ht="15.75" customHeight="1">
      <c r="A2702" s="3">
        <f t="shared" si="46"/>
        <v>2701</v>
      </c>
      <c r="B2702" s="3">
        <v>2014.0</v>
      </c>
      <c r="C2702" s="3">
        <v>2.0</v>
      </c>
      <c r="D2702" s="3">
        <v>6.0</v>
      </c>
      <c r="E2702" s="3">
        <v>2.0</v>
      </c>
      <c r="F2702" s="3" t="s">
        <v>16</v>
      </c>
      <c r="G2702" s="3" t="s">
        <v>30</v>
      </c>
      <c r="H2702" s="3">
        <v>5.6</v>
      </c>
      <c r="I2702" s="3">
        <v>5.17</v>
      </c>
      <c r="J2702" s="3">
        <f t="shared" si="47"/>
        <v>10.77</v>
      </c>
    </row>
    <row r="2703" ht="15.75" customHeight="1">
      <c r="A2703" s="3">
        <f t="shared" si="46"/>
        <v>2702</v>
      </c>
      <c r="B2703" s="3">
        <v>2014.0</v>
      </c>
      <c r="C2703" s="3">
        <v>2.0</v>
      </c>
      <c r="D2703" s="3">
        <v>6.0</v>
      </c>
      <c r="E2703" s="3">
        <v>2.0</v>
      </c>
      <c r="F2703" s="3" t="s">
        <v>16</v>
      </c>
      <c r="G2703" s="13" t="s">
        <v>45</v>
      </c>
      <c r="H2703" s="3">
        <v>7.0</v>
      </c>
      <c r="I2703" s="3">
        <v>6.7</v>
      </c>
      <c r="J2703" s="3">
        <f t="shared" si="47"/>
        <v>13.7</v>
      </c>
    </row>
    <row r="2704" ht="15.75" customHeight="1">
      <c r="A2704" s="3">
        <f t="shared" si="46"/>
        <v>2703</v>
      </c>
      <c r="B2704" s="3">
        <v>2014.0</v>
      </c>
      <c r="C2704" s="3">
        <v>2.0</v>
      </c>
      <c r="D2704" s="3">
        <v>6.0</v>
      </c>
      <c r="E2704" s="3">
        <v>3.0</v>
      </c>
      <c r="F2704" s="3" t="s">
        <v>16</v>
      </c>
      <c r="G2704" s="13" t="s">
        <v>37</v>
      </c>
      <c r="H2704" s="3">
        <v>8.43</v>
      </c>
      <c r="I2704" s="3">
        <v>7.1</v>
      </c>
      <c r="J2704" s="3">
        <f t="shared" si="47"/>
        <v>15.53</v>
      </c>
    </row>
    <row r="2705" ht="15.75" customHeight="1">
      <c r="A2705" s="3">
        <f t="shared" si="46"/>
        <v>2704</v>
      </c>
      <c r="B2705" s="3">
        <v>2014.0</v>
      </c>
      <c r="C2705" s="3">
        <v>2.0</v>
      </c>
      <c r="D2705" s="3">
        <v>6.0</v>
      </c>
      <c r="E2705" s="3">
        <v>3.0</v>
      </c>
      <c r="F2705" s="3" t="s">
        <v>16</v>
      </c>
      <c r="G2705" s="3" t="s">
        <v>39</v>
      </c>
      <c r="H2705" s="3">
        <v>8.77</v>
      </c>
      <c r="I2705" s="3">
        <v>6.67</v>
      </c>
      <c r="J2705" s="3">
        <f t="shared" si="47"/>
        <v>15.44</v>
      </c>
    </row>
    <row r="2706" ht="15.75" customHeight="1">
      <c r="A2706" s="3">
        <f t="shared" si="46"/>
        <v>2705</v>
      </c>
      <c r="B2706" s="3">
        <v>2014.0</v>
      </c>
      <c r="C2706" s="3">
        <v>2.0</v>
      </c>
      <c r="D2706" s="3">
        <v>6.0</v>
      </c>
      <c r="E2706" s="3">
        <v>4.0</v>
      </c>
      <c r="F2706" s="3" t="s">
        <v>16</v>
      </c>
      <c r="G2706" s="3" t="s">
        <v>56</v>
      </c>
      <c r="H2706" s="3">
        <v>4.93</v>
      </c>
      <c r="I2706" s="3">
        <v>4.83</v>
      </c>
      <c r="J2706" s="3">
        <f t="shared" si="47"/>
        <v>9.76</v>
      </c>
    </row>
    <row r="2707" ht="15.75" customHeight="1">
      <c r="A2707" s="3">
        <f t="shared" si="46"/>
        <v>2706</v>
      </c>
      <c r="B2707" s="3">
        <v>2014.0</v>
      </c>
      <c r="C2707" s="3">
        <v>2.0</v>
      </c>
      <c r="D2707" s="3">
        <v>6.0</v>
      </c>
      <c r="E2707" s="3">
        <v>4.0</v>
      </c>
      <c r="F2707" s="3" t="s">
        <v>16</v>
      </c>
      <c r="G2707" s="13" t="s">
        <v>27</v>
      </c>
      <c r="H2707" s="3">
        <v>6.67</v>
      </c>
      <c r="I2707" s="3">
        <v>6.33</v>
      </c>
      <c r="J2707" s="3">
        <f t="shared" si="47"/>
        <v>13</v>
      </c>
    </row>
    <row r="2708" ht="15.75" customHeight="1">
      <c r="A2708" s="3">
        <f t="shared" si="46"/>
        <v>2707</v>
      </c>
      <c r="B2708" s="3">
        <v>2014.0</v>
      </c>
      <c r="C2708" s="3">
        <v>2.0</v>
      </c>
      <c r="D2708" s="3">
        <v>7.0</v>
      </c>
      <c r="E2708" s="3">
        <v>1.0</v>
      </c>
      <c r="F2708" s="3" t="s">
        <v>16</v>
      </c>
      <c r="G2708" s="3" t="s">
        <v>59</v>
      </c>
      <c r="H2708" s="3">
        <v>7.8</v>
      </c>
      <c r="I2708" s="3">
        <v>7.07</v>
      </c>
      <c r="J2708" s="3">
        <f t="shared" si="47"/>
        <v>14.87</v>
      </c>
    </row>
    <row r="2709" ht="15.75" customHeight="1">
      <c r="A2709" s="3">
        <f t="shared" si="46"/>
        <v>2708</v>
      </c>
      <c r="B2709" s="3">
        <v>2014.0</v>
      </c>
      <c r="C2709" s="3">
        <v>2.0</v>
      </c>
      <c r="D2709" s="3">
        <v>7.0</v>
      </c>
      <c r="E2709" s="3">
        <v>1.0</v>
      </c>
      <c r="F2709" s="3" t="s">
        <v>16</v>
      </c>
      <c r="G2709" s="13" t="s">
        <v>45</v>
      </c>
      <c r="H2709" s="3">
        <v>8.83</v>
      </c>
      <c r="I2709" s="3">
        <v>6.27</v>
      </c>
      <c r="J2709" s="3">
        <f t="shared" si="47"/>
        <v>15.1</v>
      </c>
    </row>
    <row r="2710" ht="15.75" customHeight="1">
      <c r="A2710" s="3">
        <f t="shared" si="46"/>
        <v>2709</v>
      </c>
      <c r="B2710" s="3">
        <v>2014.0</v>
      </c>
      <c r="C2710" s="3">
        <v>2.0</v>
      </c>
      <c r="D2710" s="3">
        <v>7.0</v>
      </c>
      <c r="E2710" s="3">
        <v>2.0</v>
      </c>
      <c r="F2710" s="3" t="s">
        <v>16</v>
      </c>
      <c r="G2710" s="3" t="s">
        <v>37</v>
      </c>
      <c r="H2710" s="3">
        <v>8.83</v>
      </c>
      <c r="I2710" s="3">
        <v>7.07</v>
      </c>
      <c r="J2710" s="3">
        <f t="shared" si="47"/>
        <v>15.9</v>
      </c>
    </row>
    <row r="2711" ht="15.75" customHeight="1">
      <c r="A2711" s="3">
        <f t="shared" si="46"/>
        <v>2710</v>
      </c>
      <c r="B2711" s="3">
        <v>2014.0</v>
      </c>
      <c r="C2711" s="3">
        <v>2.0</v>
      </c>
      <c r="D2711" s="3">
        <v>7.0</v>
      </c>
      <c r="E2711" s="3">
        <v>2.0</v>
      </c>
      <c r="F2711" s="3" t="s">
        <v>16</v>
      </c>
      <c r="G2711" s="13" t="s">
        <v>27</v>
      </c>
      <c r="H2711" s="3">
        <v>9.37</v>
      </c>
      <c r="I2711" s="3">
        <v>6.77</v>
      </c>
      <c r="J2711" s="3">
        <f t="shared" si="47"/>
        <v>16.14</v>
      </c>
    </row>
    <row r="2712" ht="15.75" customHeight="1">
      <c r="A2712" s="3">
        <f t="shared" si="46"/>
        <v>2711</v>
      </c>
      <c r="B2712" s="3">
        <v>2014.0</v>
      </c>
      <c r="C2712" s="3">
        <v>2.0</v>
      </c>
      <c r="D2712" s="3">
        <v>8.0</v>
      </c>
      <c r="E2712" s="3">
        <v>1.0</v>
      </c>
      <c r="F2712" s="3" t="s">
        <v>16</v>
      </c>
      <c r="G2712" s="3" t="s">
        <v>45</v>
      </c>
      <c r="H2712" s="3">
        <v>7.37</v>
      </c>
      <c r="I2712" s="3">
        <v>5.07</v>
      </c>
      <c r="J2712" s="3">
        <f t="shared" si="47"/>
        <v>12.44</v>
      </c>
    </row>
    <row r="2713" ht="15.75" customHeight="1">
      <c r="A2713" s="3">
        <f t="shared" si="46"/>
        <v>2712</v>
      </c>
      <c r="B2713" s="3">
        <v>2014.0</v>
      </c>
      <c r="C2713" s="3">
        <v>2.0</v>
      </c>
      <c r="D2713" s="3">
        <v>8.0</v>
      </c>
      <c r="E2713" s="3">
        <v>1.0</v>
      </c>
      <c r="F2713" s="3" t="s">
        <v>16</v>
      </c>
      <c r="G2713" s="13" t="s">
        <v>27</v>
      </c>
      <c r="H2713" s="3">
        <v>8.33</v>
      </c>
      <c r="I2713" s="3">
        <v>7.57</v>
      </c>
      <c r="J2713" s="3">
        <f t="shared" si="47"/>
        <v>15.9</v>
      </c>
    </row>
    <row r="2714" ht="15.75" customHeight="1">
      <c r="A2714" s="3">
        <f t="shared" si="46"/>
        <v>2713</v>
      </c>
      <c r="B2714" s="3">
        <v>2014.0</v>
      </c>
      <c r="C2714" s="3">
        <v>3.0</v>
      </c>
      <c r="D2714" s="3">
        <v>3.0</v>
      </c>
      <c r="E2714" s="3">
        <v>1.0</v>
      </c>
      <c r="F2714" s="3" t="s">
        <v>16</v>
      </c>
      <c r="G2714" s="3" t="s">
        <v>62</v>
      </c>
      <c r="H2714" s="3">
        <v>7.0</v>
      </c>
      <c r="I2714" s="3">
        <v>5.9</v>
      </c>
      <c r="J2714" s="3">
        <f t="shared" si="47"/>
        <v>12.9</v>
      </c>
    </row>
    <row r="2715" ht="15.75" customHeight="1">
      <c r="A2715" s="3">
        <f t="shared" si="46"/>
        <v>2714</v>
      </c>
      <c r="B2715" s="3">
        <v>2014.0</v>
      </c>
      <c r="C2715" s="3">
        <v>3.0</v>
      </c>
      <c r="D2715" s="3">
        <v>3.0</v>
      </c>
      <c r="E2715" s="3">
        <v>1.0</v>
      </c>
      <c r="F2715" s="3" t="s">
        <v>16</v>
      </c>
      <c r="G2715" s="3" t="s">
        <v>124</v>
      </c>
      <c r="H2715" s="3">
        <v>6.17</v>
      </c>
      <c r="I2715" s="3">
        <v>4.67</v>
      </c>
      <c r="J2715" s="3">
        <f t="shared" si="47"/>
        <v>10.84</v>
      </c>
    </row>
    <row r="2716" ht="15.75" customHeight="1">
      <c r="A2716" s="3">
        <f t="shared" si="46"/>
        <v>2715</v>
      </c>
      <c r="B2716" s="3">
        <v>2014.0</v>
      </c>
      <c r="C2716" s="3">
        <v>3.0</v>
      </c>
      <c r="D2716" s="3">
        <v>3.0</v>
      </c>
      <c r="E2716" s="3">
        <v>2.0</v>
      </c>
      <c r="F2716" s="3" t="s">
        <v>16</v>
      </c>
      <c r="G2716" s="3" t="s">
        <v>42</v>
      </c>
      <c r="H2716" s="3">
        <v>6.2</v>
      </c>
      <c r="I2716" s="3">
        <v>5.0</v>
      </c>
      <c r="J2716" s="3">
        <f t="shared" si="47"/>
        <v>11.2</v>
      </c>
    </row>
    <row r="2717" ht="15.75" customHeight="1">
      <c r="A2717" s="3">
        <f t="shared" si="46"/>
        <v>2716</v>
      </c>
      <c r="B2717" s="3">
        <v>2014.0</v>
      </c>
      <c r="C2717" s="3">
        <v>3.0</v>
      </c>
      <c r="D2717" s="3">
        <v>3.0</v>
      </c>
      <c r="E2717" s="3">
        <v>2.0</v>
      </c>
      <c r="F2717" s="3" t="s">
        <v>16</v>
      </c>
      <c r="G2717" s="3" t="s">
        <v>33</v>
      </c>
      <c r="H2717" s="3">
        <v>6.17</v>
      </c>
      <c r="I2717" s="3">
        <v>4.57</v>
      </c>
      <c r="J2717" s="3">
        <f t="shared" si="47"/>
        <v>10.74</v>
      </c>
    </row>
    <row r="2718" ht="15.75" customHeight="1">
      <c r="A2718" s="3">
        <f t="shared" si="46"/>
        <v>2717</v>
      </c>
      <c r="B2718" s="3">
        <v>2014.0</v>
      </c>
      <c r="C2718" s="3">
        <v>3.0</v>
      </c>
      <c r="D2718" s="3">
        <v>3.0</v>
      </c>
      <c r="E2718" s="3">
        <v>3.0</v>
      </c>
      <c r="F2718" s="3" t="s">
        <v>16</v>
      </c>
      <c r="G2718" s="3" t="s">
        <v>45</v>
      </c>
      <c r="H2718" s="3">
        <v>6.77</v>
      </c>
      <c r="I2718" s="3">
        <v>5.83</v>
      </c>
      <c r="J2718" s="3">
        <f t="shared" si="47"/>
        <v>12.6</v>
      </c>
    </row>
    <row r="2719" ht="15.75" customHeight="1">
      <c r="A2719" s="3">
        <f t="shared" si="46"/>
        <v>2718</v>
      </c>
      <c r="B2719" s="3">
        <v>2014.0</v>
      </c>
      <c r="C2719" s="3">
        <v>3.0</v>
      </c>
      <c r="D2719" s="3">
        <v>3.0</v>
      </c>
      <c r="E2719" s="3">
        <v>3.0</v>
      </c>
      <c r="F2719" s="3" t="s">
        <v>16</v>
      </c>
      <c r="G2719" s="3" t="s">
        <v>29</v>
      </c>
      <c r="H2719" s="3">
        <v>8.23</v>
      </c>
      <c r="I2719" s="3">
        <v>7.33</v>
      </c>
      <c r="J2719" s="3">
        <f t="shared" si="47"/>
        <v>15.56</v>
      </c>
    </row>
    <row r="2720" ht="15.75" customHeight="1">
      <c r="A2720" s="3">
        <f t="shared" si="46"/>
        <v>2719</v>
      </c>
      <c r="B2720" s="3">
        <v>2014.0</v>
      </c>
      <c r="C2720" s="3">
        <v>3.0</v>
      </c>
      <c r="D2720" s="3">
        <v>3.0</v>
      </c>
      <c r="E2720" s="3">
        <v>4.0</v>
      </c>
      <c r="F2720" s="3" t="s">
        <v>16</v>
      </c>
      <c r="G2720" s="3" t="s">
        <v>30</v>
      </c>
      <c r="H2720" s="3">
        <v>8.67</v>
      </c>
      <c r="I2720" s="3">
        <v>8.33</v>
      </c>
      <c r="J2720" s="3">
        <f t="shared" si="47"/>
        <v>17</v>
      </c>
    </row>
    <row r="2721" ht="15.75" customHeight="1">
      <c r="A2721" s="3">
        <f t="shared" si="46"/>
        <v>2720</v>
      </c>
      <c r="B2721" s="3">
        <v>2014.0</v>
      </c>
      <c r="C2721" s="3">
        <v>3.0</v>
      </c>
      <c r="D2721" s="3">
        <v>3.0</v>
      </c>
      <c r="E2721" s="3">
        <v>4.0</v>
      </c>
      <c r="F2721" s="3" t="s">
        <v>16</v>
      </c>
      <c r="G2721" s="3" t="s">
        <v>59</v>
      </c>
      <c r="H2721" s="3">
        <v>8.3</v>
      </c>
      <c r="I2721" s="3">
        <v>6.83</v>
      </c>
      <c r="J2721" s="3">
        <f t="shared" si="47"/>
        <v>15.13</v>
      </c>
    </row>
    <row r="2722" ht="15.75" customHeight="1">
      <c r="A2722" s="3">
        <f t="shared" si="46"/>
        <v>2721</v>
      </c>
      <c r="B2722" s="3">
        <v>2014.0</v>
      </c>
      <c r="C2722" s="3">
        <v>3.0</v>
      </c>
      <c r="D2722" s="3">
        <v>3.0</v>
      </c>
      <c r="E2722" s="3">
        <v>5.0</v>
      </c>
      <c r="F2722" s="3" t="s">
        <v>16</v>
      </c>
      <c r="G2722" s="3" t="s">
        <v>60</v>
      </c>
      <c r="H2722" s="3">
        <v>8.5</v>
      </c>
      <c r="I2722" s="3">
        <v>7.17</v>
      </c>
      <c r="J2722" s="3">
        <f t="shared" si="47"/>
        <v>15.67</v>
      </c>
    </row>
    <row r="2723" ht="15.75" customHeight="1">
      <c r="A2723" s="3">
        <f t="shared" si="46"/>
        <v>2722</v>
      </c>
      <c r="B2723" s="3">
        <v>2014.0</v>
      </c>
      <c r="C2723" s="3">
        <v>3.0</v>
      </c>
      <c r="D2723" s="3">
        <v>3.0</v>
      </c>
      <c r="E2723" s="3">
        <v>5.0</v>
      </c>
      <c r="F2723" s="3" t="s">
        <v>16</v>
      </c>
      <c r="G2723" s="3" t="s">
        <v>26</v>
      </c>
      <c r="H2723" s="3">
        <v>8.83</v>
      </c>
      <c r="I2723" s="3">
        <v>7.0</v>
      </c>
      <c r="J2723" s="3">
        <f t="shared" si="47"/>
        <v>15.83</v>
      </c>
    </row>
    <row r="2724" ht="15.75" customHeight="1">
      <c r="A2724" s="3">
        <f t="shared" si="46"/>
        <v>2723</v>
      </c>
      <c r="B2724" s="3">
        <v>2014.0</v>
      </c>
      <c r="C2724" s="3">
        <v>3.0</v>
      </c>
      <c r="D2724" s="3">
        <v>3.0</v>
      </c>
      <c r="E2724" s="3">
        <v>6.0</v>
      </c>
      <c r="F2724" s="3" t="s">
        <v>16</v>
      </c>
      <c r="G2724" s="3" t="s">
        <v>37</v>
      </c>
      <c r="H2724" s="3">
        <v>7.83</v>
      </c>
      <c r="I2724" s="3">
        <v>7.7</v>
      </c>
      <c r="J2724" s="3">
        <f t="shared" si="47"/>
        <v>15.53</v>
      </c>
    </row>
    <row r="2725" ht="15.75" customHeight="1">
      <c r="A2725" s="3">
        <f t="shared" si="46"/>
        <v>2724</v>
      </c>
      <c r="B2725" s="3">
        <v>2014.0</v>
      </c>
      <c r="C2725" s="3">
        <v>3.0</v>
      </c>
      <c r="D2725" s="3">
        <v>3.0</v>
      </c>
      <c r="E2725" s="3">
        <v>6.0</v>
      </c>
      <c r="F2725" s="3" t="s">
        <v>16</v>
      </c>
      <c r="G2725" s="3" t="s">
        <v>99</v>
      </c>
      <c r="H2725" s="3">
        <v>8.57</v>
      </c>
      <c r="I2725" s="3">
        <v>5.83</v>
      </c>
      <c r="J2725" s="3">
        <f t="shared" si="47"/>
        <v>14.4</v>
      </c>
    </row>
    <row r="2726" ht="15.75" customHeight="1">
      <c r="A2726" s="3">
        <f t="shared" si="46"/>
        <v>2725</v>
      </c>
      <c r="B2726" s="3">
        <v>2014.0</v>
      </c>
      <c r="C2726" s="3">
        <v>3.0</v>
      </c>
      <c r="D2726" s="3">
        <v>3.0</v>
      </c>
      <c r="E2726" s="3">
        <v>7.0</v>
      </c>
      <c r="F2726" s="3" t="s">
        <v>16</v>
      </c>
      <c r="G2726" s="3" t="s">
        <v>39</v>
      </c>
      <c r="H2726" s="3">
        <v>7.6</v>
      </c>
      <c r="I2726" s="3">
        <v>7.5</v>
      </c>
      <c r="J2726" s="3">
        <f t="shared" si="47"/>
        <v>15.1</v>
      </c>
    </row>
    <row r="2727" ht="15.75" customHeight="1">
      <c r="A2727" s="3">
        <f t="shared" si="46"/>
        <v>2726</v>
      </c>
      <c r="B2727" s="3">
        <v>2014.0</v>
      </c>
      <c r="C2727" s="3">
        <v>3.0</v>
      </c>
      <c r="D2727" s="3">
        <v>3.0</v>
      </c>
      <c r="E2727" s="3">
        <v>7.0</v>
      </c>
      <c r="F2727" s="3" t="s">
        <v>16</v>
      </c>
      <c r="G2727" s="3" t="s">
        <v>107</v>
      </c>
      <c r="H2727" s="3">
        <v>6.4</v>
      </c>
      <c r="I2727" s="3">
        <v>4.5</v>
      </c>
      <c r="J2727" s="3">
        <f t="shared" si="47"/>
        <v>10.9</v>
      </c>
    </row>
    <row r="2728" ht="15.75" customHeight="1">
      <c r="A2728" s="3">
        <f t="shared" si="46"/>
        <v>2727</v>
      </c>
      <c r="B2728" s="3">
        <v>2014.0</v>
      </c>
      <c r="C2728" s="3">
        <v>3.0</v>
      </c>
      <c r="D2728" s="3">
        <v>3.0</v>
      </c>
      <c r="E2728" s="3">
        <v>8.0</v>
      </c>
      <c r="F2728" s="3" t="s">
        <v>16</v>
      </c>
      <c r="G2728" s="3" t="s">
        <v>125</v>
      </c>
      <c r="H2728" s="3">
        <v>6.0</v>
      </c>
      <c r="I2728" s="3">
        <v>4.83</v>
      </c>
      <c r="J2728" s="3">
        <f t="shared" si="47"/>
        <v>10.83</v>
      </c>
    </row>
    <row r="2729" ht="15.75" customHeight="1">
      <c r="A2729" s="3">
        <f t="shared" si="46"/>
        <v>2728</v>
      </c>
      <c r="B2729" s="3">
        <v>2014.0</v>
      </c>
      <c r="C2729" s="3">
        <v>3.0</v>
      </c>
      <c r="D2729" s="3">
        <v>3.0</v>
      </c>
      <c r="E2729" s="3">
        <v>8.0</v>
      </c>
      <c r="F2729" s="3" t="s">
        <v>16</v>
      </c>
      <c r="G2729" s="3" t="s">
        <v>57</v>
      </c>
      <c r="H2729" s="3">
        <v>7.33</v>
      </c>
      <c r="I2729" s="3">
        <v>6.1</v>
      </c>
      <c r="J2729" s="3">
        <f t="shared" si="47"/>
        <v>13.43</v>
      </c>
    </row>
    <row r="2730" ht="15.75" customHeight="1">
      <c r="A2730" s="3">
        <f t="shared" si="46"/>
        <v>2729</v>
      </c>
      <c r="B2730" s="3">
        <v>2014.0</v>
      </c>
      <c r="C2730" s="3">
        <v>3.0</v>
      </c>
      <c r="D2730" s="3">
        <v>3.0</v>
      </c>
      <c r="E2730" s="3">
        <v>9.0</v>
      </c>
      <c r="F2730" s="3" t="s">
        <v>16</v>
      </c>
      <c r="G2730" s="3" t="s">
        <v>28</v>
      </c>
      <c r="H2730" s="3">
        <v>9.57</v>
      </c>
      <c r="I2730" s="3">
        <v>7.87</v>
      </c>
      <c r="J2730" s="3">
        <f t="shared" si="47"/>
        <v>17.44</v>
      </c>
    </row>
    <row r="2731" ht="15.75" customHeight="1">
      <c r="A2731" s="3">
        <f t="shared" si="46"/>
        <v>2730</v>
      </c>
      <c r="B2731" s="3">
        <v>2014.0</v>
      </c>
      <c r="C2731" s="3">
        <v>3.0</v>
      </c>
      <c r="D2731" s="3">
        <v>3.0</v>
      </c>
      <c r="E2731" s="3">
        <v>9.0</v>
      </c>
      <c r="F2731" s="3" t="s">
        <v>16</v>
      </c>
      <c r="G2731" s="3" t="s">
        <v>38</v>
      </c>
      <c r="H2731" s="3">
        <v>9.0</v>
      </c>
      <c r="I2731" s="3">
        <v>6.5</v>
      </c>
      <c r="J2731" s="3">
        <f t="shared" si="47"/>
        <v>15.5</v>
      </c>
    </row>
    <row r="2732" ht="15.75" customHeight="1">
      <c r="A2732" s="3">
        <f t="shared" si="46"/>
        <v>2731</v>
      </c>
      <c r="B2732" s="3">
        <v>2014.0</v>
      </c>
      <c r="C2732" s="3">
        <v>3.0</v>
      </c>
      <c r="D2732" s="3">
        <v>3.0</v>
      </c>
      <c r="E2732" s="3">
        <v>10.0</v>
      </c>
      <c r="F2732" s="3" t="s">
        <v>16</v>
      </c>
      <c r="G2732" s="3" t="s">
        <v>56</v>
      </c>
      <c r="H2732" s="3">
        <v>6.33</v>
      </c>
      <c r="I2732" s="3">
        <v>6.1</v>
      </c>
      <c r="J2732" s="3">
        <f t="shared" si="47"/>
        <v>12.43</v>
      </c>
    </row>
    <row r="2733" ht="15.75" customHeight="1">
      <c r="A2733" s="3">
        <f t="shared" si="46"/>
        <v>2732</v>
      </c>
      <c r="B2733" s="3">
        <v>2014.0</v>
      </c>
      <c r="C2733" s="3">
        <v>3.0</v>
      </c>
      <c r="D2733" s="3">
        <v>3.0</v>
      </c>
      <c r="E2733" s="3">
        <v>10.0</v>
      </c>
      <c r="F2733" s="3" t="s">
        <v>16</v>
      </c>
      <c r="G2733" s="3" t="s">
        <v>123</v>
      </c>
      <c r="H2733" s="3">
        <v>8.33</v>
      </c>
      <c r="I2733" s="3">
        <v>4.93</v>
      </c>
      <c r="J2733" s="3">
        <f t="shared" si="47"/>
        <v>13.26</v>
      </c>
    </row>
    <row r="2734" ht="15.75" customHeight="1">
      <c r="A2734" s="3">
        <f t="shared" si="46"/>
        <v>2733</v>
      </c>
      <c r="B2734" s="3">
        <v>2014.0</v>
      </c>
      <c r="C2734" s="3">
        <v>3.0</v>
      </c>
      <c r="D2734" s="3">
        <v>3.0</v>
      </c>
      <c r="E2734" s="3">
        <v>11.0</v>
      </c>
      <c r="F2734" s="3" t="s">
        <v>16</v>
      </c>
      <c r="G2734" s="3" t="s">
        <v>31</v>
      </c>
      <c r="H2734" s="3">
        <v>9.93</v>
      </c>
      <c r="I2734" s="3">
        <v>7.1</v>
      </c>
      <c r="J2734" s="3">
        <f t="shared" si="47"/>
        <v>17.03</v>
      </c>
    </row>
    <row r="2735" ht="15.75" customHeight="1">
      <c r="A2735" s="3">
        <f t="shared" si="46"/>
        <v>2734</v>
      </c>
      <c r="B2735" s="3">
        <v>2014.0</v>
      </c>
      <c r="C2735" s="3">
        <v>3.0</v>
      </c>
      <c r="D2735" s="3">
        <v>3.0</v>
      </c>
      <c r="E2735" s="3">
        <v>11.0</v>
      </c>
      <c r="F2735" s="3" t="s">
        <v>16</v>
      </c>
      <c r="G2735" s="3" t="s">
        <v>55</v>
      </c>
      <c r="H2735" s="3">
        <v>5.67</v>
      </c>
      <c r="I2735" s="3">
        <v>3.67</v>
      </c>
      <c r="J2735" s="3">
        <f t="shared" si="47"/>
        <v>9.34</v>
      </c>
    </row>
    <row r="2736" ht="15.75" customHeight="1">
      <c r="A2736" s="3">
        <f t="shared" si="46"/>
        <v>2735</v>
      </c>
      <c r="B2736" s="3">
        <v>2014.0</v>
      </c>
      <c r="C2736" s="3">
        <v>3.0</v>
      </c>
      <c r="D2736" s="3">
        <v>3.0</v>
      </c>
      <c r="E2736" s="3">
        <v>12.0</v>
      </c>
      <c r="F2736" s="3" t="s">
        <v>16</v>
      </c>
      <c r="G2736" s="3" t="s">
        <v>41</v>
      </c>
      <c r="H2736" s="3">
        <v>9.67</v>
      </c>
      <c r="I2736" s="3">
        <v>7.27</v>
      </c>
      <c r="J2736" s="3">
        <f t="shared" si="47"/>
        <v>16.94</v>
      </c>
    </row>
    <row r="2737" ht="15.75" customHeight="1">
      <c r="A2737" s="3">
        <f t="shared" si="46"/>
        <v>2736</v>
      </c>
      <c r="B2737" s="3">
        <v>2014.0</v>
      </c>
      <c r="C2737" s="3">
        <v>3.0</v>
      </c>
      <c r="D2737" s="3">
        <v>3.0</v>
      </c>
      <c r="E2737" s="3">
        <v>12.0</v>
      </c>
      <c r="F2737" s="3" t="s">
        <v>16</v>
      </c>
      <c r="G2737" s="3" t="s">
        <v>129</v>
      </c>
      <c r="H2737" s="3">
        <v>6.5</v>
      </c>
      <c r="I2737" s="3">
        <v>4.0</v>
      </c>
      <c r="J2737" s="3">
        <f t="shared" si="47"/>
        <v>10.5</v>
      </c>
    </row>
    <row r="2738" ht="15.75" customHeight="1">
      <c r="A2738" s="3">
        <f t="shared" si="46"/>
        <v>2737</v>
      </c>
      <c r="B2738" s="3">
        <v>2014.0</v>
      </c>
      <c r="C2738" s="3">
        <v>3.0</v>
      </c>
      <c r="D2738" s="3">
        <v>4.0</v>
      </c>
      <c r="E2738" s="3">
        <v>1.0</v>
      </c>
      <c r="F2738" s="3" t="s">
        <v>16</v>
      </c>
      <c r="G2738" s="3" t="s">
        <v>62</v>
      </c>
      <c r="H2738" s="3">
        <v>8.07</v>
      </c>
      <c r="I2738" s="3">
        <v>7.5</v>
      </c>
      <c r="J2738" s="3">
        <f t="shared" si="47"/>
        <v>15.57</v>
      </c>
    </row>
    <row r="2739" ht="15.75" customHeight="1">
      <c r="A2739" s="3">
        <f t="shared" si="46"/>
        <v>2738</v>
      </c>
      <c r="B2739" s="3">
        <v>2014.0</v>
      </c>
      <c r="C2739" s="3">
        <v>3.0</v>
      </c>
      <c r="D2739" s="3">
        <v>4.0</v>
      </c>
      <c r="E2739" s="3">
        <v>1.0</v>
      </c>
      <c r="F2739" s="3" t="s">
        <v>16</v>
      </c>
      <c r="G2739" s="3" t="s">
        <v>42</v>
      </c>
      <c r="H2739" s="3">
        <v>6.93</v>
      </c>
      <c r="I2739" s="3">
        <v>5.17</v>
      </c>
      <c r="J2739" s="3">
        <f t="shared" si="47"/>
        <v>12.1</v>
      </c>
    </row>
    <row r="2740" ht="15.75" customHeight="1">
      <c r="A2740" s="3">
        <f t="shared" si="46"/>
        <v>2739</v>
      </c>
      <c r="B2740" s="3">
        <v>2014.0</v>
      </c>
      <c r="C2740" s="3">
        <v>3.0</v>
      </c>
      <c r="D2740" s="3">
        <v>4.0</v>
      </c>
      <c r="E2740" s="3">
        <v>1.0</v>
      </c>
      <c r="F2740" s="3" t="s">
        <v>16</v>
      </c>
      <c r="G2740" s="3" t="s">
        <v>29</v>
      </c>
      <c r="H2740" s="3">
        <v>5.5</v>
      </c>
      <c r="I2740" s="3">
        <v>5.4</v>
      </c>
      <c r="J2740" s="3">
        <f t="shared" si="47"/>
        <v>10.9</v>
      </c>
    </row>
    <row r="2741" ht="15.75" customHeight="1">
      <c r="A2741" s="3">
        <f t="shared" si="46"/>
        <v>2740</v>
      </c>
      <c r="B2741" s="3">
        <v>2014.0</v>
      </c>
      <c r="C2741" s="3">
        <v>3.0</v>
      </c>
      <c r="D2741" s="3">
        <v>4.0</v>
      </c>
      <c r="E2741" s="3">
        <v>2.0</v>
      </c>
      <c r="F2741" s="3" t="s">
        <v>16</v>
      </c>
      <c r="G2741" s="3" t="s">
        <v>30</v>
      </c>
      <c r="H2741" s="3">
        <v>5.67</v>
      </c>
      <c r="I2741" s="3">
        <v>5.5</v>
      </c>
      <c r="J2741" s="3">
        <f t="shared" si="47"/>
        <v>11.17</v>
      </c>
    </row>
    <row r="2742" ht="15.75" customHeight="1">
      <c r="A2742" s="3">
        <f t="shared" si="46"/>
        <v>2741</v>
      </c>
      <c r="B2742" s="3">
        <v>2014.0</v>
      </c>
      <c r="C2742" s="3">
        <v>3.0</v>
      </c>
      <c r="D2742" s="3">
        <v>4.0</v>
      </c>
      <c r="E2742" s="3">
        <v>2.0</v>
      </c>
      <c r="F2742" s="3" t="s">
        <v>16</v>
      </c>
      <c r="G2742" s="3" t="s">
        <v>26</v>
      </c>
      <c r="H2742" s="3">
        <v>10.0</v>
      </c>
      <c r="I2742" s="3">
        <v>8.0</v>
      </c>
      <c r="J2742" s="3">
        <f t="shared" si="47"/>
        <v>18</v>
      </c>
    </row>
    <row r="2743" ht="15.75" customHeight="1">
      <c r="A2743" s="3">
        <f t="shared" si="46"/>
        <v>2742</v>
      </c>
      <c r="B2743" s="3">
        <v>2014.0</v>
      </c>
      <c r="C2743" s="3">
        <v>3.0</v>
      </c>
      <c r="D2743" s="3">
        <v>4.0</v>
      </c>
      <c r="E2743" s="3">
        <v>2.0</v>
      </c>
      <c r="F2743" s="3" t="s">
        <v>16</v>
      </c>
      <c r="G2743" s="3" t="s">
        <v>37</v>
      </c>
      <c r="H2743" s="3">
        <v>8.93</v>
      </c>
      <c r="I2743" s="3">
        <v>7.6</v>
      </c>
      <c r="J2743" s="3">
        <f t="shared" si="47"/>
        <v>16.53</v>
      </c>
    </row>
    <row r="2744" ht="15.75" customHeight="1">
      <c r="A2744" s="3">
        <f t="shared" si="46"/>
        <v>2743</v>
      </c>
      <c r="B2744" s="3">
        <v>2014.0</v>
      </c>
      <c r="C2744" s="3">
        <v>3.0</v>
      </c>
      <c r="D2744" s="3">
        <v>4.0</v>
      </c>
      <c r="E2744" s="3">
        <v>3.0</v>
      </c>
      <c r="F2744" s="3" t="s">
        <v>16</v>
      </c>
      <c r="G2744" s="3" t="s">
        <v>39</v>
      </c>
      <c r="H2744" s="3">
        <v>8.93</v>
      </c>
      <c r="I2744" s="3">
        <v>7.73</v>
      </c>
      <c r="J2744" s="3">
        <f t="shared" si="47"/>
        <v>16.66</v>
      </c>
    </row>
    <row r="2745" ht="15.75" customHeight="1">
      <c r="A2745" s="3">
        <f t="shared" si="46"/>
        <v>2744</v>
      </c>
      <c r="B2745" s="3">
        <v>2014.0</v>
      </c>
      <c r="C2745" s="3">
        <v>3.0</v>
      </c>
      <c r="D2745" s="3">
        <v>4.0</v>
      </c>
      <c r="E2745" s="3">
        <v>3.0</v>
      </c>
      <c r="F2745" s="3" t="s">
        <v>16</v>
      </c>
      <c r="G2745" s="3" t="s">
        <v>57</v>
      </c>
      <c r="H2745" s="3">
        <v>6.7</v>
      </c>
      <c r="I2745" s="3">
        <v>5.5</v>
      </c>
      <c r="J2745" s="3">
        <f t="shared" si="47"/>
        <v>12.2</v>
      </c>
    </row>
    <row r="2746" ht="15.75" customHeight="1">
      <c r="A2746" s="3">
        <f t="shared" si="46"/>
        <v>2745</v>
      </c>
      <c r="B2746" s="3">
        <v>2014.0</v>
      </c>
      <c r="C2746" s="3">
        <v>3.0</v>
      </c>
      <c r="D2746" s="3">
        <v>4.0</v>
      </c>
      <c r="E2746" s="3">
        <v>3.0</v>
      </c>
      <c r="F2746" s="3" t="s">
        <v>16</v>
      </c>
      <c r="G2746" s="3" t="s">
        <v>28</v>
      </c>
      <c r="H2746" s="3">
        <v>8.17</v>
      </c>
      <c r="I2746" s="3">
        <v>6.83</v>
      </c>
      <c r="J2746" s="3">
        <f t="shared" si="47"/>
        <v>15</v>
      </c>
    </row>
    <row r="2747" ht="15.75" customHeight="1">
      <c r="A2747" s="3">
        <f t="shared" si="46"/>
        <v>2746</v>
      </c>
      <c r="B2747" s="3">
        <v>2014.0</v>
      </c>
      <c r="C2747" s="3">
        <v>3.0</v>
      </c>
      <c r="D2747" s="3">
        <v>4.0</v>
      </c>
      <c r="E2747" s="3">
        <v>4.0</v>
      </c>
      <c r="F2747" s="3" t="s">
        <v>16</v>
      </c>
      <c r="G2747" s="3" t="s">
        <v>123</v>
      </c>
      <c r="H2747" s="3">
        <v>6.67</v>
      </c>
      <c r="I2747" s="3">
        <v>5.5</v>
      </c>
      <c r="J2747" s="3">
        <f t="shared" si="47"/>
        <v>12.17</v>
      </c>
    </row>
    <row r="2748" ht="15.75" customHeight="1">
      <c r="A2748" s="3">
        <f t="shared" si="46"/>
        <v>2747</v>
      </c>
      <c r="B2748" s="3">
        <v>2014.0</v>
      </c>
      <c r="C2748" s="3">
        <v>3.0</v>
      </c>
      <c r="D2748" s="3">
        <v>4.0</v>
      </c>
      <c r="E2748" s="3">
        <v>4.0</v>
      </c>
      <c r="F2748" s="3" t="s">
        <v>16</v>
      </c>
      <c r="G2748" s="3" t="s">
        <v>31</v>
      </c>
      <c r="H2748" s="3">
        <v>5.67</v>
      </c>
      <c r="I2748" s="3">
        <v>4.87</v>
      </c>
      <c r="J2748" s="3">
        <f t="shared" si="47"/>
        <v>10.54</v>
      </c>
    </row>
    <row r="2749" ht="15.75" customHeight="1">
      <c r="A2749" s="3">
        <f t="shared" si="46"/>
        <v>2748</v>
      </c>
      <c r="B2749" s="3">
        <v>2014.0</v>
      </c>
      <c r="C2749" s="3">
        <v>3.0</v>
      </c>
      <c r="D2749" s="3">
        <v>4.0</v>
      </c>
      <c r="E2749" s="3">
        <v>4.0</v>
      </c>
      <c r="F2749" s="3" t="s">
        <v>16</v>
      </c>
      <c r="G2749" s="3" t="s">
        <v>41</v>
      </c>
      <c r="H2749" s="3">
        <v>8.67</v>
      </c>
      <c r="I2749" s="3">
        <v>7.67</v>
      </c>
      <c r="J2749" s="3">
        <f t="shared" si="47"/>
        <v>16.34</v>
      </c>
    </row>
    <row r="2750" ht="15.75" customHeight="1">
      <c r="A2750" s="3">
        <f t="shared" si="46"/>
        <v>2749</v>
      </c>
      <c r="B2750" s="3">
        <v>2014.0</v>
      </c>
      <c r="C2750" s="3">
        <v>3.0</v>
      </c>
      <c r="D2750" s="3">
        <v>5.0</v>
      </c>
      <c r="E2750" s="3">
        <v>1.0</v>
      </c>
      <c r="F2750" s="3" t="s">
        <v>16</v>
      </c>
      <c r="G2750" s="3" t="s">
        <v>42</v>
      </c>
      <c r="H2750" s="3">
        <v>8.5</v>
      </c>
      <c r="I2750" s="3">
        <v>7.77</v>
      </c>
      <c r="J2750" s="3">
        <f t="shared" si="47"/>
        <v>16.27</v>
      </c>
    </row>
    <row r="2751" ht="15.75" customHeight="1">
      <c r="A2751" s="3">
        <f t="shared" si="46"/>
        <v>2750</v>
      </c>
      <c r="B2751" s="3">
        <v>2014.0</v>
      </c>
      <c r="C2751" s="3">
        <v>3.0</v>
      </c>
      <c r="D2751" s="3">
        <v>5.0</v>
      </c>
      <c r="E2751" s="3">
        <v>1.0</v>
      </c>
      <c r="F2751" s="3" t="s">
        <v>16</v>
      </c>
      <c r="G2751" s="3" t="s">
        <v>30</v>
      </c>
      <c r="H2751" s="3">
        <v>7.0</v>
      </c>
      <c r="I2751" s="3">
        <v>6.33</v>
      </c>
      <c r="J2751" s="3">
        <f t="shared" si="47"/>
        <v>13.33</v>
      </c>
    </row>
    <row r="2752" ht="15.75" customHeight="1">
      <c r="A2752" s="3">
        <f t="shared" si="46"/>
        <v>2751</v>
      </c>
      <c r="B2752" s="3">
        <v>2014.0</v>
      </c>
      <c r="C2752" s="3">
        <v>3.0</v>
      </c>
      <c r="D2752" s="3">
        <v>5.0</v>
      </c>
      <c r="E2752" s="3">
        <v>2.0</v>
      </c>
      <c r="F2752" s="3" t="s">
        <v>16</v>
      </c>
      <c r="G2752" s="3" t="s">
        <v>37</v>
      </c>
      <c r="H2752" s="3">
        <v>8.33</v>
      </c>
      <c r="I2752" s="3">
        <v>6.93</v>
      </c>
      <c r="J2752" s="3">
        <f t="shared" si="47"/>
        <v>15.26</v>
      </c>
    </row>
    <row r="2753" ht="15.75" customHeight="1">
      <c r="A2753" s="3">
        <f t="shared" si="46"/>
        <v>2752</v>
      </c>
      <c r="B2753" s="3">
        <v>2014.0</v>
      </c>
      <c r="C2753" s="3">
        <v>3.0</v>
      </c>
      <c r="D2753" s="3">
        <v>5.0</v>
      </c>
      <c r="E2753" s="3">
        <v>2.0</v>
      </c>
      <c r="F2753" s="3" t="s">
        <v>16</v>
      </c>
      <c r="G2753" s="3" t="s">
        <v>29</v>
      </c>
      <c r="H2753" s="3">
        <v>7.77</v>
      </c>
      <c r="I2753" s="3">
        <v>4.67</v>
      </c>
      <c r="J2753" s="3">
        <f t="shared" si="47"/>
        <v>12.44</v>
      </c>
    </row>
    <row r="2754" ht="15.75" customHeight="1">
      <c r="A2754" s="3">
        <f t="shared" si="46"/>
        <v>2753</v>
      </c>
      <c r="B2754" s="3">
        <v>2014.0</v>
      </c>
      <c r="C2754" s="3">
        <v>3.0</v>
      </c>
      <c r="D2754" s="3">
        <v>5.0</v>
      </c>
      <c r="E2754" s="3">
        <v>3.0</v>
      </c>
      <c r="F2754" s="3" t="s">
        <v>16</v>
      </c>
      <c r="G2754" s="3" t="s">
        <v>28</v>
      </c>
      <c r="H2754" s="3">
        <v>9.93</v>
      </c>
      <c r="I2754" s="3">
        <v>7.33</v>
      </c>
      <c r="J2754" s="3">
        <f t="shared" si="47"/>
        <v>17.26</v>
      </c>
    </row>
    <row r="2755" ht="15.75" customHeight="1">
      <c r="A2755" s="3">
        <f t="shared" si="46"/>
        <v>2754</v>
      </c>
      <c r="B2755" s="3">
        <v>2014.0</v>
      </c>
      <c r="C2755" s="3">
        <v>3.0</v>
      </c>
      <c r="D2755" s="3">
        <v>5.0</v>
      </c>
      <c r="E2755" s="3">
        <v>3.0</v>
      </c>
      <c r="F2755" s="3" t="s">
        <v>16</v>
      </c>
      <c r="G2755" s="3" t="s">
        <v>31</v>
      </c>
      <c r="H2755" s="3">
        <v>9.13</v>
      </c>
      <c r="I2755" s="3">
        <v>8.17</v>
      </c>
      <c r="J2755" s="3">
        <f t="shared" si="47"/>
        <v>17.3</v>
      </c>
    </row>
    <row r="2756" ht="15.75" customHeight="1">
      <c r="A2756" s="3">
        <f t="shared" si="46"/>
        <v>2755</v>
      </c>
      <c r="B2756" s="3">
        <v>2014.0</v>
      </c>
      <c r="C2756" s="3">
        <v>3.0</v>
      </c>
      <c r="D2756" s="3">
        <v>5.0</v>
      </c>
      <c r="E2756" s="3">
        <v>4.0</v>
      </c>
      <c r="F2756" s="3" t="s">
        <v>16</v>
      </c>
      <c r="G2756" s="3" t="s">
        <v>123</v>
      </c>
      <c r="H2756" s="3">
        <v>7.77</v>
      </c>
      <c r="I2756" s="3">
        <v>5.33</v>
      </c>
      <c r="J2756" s="3">
        <f t="shared" si="47"/>
        <v>13.1</v>
      </c>
    </row>
    <row r="2757" ht="15.75" customHeight="1">
      <c r="A2757" s="3">
        <f t="shared" si="46"/>
        <v>2756</v>
      </c>
      <c r="B2757" s="3">
        <v>2014.0</v>
      </c>
      <c r="C2757" s="3">
        <v>3.0</v>
      </c>
      <c r="D2757" s="3">
        <v>5.0</v>
      </c>
      <c r="E2757" s="3">
        <v>4.0</v>
      </c>
      <c r="F2757" s="3" t="s">
        <v>16</v>
      </c>
      <c r="G2757" s="3" t="s">
        <v>57</v>
      </c>
      <c r="H2757" s="3">
        <v>7.6</v>
      </c>
      <c r="I2757" s="3">
        <v>5.77</v>
      </c>
      <c r="J2757" s="3">
        <f t="shared" si="47"/>
        <v>13.37</v>
      </c>
    </row>
    <row r="2758" ht="15.75" customHeight="1">
      <c r="A2758" s="3">
        <f t="shared" si="46"/>
        <v>2757</v>
      </c>
      <c r="B2758" s="3">
        <v>2014.0</v>
      </c>
      <c r="C2758" s="3">
        <v>3.0</v>
      </c>
      <c r="D2758" s="3">
        <v>6.0</v>
      </c>
      <c r="E2758" s="3">
        <v>1.0</v>
      </c>
      <c r="F2758" s="3" t="s">
        <v>16</v>
      </c>
      <c r="G2758" s="3" t="s">
        <v>62</v>
      </c>
      <c r="H2758" s="3">
        <v>8.1</v>
      </c>
      <c r="I2758" s="3">
        <v>7.4</v>
      </c>
      <c r="J2758" s="3">
        <f t="shared" si="47"/>
        <v>15.5</v>
      </c>
    </row>
    <row r="2759" ht="15.75" customHeight="1">
      <c r="A2759" s="3">
        <f t="shared" si="46"/>
        <v>2758</v>
      </c>
      <c r="B2759" s="3">
        <v>2014.0</v>
      </c>
      <c r="C2759" s="3">
        <v>3.0</v>
      </c>
      <c r="D2759" s="3">
        <v>6.0</v>
      </c>
      <c r="E2759" s="3">
        <v>1.0</v>
      </c>
      <c r="F2759" s="3" t="s">
        <v>16</v>
      </c>
      <c r="G2759" s="3" t="s">
        <v>42</v>
      </c>
      <c r="H2759" s="3">
        <v>7.83</v>
      </c>
      <c r="I2759" s="3">
        <v>5.33</v>
      </c>
      <c r="J2759" s="3">
        <f t="shared" si="47"/>
        <v>13.16</v>
      </c>
    </row>
    <row r="2760" ht="15.75" customHeight="1">
      <c r="A2760" s="3">
        <f t="shared" si="46"/>
        <v>2759</v>
      </c>
      <c r="B2760" s="3">
        <v>2014.0</v>
      </c>
      <c r="C2760" s="3">
        <v>3.0</v>
      </c>
      <c r="D2760" s="3">
        <v>6.0</v>
      </c>
      <c r="E2760" s="3">
        <v>2.0</v>
      </c>
      <c r="F2760" s="3" t="s">
        <v>16</v>
      </c>
      <c r="G2760" s="3" t="s">
        <v>26</v>
      </c>
      <c r="H2760" s="3">
        <v>6.83</v>
      </c>
      <c r="I2760" s="3">
        <v>6.3</v>
      </c>
      <c r="J2760" s="3">
        <f t="shared" si="47"/>
        <v>13.13</v>
      </c>
    </row>
    <row r="2761" ht="15.75" customHeight="1">
      <c r="A2761" s="3">
        <f t="shared" si="46"/>
        <v>2760</v>
      </c>
      <c r="B2761" s="3">
        <v>2014.0</v>
      </c>
      <c r="C2761" s="3">
        <v>3.0</v>
      </c>
      <c r="D2761" s="3">
        <v>6.0</v>
      </c>
      <c r="E2761" s="3">
        <v>2.0</v>
      </c>
      <c r="F2761" s="3" t="s">
        <v>16</v>
      </c>
      <c r="G2761" s="3" t="s">
        <v>37</v>
      </c>
      <c r="H2761" s="3">
        <v>6.33</v>
      </c>
      <c r="I2761" s="3">
        <v>4.77</v>
      </c>
      <c r="J2761" s="3">
        <f t="shared" si="47"/>
        <v>11.1</v>
      </c>
    </row>
    <row r="2762" ht="15.75" customHeight="1">
      <c r="A2762" s="3">
        <f t="shared" si="46"/>
        <v>2761</v>
      </c>
      <c r="B2762" s="3">
        <v>2014.0</v>
      </c>
      <c r="C2762" s="3">
        <v>3.0</v>
      </c>
      <c r="D2762" s="3">
        <v>6.0</v>
      </c>
      <c r="E2762" s="3">
        <v>3.0</v>
      </c>
      <c r="F2762" s="3" t="s">
        <v>16</v>
      </c>
      <c r="G2762" s="3" t="s">
        <v>39</v>
      </c>
      <c r="H2762" s="3">
        <v>7.67</v>
      </c>
      <c r="I2762" s="3">
        <v>7.67</v>
      </c>
      <c r="J2762" s="3">
        <f t="shared" si="47"/>
        <v>15.34</v>
      </c>
    </row>
    <row r="2763" ht="15.75" customHeight="1">
      <c r="A2763" s="3">
        <f t="shared" si="46"/>
        <v>2762</v>
      </c>
      <c r="B2763" s="3">
        <v>2014.0</v>
      </c>
      <c r="C2763" s="3">
        <v>3.0</v>
      </c>
      <c r="D2763" s="3">
        <v>6.0</v>
      </c>
      <c r="E2763" s="3">
        <v>3.0</v>
      </c>
      <c r="F2763" s="3" t="s">
        <v>16</v>
      </c>
      <c r="G2763" s="3" t="s">
        <v>31</v>
      </c>
      <c r="H2763" s="3">
        <v>9.1</v>
      </c>
      <c r="I2763" s="3">
        <v>8.43</v>
      </c>
      <c r="J2763" s="3">
        <f t="shared" si="47"/>
        <v>17.53</v>
      </c>
    </row>
    <row r="2764" ht="15.75" customHeight="1">
      <c r="A2764" s="3">
        <f t="shared" si="46"/>
        <v>2763</v>
      </c>
      <c r="B2764" s="3">
        <v>2014.0</v>
      </c>
      <c r="C2764" s="3">
        <v>3.0</v>
      </c>
      <c r="D2764" s="3">
        <v>6.0</v>
      </c>
      <c r="E2764" s="3">
        <v>4.0</v>
      </c>
      <c r="F2764" s="3" t="s">
        <v>16</v>
      </c>
      <c r="G2764" s="3" t="s">
        <v>41</v>
      </c>
      <c r="H2764" s="3">
        <v>7.83</v>
      </c>
      <c r="I2764" s="3">
        <v>5.33</v>
      </c>
      <c r="J2764" s="3">
        <f t="shared" si="47"/>
        <v>13.16</v>
      </c>
    </row>
    <row r="2765" ht="15.75" customHeight="1">
      <c r="A2765" s="3">
        <f t="shared" si="46"/>
        <v>2764</v>
      </c>
      <c r="B2765" s="3">
        <v>2014.0</v>
      </c>
      <c r="C2765" s="3">
        <v>3.0</v>
      </c>
      <c r="D2765" s="3">
        <v>6.0</v>
      </c>
      <c r="E2765" s="3">
        <v>4.0</v>
      </c>
      <c r="F2765" s="3" t="s">
        <v>16</v>
      </c>
      <c r="G2765" s="3" t="s">
        <v>57</v>
      </c>
      <c r="H2765" s="3">
        <v>6.67</v>
      </c>
      <c r="I2765" s="3">
        <v>4.7</v>
      </c>
      <c r="J2765" s="3">
        <f t="shared" si="47"/>
        <v>11.37</v>
      </c>
    </row>
    <row r="2766" ht="15.75" customHeight="1">
      <c r="A2766" s="3">
        <f t="shared" si="46"/>
        <v>2765</v>
      </c>
      <c r="B2766" s="3">
        <v>2014.0</v>
      </c>
      <c r="C2766" s="3">
        <v>3.0</v>
      </c>
      <c r="D2766" s="3">
        <v>7.0</v>
      </c>
      <c r="E2766" s="3">
        <v>1.0</v>
      </c>
      <c r="F2766" s="3" t="s">
        <v>16</v>
      </c>
      <c r="G2766" s="3" t="s">
        <v>62</v>
      </c>
      <c r="H2766" s="3">
        <v>8.33</v>
      </c>
      <c r="I2766" s="3">
        <v>6.1</v>
      </c>
      <c r="J2766" s="3">
        <f t="shared" si="47"/>
        <v>14.43</v>
      </c>
    </row>
    <row r="2767" ht="15.75" customHeight="1">
      <c r="A2767" s="3">
        <f t="shared" si="46"/>
        <v>2766</v>
      </c>
      <c r="B2767" s="3">
        <v>2014.0</v>
      </c>
      <c r="C2767" s="3">
        <v>3.0</v>
      </c>
      <c r="D2767" s="3">
        <v>7.0</v>
      </c>
      <c r="E2767" s="3">
        <v>1.0</v>
      </c>
      <c r="F2767" s="3" t="s">
        <v>16</v>
      </c>
      <c r="G2767" s="3" t="s">
        <v>26</v>
      </c>
      <c r="H2767" s="3">
        <v>7.33</v>
      </c>
      <c r="I2767" s="3">
        <v>6.1</v>
      </c>
      <c r="J2767" s="3">
        <f t="shared" si="47"/>
        <v>13.43</v>
      </c>
    </row>
    <row r="2768" ht="15.75" customHeight="1">
      <c r="A2768" s="3">
        <f t="shared" si="46"/>
        <v>2767</v>
      </c>
      <c r="B2768" s="3">
        <v>2014.0</v>
      </c>
      <c r="C2768" s="3">
        <v>3.0</v>
      </c>
      <c r="D2768" s="3">
        <v>7.0</v>
      </c>
      <c r="E2768" s="3">
        <v>2.0</v>
      </c>
      <c r="F2768" s="3" t="s">
        <v>16</v>
      </c>
      <c r="G2768" s="3" t="s">
        <v>31</v>
      </c>
      <c r="H2768" s="3">
        <v>8.93</v>
      </c>
      <c r="I2768" s="3">
        <v>8.43</v>
      </c>
      <c r="J2768" s="3">
        <f t="shared" si="47"/>
        <v>17.36</v>
      </c>
    </row>
    <row r="2769" ht="15.75" customHeight="1">
      <c r="A2769" s="3">
        <f t="shared" si="46"/>
        <v>2768</v>
      </c>
      <c r="B2769" s="3">
        <v>2014.0</v>
      </c>
      <c r="C2769" s="3">
        <v>3.0</v>
      </c>
      <c r="D2769" s="3">
        <v>7.0</v>
      </c>
      <c r="E2769" s="3">
        <v>2.0</v>
      </c>
      <c r="F2769" s="3" t="s">
        <v>16</v>
      </c>
      <c r="G2769" s="3" t="s">
        <v>41</v>
      </c>
      <c r="H2769" s="3">
        <v>9.43</v>
      </c>
      <c r="I2769" s="3">
        <v>8.77</v>
      </c>
      <c r="J2769" s="3">
        <f t="shared" si="47"/>
        <v>18.2</v>
      </c>
    </row>
    <row r="2770" ht="15.75" customHeight="1">
      <c r="A2770" s="3">
        <f t="shared" si="46"/>
        <v>2769</v>
      </c>
      <c r="B2770" s="3">
        <v>2014.0</v>
      </c>
      <c r="C2770" s="3">
        <v>3.0</v>
      </c>
      <c r="D2770" s="3">
        <v>8.0</v>
      </c>
      <c r="E2770" s="3">
        <v>1.0</v>
      </c>
      <c r="F2770" s="3" t="s">
        <v>16</v>
      </c>
      <c r="G2770" s="3" t="s">
        <v>62</v>
      </c>
      <c r="H2770" s="3">
        <v>9.63</v>
      </c>
      <c r="I2770" s="3">
        <v>3.83</v>
      </c>
      <c r="J2770" s="3">
        <f t="shared" si="47"/>
        <v>13.46</v>
      </c>
    </row>
    <row r="2771" ht="15.75" customHeight="1">
      <c r="A2771" s="3">
        <f t="shared" si="46"/>
        <v>2770</v>
      </c>
      <c r="B2771" s="3">
        <v>2014.0</v>
      </c>
      <c r="C2771" s="3">
        <v>3.0</v>
      </c>
      <c r="D2771" s="3">
        <v>8.0</v>
      </c>
      <c r="E2771" s="3">
        <v>1.0</v>
      </c>
      <c r="F2771" s="3" t="s">
        <v>16</v>
      </c>
      <c r="G2771" s="3" t="s">
        <v>41</v>
      </c>
      <c r="H2771" s="3">
        <v>8.83</v>
      </c>
      <c r="I2771" s="3">
        <v>8.0</v>
      </c>
      <c r="J2771" s="3">
        <f t="shared" si="47"/>
        <v>16.83</v>
      </c>
    </row>
    <row r="2772" ht="15.75" customHeight="1">
      <c r="A2772" s="3">
        <f t="shared" si="46"/>
        <v>2771</v>
      </c>
      <c r="B2772" s="3">
        <v>2014.0</v>
      </c>
      <c r="C2772" s="3">
        <v>4.0</v>
      </c>
      <c r="D2772" s="3">
        <v>3.0</v>
      </c>
      <c r="E2772" s="3">
        <v>1.0</v>
      </c>
      <c r="F2772" s="3" t="s">
        <v>16</v>
      </c>
      <c r="G2772" s="3" t="s">
        <v>30</v>
      </c>
      <c r="H2772" s="3">
        <v>8.5</v>
      </c>
      <c r="I2772" s="3">
        <v>6.5</v>
      </c>
      <c r="J2772" s="3">
        <f t="shared" si="47"/>
        <v>15</v>
      </c>
    </row>
    <row r="2773" ht="15.75" customHeight="1">
      <c r="A2773" s="3">
        <f t="shared" si="46"/>
        <v>2772</v>
      </c>
      <c r="B2773" s="3">
        <v>2014.0</v>
      </c>
      <c r="C2773" s="3">
        <v>4.0</v>
      </c>
      <c r="D2773" s="3">
        <v>3.0</v>
      </c>
      <c r="E2773" s="3">
        <v>1.0</v>
      </c>
      <c r="F2773" s="3" t="s">
        <v>16</v>
      </c>
      <c r="G2773" s="3" t="s">
        <v>122</v>
      </c>
      <c r="H2773" s="3">
        <v>9.5</v>
      </c>
      <c r="I2773" s="3">
        <v>6.0</v>
      </c>
      <c r="J2773" s="3">
        <f t="shared" si="47"/>
        <v>15.5</v>
      </c>
    </row>
    <row r="2774" ht="15.75" customHeight="1">
      <c r="A2774" s="3">
        <f t="shared" si="46"/>
        <v>2773</v>
      </c>
      <c r="B2774" s="3">
        <v>2014.0</v>
      </c>
      <c r="C2774" s="3">
        <v>4.0</v>
      </c>
      <c r="D2774" s="3">
        <v>3.0</v>
      </c>
      <c r="E2774" s="3">
        <v>2.0</v>
      </c>
      <c r="F2774" s="3" t="s">
        <v>16</v>
      </c>
      <c r="G2774" s="3" t="s">
        <v>56</v>
      </c>
      <c r="H2774" s="3">
        <v>6.1</v>
      </c>
      <c r="I2774" s="3">
        <v>5.93</v>
      </c>
      <c r="J2774" s="3">
        <f t="shared" si="47"/>
        <v>12.03</v>
      </c>
    </row>
    <row r="2775" ht="15.75" customHeight="1">
      <c r="A2775" s="3">
        <f t="shared" si="46"/>
        <v>2774</v>
      </c>
      <c r="B2775" s="3">
        <v>2014.0</v>
      </c>
      <c r="C2775" s="3">
        <v>4.0</v>
      </c>
      <c r="D2775" s="3">
        <v>3.0</v>
      </c>
      <c r="E2775" s="3">
        <v>2.0</v>
      </c>
      <c r="F2775" s="3" t="s">
        <v>16</v>
      </c>
      <c r="G2775" s="3" t="s">
        <v>124</v>
      </c>
      <c r="H2775" s="3">
        <v>3.83</v>
      </c>
      <c r="I2775" s="3">
        <v>3.5</v>
      </c>
      <c r="J2775" s="3">
        <f t="shared" si="47"/>
        <v>7.33</v>
      </c>
    </row>
    <row r="2776" ht="15.75" customHeight="1">
      <c r="A2776" s="3">
        <f t="shared" si="46"/>
        <v>2775</v>
      </c>
      <c r="B2776" s="3">
        <v>2014.0</v>
      </c>
      <c r="C2776" s="3">
        <v>4.0</v>
      </c>
      <c r="D2776" s="3">
        <v>3.0</v>
      </c>
      <c r="E2776" s="3">
        <v>3.0</v>
      </c>
      <c r="F2776" s="3" t="s">
        <v>16</v>
      </c>
      <c r="G2776" s="3" t="s">
        <v>42</v>
      </c>
      <c r="H2776" s="3">
        <v>7.67</v>
      </c>
      <c r="I2776" s="3">
        <v>2.3</v>
      </c>
      <c r="J2776" s="3">
        <f t="shared" si="47"/>
        <v>9.97</v>
      </c>
    </row>
    <row r="2777" ht="15.75" customHeight="1">
      <c r="A2777" s="3">
        <f t="shared" si="46"/>
        <v>2776</v>
      </c>
      <c r="B2777" s="3">
        <v>2014.0</v>
      </c>
      <c r="C2777" s="3">
        <v>4.0</v>
      </c>
      <c r="D2777" s="3">
        <v>3.0</v>
      </c>
      <c r="E2777" s="3">
        <v>3.0</v>
      </c>
      <c r="F2777" s="3" t="s">
        <v>16</v>
      </c>
      <c r="G2777" s="3" t="s">
        <v>107</v>
      </c>
      <c r="H2777" s="3">
        <v>3.93</v>
      </c>
      <c r="I2777" s="3">
        <v>3.7</v>
      </c>
      <c r="J2777" s="3">
        <f t="shared" si="47"/>
        <v>7.63</v>
      </c>
    </row>
    <row r="2778" ht="15.75" customHeight="1">
      <c r="A2778" s="3">
        <f t="shared" si="46"/>
        <v>2777</v>
      </c>
      <c r="B2778" s="3">
        <v>2014.0</v>
      </c>
      <c r="C2778" s="3">
        <v>4.0</v>
      </c>
      <c r="D2778" s="3">
        <v>3.0</v>
      </c>
      <c r="E2778" s="3">
        <v>4.0</v>
      </c>
      <c r="F2778" s="3" t="s">
        <v>16</v>
      </c>
      <c r="G2778" s="3" t="s">
        <v>31</v>
      </c>
      <c r="H2778" s="3">
        <v>7.0</v>
      </c>
      <c r="I2778" s="3">
        <v>6.5</v>
      </c>
      <c r="J2778" s="3">
        <f t="shared" si="47"/>
        <v>13.5</v>
      </c>
    </row>
    <row r="2779" ht="15.75" customHeight="1">
      <c r="A2779" s="3">
        <f t="shared" si="46"/>
        <v>2778</v>
      </c>
      <c r="B2779" s="3">
        <v>2014.0</v>
      </c>
      <c r="C2779" s="3">
        <v>4.0</v>
      </c>
      <c r="D2779" s="3">
        <v>3.0</v>
      </c>
      <c r="E2779" s="3">
        <v>4.0</v>
      </c>
      <c r="F2779" s="3" t="s">
        <v>16</v>
      </c>
      <c r="G2779" s="3" t="s">
        <v>32</v>
      </c>
      <c r="H2779" s="3">
        <v>8.43</v>
      </c>
      <c r="I2779" s="3">
        <v>5.27</v>
      </c>
      <c r="J2779" s="3">
        <f t="shared" si="47"/>
        <v>13.7</v>
      </c>
    </row>
    <row r="2780" ht="15.75" customHeight="1">
      <c r="A2780" s="3">
        <f t="shared" si="46"/>
        <v>2779</v>
      </c>
      <c r="B2780" s="3">
        <v>2014.0</v>
      </c>
      <c r="C2780" s="3">
        <v>4.0</v>
      </c>
      <c r="D2780" s="3">
        <v>3.0</v>
      </c>
      <c r="E2780" s="3">
        <v>5.0</v>
      </c>
      <c r="F2780" s="3" t="s">
        <v>16</v>
      </c>
      <c r="G2780" s="3" t="s">
        <v>33</v>
      </c>
      <c r="H2780" s="3">
        <v>7.23</v>
      </c>
      <c r="I2780" s="3">
        <v>5.67</v>
      </c>
      <c r="J2780" s="3">
        <f t="shared" si="47"/>
        <v>12.9</v>
      </c>
    </row>
    <row r="2781" ht="15.75" customHeight="1">
      <c r="A2781" s="3">
        <f t="shared" si="46"/>
        <v>2780</v>
      </c>
      <c r="B2781" s="3">
        <v>2014.0</v>
      </c>
      <c r="C2781" s="3">
        <v>4.0</v>
      </c>
      <c r="D2781" s="3">
        <v>3.0</v>
      </c>
      <c r="E2781" s="3">
        <v>5.0</v>
      </c>
      <c r="F2781" s="3" t="s">
        <v>16</v>
      </c>
      <c r="G2781" s="3" t="s">
        <v>59</v>
      </c>
      <c r="H2781" s="3">
        <v>8.83</v>
      </c>
      <c r="I2781" s="3">
        <v>7.5</v>
      </c>
      <c r="J2781" s="3">
        <f t="shared" si="47"/>
        <v>16.33</v>
      </c>
    </row>
    <row r="2782" ht="15.75" customHeight="1">
      <c r="A2782" s="3">
        <f t="shared" si="46"/>
        <v>2781</v>
      </c>
      <c r="B2782" s="3">
        <v>2014.0</v>
      </c>
      <c r="C2782" s="3">
        <v>4.0</v>
      </c>
      <c r="D2782" s="3">
        <v>3.0</v>
      </c>
      <c r="E2782" s="3">
        <v>6.0</v>
      </c>
      <c r="F2782" s="3" t="s">
        <v>16</v>
      </c>
      <c r="G2782" s="3" t="s">
        <v>37</v>
      </c>
      <c r="H2782" s="3">
        <v>6.93</v>
      </c>
      <c r="I2782" s="3">
        <v>6.6</v>
      </c>
      <c r="J2782" s="3">
        <f t="shared" si="47"/>
        <v>13.53</v>
      </c>
    </row>
    <row r="2783" ht="15.75" customHeight="1">
      <c r="A2783" s="3">
        <f t="shared" si="46"/>
        <v>2782</v>
      </c>
      <c r="B2783" s="3">
        <v>2014.0</v>
      </c>
      <c r="C2783" s="3">
        <v>4.0</v>
      </c>
      <c r="D2783" s="3">
        <v>3.0</v>
      </c>
      <c r="E2783" s="3">
        <v>6.0</v>
      </c>
      <c r="F2783" s="3" t="s">
        <v>16</v>
      </c>
      <c r="G2783" s="3" t="s">
        <v>106</v>
      </c>
      <c r="H2783" s="3">
        <v>6.33</v>
      </c>
      <c r="I2783" s="3">
        <v>4.6</v>
      </c>
      <c r="J2783" s="3">
        <f t="shared" si="47"/>
        <v>10.93</v>
      </c>
    </row>
    <row r="2784" ht="15.75" customHeight="1">
      <c r="A2784" s="3">
        <f t="shared" si="46"/>
        <v>2783</v>
      </c>
      <c r="B2784" s="3">
        <v>2014.0</v>
      </c>
      <c r="C2784" s="3">
        <v>4.0</v>
      </c>
      <c r="D2784" s="3">
        <v>3.0</v>
      </c>
      <c r="E2784" s="3">
        <v>7.0</v>
      </c>
      <c r="F2784" s="3" t="s">
        <v>16</v>
      </c>
      <c r="G2784" s="3" t="s">
        <v>39</v>
      </c>
      <c r="H2784" s="3">
        <v>8.43</v>
      </c>
      <c r="I2784" s="3">
        <v>6.67</v>
      </c>
      <c r="J2784" s="3">
        <f t="shared" si="47"/>
        <v>15.1</v>
      </c>
    </row>
    <row r="2785" ht="15.75" customHeight="1">
      <c r="A2785" s="3">
        <f t="shared" si="46"/>
        <v>2784</v>
      </c>
      <c r="B2785" s="3">
        <v>2014.0</v>
      </c>
      <c r="C2785" s="3">
        <v>4.0</v>
      </c>
      <c r="D2785" s="3">
        <v>3.0</v>
      </c>
      <c r="E2785" s="3">
        <v>7.0</v>
      </c>
      <c r="F2785" s="3" t="s">
        <v>16</v>
      </c>
      <c r="G2785" s="3" t="s">
        <v>120</v>
      </c>
      <c r="H2785" s="3">
        <v>5.93</v>
      </c>
      <c r="I2785" s="3">
        <v>1.43</v>
      </c>
      <c r="J2785" s="3">
        <f t="shared" si="47"/>
        <v>7.36</v>
      </c>
    </row>
    <row r="2786" ht="15.75" customHeight="1">
      <c r="A2786" s="3">
        <f t="shared" si="46"/>
        <v>2785</v>
      </c>
      <c r="B2786" s="3">
        <v>2014.0</v>
      </c>
      <c r="C2786" s="3">
        <v>4.0</v>
      </c>
      <c r="D2786" s="3">
        <v>3.0</v>
      </c>
      <c r="E2786" s="3">
        <v>8.0</v>
      </c>
      <c r="F2786" s="3" t="s">
        <v>16</v>
      </c>
      <c r="G2786" s="3" t="s">
        <v>26</v>
      </c>
      <c r="H2786" s="3">
        <v>6.67</v>
      </c>
      <c r="I2786" s="3">
        <v>6.37</v>
      </c>
      <c r="J2786" s="3">
        <f t="shared" si="47"/>
        <v>13.04</v>
      </c>
    </row>
    <row r="2787" ht="15.75" customHeight="1">
      <c r="A2787" s="3">
        <f t="shared" si="46"/>
        <v>2786</v>
      </c>
      <c r="B2787" s="3">
        <v>2014.0</v>
      </c>
      <c r="C2787" s="3">
        <v>4.0</v>
      </c>
      <c r="D2787" s="3">
        <v>3.0</v>
      </c>
      <c r="E2787" s="3">
        <v>8.0</v>
      </c>
      <c r="F2787" s="3" t="s">
        <v>16</v>
      </c>
      <c r="G2787" s="3" t="s">
        <v>38</v>
      </c>
      <c r="H2787" s="3">
        <v>7.77</v>
      </c>
      <c r="I2787" s="3">
        <v>7.33</v>
      </c>
      <c r="J2787" s="3">
        <f t="shared" si="47"/>
        <v>15.1</v>
      </c>
    </row>
    <row r="2788" ht="15.75" customHeight="1">
      <c r="A2788" s="3">
        <f t="shared" si="46"/>
        <v>2787</v>
      </c>
      <c r="B2788" s="3">
        <v>2014.0</v>
      </c>
      <c r="C2788" s="3">
        <v>4.0</v>
      </c>
      <c r="D2788" s="3">
        <v>3.0</v>
      </c>
      <c r="E2788" s="3">
        <v>9.0</v>
      </c>
      <c r="F2788" s="3" t="s">
        <v>16</v>
      </c>
      <c r="G2788" s="3" t="s">
        <v>28</v>
      </c>
      <c r="H2788" s="3">
        <v>8.5</v>
      </c>
      <c r="I2788" s="3">
        <v>7.6</v>
      </c>
      <c r="J2788" s="3">
        <f t="shared" si="47"/>
        <v>16.1</v>
      </c>
    </row>
    <row r="2789" ht="15.75" customHeight="1">
      <c r="A2789" s="3">
        <f t="shared" si="46"/>
        <v>2788</v>
      </c>
      <c r="B2789" s="3">
        <v>2014.0</v>
      </c>
      <c r="C2789" s="3">
        <v>4.0</v>
      </c>
      <c r="D2789" s="3">
        <v>3.0</v>
      </c>
      <c r="E2789" s="3">
        <v>9.0</v>
      </c>
      <c r="F2789" s="3" t="s">
        <v>16</v>
      </c>
      <c r="G2789" s="3" t="s">
        <v>35</v>
      </c>
      <c r="H2789" s="3">
        <v>6.0</v>
      </c>
      <c r="I2789" s="3">
        <v>3.83</v>
      </c>
      <c r="J2789" s="3">
        <f t="shared" si="47"/>
        <v>9.83</v>
      </c>
    </row>
    <row r="2790" ht="15.75" customHeight="1">
      <c r="A2790" s="3">
        <f t="shared" si="46"/>
        <v>2789</v>
      </c>
      <c r="B2790" s="3">
        <v>2014.0</v>
      </c>
      <c r="C2790" s="3">
        <v>4.0</v>
      </c>
      <c r="D2790" s="3">
        <v>3.0</v>
      </c>
      <c r="E2790" s="3">
        <v>10.0</v>
      </c>
      <c r="F2790" s="3" t="s">
        <v>16</v>
      </c>
      <c r="G2790" s="3" t="s">
        <v>45</v>
      </c>
      <c r="H2790" s="3">
        <v>6.17</v>
      </c>
      <c r="I2790" s="3">
        <v>3.83</v>
      </c>
      <c r="J2790" s="3">
        <f t="shared" si="47"/>
        <v>10</v>
      </c>
    </row>
    <row r="2791" ht="15.75" customHeight="1">
      <c r="A2791" s="3">
        <f t="shared" si="46"/>
        <v>2790</v>
      </c>
      <c r="B2791" s="3">
        <v>2014.0</v>
      </c>
      <c r="C2791" s="3">
        <v>4.0</v>
      </c>
      <c r="D2791" s="3">
        <v>3.0</v>
      </c>
      <c r="E2791" s="3">
        <v>10.0</v>
      </c>
      <c r="F2791" s="3" t="s">
        <v>16</v>
      </c>
      <c r="G2791" s="3" t="s">
        <v>76</v>
      </c>
      <c r="H2791" s="3">
        <v>5.0</v>
      </c>
      <c r="I2791" s="3">
        <v>4.17</v>
      </c>
      <c r="J2791" s="3">
        <f t="shared" si="47"/>
        <v>9.17</v>
      </c>
    </row>
    <row r="2792" ht="15.75" customHeight="1">
      <c r="A2792" s="3">
        <f t="shared" si="46"/>
        <v>2791</v>
      </c>
      <c r="B2792" s="3">
        <v>2014.0</v>
      </c>
      <c r="C2792" s="3">
        <v>4.0</v>
      </c>
      <c r="D2792" s="3">
        <v>3.0</v>
      </c>
      <c r="E2792" s="3">
        <v>11.0</v>
      </c>
      <c r="F2792" s="3" t="s">
        <v>16</v>
      </c>
      <c r="G2792" s="3" t="s">
        <v>27</v>
      </c>
      <c r="H2792" s="3">
        <v>8.23</v>
      </c>
      <c r="I2792" s="3">
        <v>5.5</v>
      </c>
      <c r="J2792" s="3">
        <f t="shared" si="47"/>
        <v>13.73</v>
      </c>
    </row>
    <row r="2793" ht="15.75" customHeight="1">
      <c r="A2793" s="3">
        <f t="shared" si="46"/>
        <v>2792</v>
      </c>
      <c r="B2793" s="3">
        <v>2014.0</v>
      </c>
      <c r="C2793" s="3">
        <v>4.0</v>
      </c>
      <c r="D2793" s="3">
        <v>3.0</v>
      </c>
      <c r="E2793" s="3">
        <v>11.0</v>
      </c>
      <c r="F2793" s="3" t="s">
        <v>16</v>
      </c>
      <c r="G2793" s="3" t="s">
        <v>47</v>
      </c>
      <c r="H2793" s="3">
        <v>6.0</v>
      </c>
      <c r="I2793" s="3">
        <v>5.9</v>
      </c>
      <c r="J2793" s="3">
        <f t="shared" si="47"/>
        <v>11.9</v>
      </c>
    </row>
    <row r="2794" ht="15.75" customHeight="1">
      <c r="A2794" s="3">
        <f t="shared" si="46"/>
        <v>2793</v>
      </c>
      <c r="B2794" s="3">
        <v>2014.0</v>
      </c>
      <c r="C2794" s="3">
        <v>4.0</v>
      </c>
      <c r="D2794" s="3">
        <v>3.0</v>
      </c>
      <c r="E2794" s="3">
        <v>12.0</v>
      </c>
      <c r="F2794" s="3" t="s">
        <v>16</v>
      </c>
      <c r="G2794" s="3" t="s">
        <v>62</v>
      </c>
      <c r="H2794" s="3">
        <v>7.43</v>
      </c>
      <c r="I2794" s="3">
        <v>5.7</v>
      </c>
      <c r="J2794" s="3">
        <f t="shared" si="47"/>
        <v>13.13</v>
      </c>
    </row>
    <row r="2795" ht="15.75" customHeight="1">
      <c r="A2795" s="3">
        <f t="shared" si="46"/>
        <v>2794</v>
      </c>
      <c r="B2795" s="3">
        <v>2014.0</v>
      </c>
      <c r="C2795" s="3">
        <v>4.0</v>
      </c>
      <c r="D2795" s="3">
        <v>3.0</v>
      </c>
      <c r="E2795" s="3">
        <v>12.0</v>
      </c>
      <c r="F2795" s="3" t="s">
        <v>16</v>
      </c>
      <c r="G2795" s="3" t="s">
        <v>126</v>
      </c>
      <c r="H2795" s="3">
        <v>6.33</v>
      </c>
      <c r="I2795" s="3">
        <v>6.1</v>
      </c>
      <c r="J2795" s="3">
        <f t="shared" si="47"/>
        <v>12.43</v>
      </c>
    </row>
    <row r="2796" ht="15.75" customHeight="1">
      <c r="A2796" s="3">
        <f t="shared" si="46"/>
        <v>2795</v>
      </c>
      <c r="B2796" s="3">
        <v>2014.0</v>
      </c>
      <c r="C2796" s="3">
        <v>4.0</v>
      </c>
      <c r="D2796" s="3">
        <v>4.0</v>
      </c>
      <c r="E2796" s="3">
        <v>1.0</v>
      </c>
      <c r="F2796" s="3" t="s">
        <v>16</v>
      </c>
      <c r="G2796" s="3" t="s">
        <v>122</v>
      </c>
      <c r="H2796" s="3">
        <v>6.83</v>
      </c>
      <c r="I2796" s="3">
        <v>5.1</v>
      </c>
      <c r="J2796" s="3">
        <f t="shared" si="47"/>
        <v>11.93</v>
      </c>
    </row>
    <row r="2797" ht="15.75" customHeight="1">
      <c r="A2797" s="3">
        <f t="shared" si="46"/>
        <v>2796</v>
      </c>
      <c r="B2797" s="3">
        <v>2014.0</v>
      </c>
      <c r="C2797" s="3">
        <v>4.0</v>
      </c>
      <c r="D2797" s="3">
        <v>4.0</v>
      </c>
      <c r="E2797" s="3">
        <v>1.0</v>
      </c>
      <c r="F2797" s="3" t="s">
        <v>16</v>
      </c>
      <c r="G2797" s="3" t="s">
        <v>56</v>
      </c>
      <c r="H2797" s="3">
        <v>8.17</v>
      </c>
      <c r="I2797" s="3">
        <v>7.17</v>
      </c>
      <c r="J2797" s="3">
        <f t="shared" si="47"/>
        <v>15.34</v>
      </c>
    </row>
    <row r="2798" ht="15.75" customHeight="1">
      <c r="A2798" s="3">
        <f t="shared" si="46"/>
        <v>2797</v>
      </c>
      <c r="B2798" s="3">
        <v>2014.0</v>
      </c>
      <c r="C2798" s="3">
        <v>4.0</v>
      </c>
      <c r="D2798" s="3">
        <v>4.0</v>
      </c>
      <c r="E2798" s="3">
        <v>1.0</v>
      </c>
      <c r="F2798" s="3" t="s">
        <v>16</v>
      </c>
      <c r="G2798" s="3" t="s">
        <v>42</v>
      </c>
      <c r="H2798" s="3">
        <v>6.67</v>
      </c>
      <c r="I2798" s="3">
        <v>6.67</v>
      </c>
      <c r="J2798" s="3">
        <f t="shared" si="47"/>
        <v>13.34</v>
      </c>
    </row>
    <row r="2799" ht="15.75" customHeight="1">
      <c r="A2799" s="3">
        <f t="shared" si="46"/>
        <v>2798</v>
      </c>
      <c r="B2799" s="3">
        <v>2014.0</v>
      </c>
      <c r="C2799" s="3">
        <v>4.0</v>
      </c>
      <c r="D2799" s="3">
        <v>4.0</v>
      </c>
      <c r="E2799" s="3">
        <v>2.0</v>
      </c>
      <c r="F2799" s="3" t="s">
        <v>16</v>
      </c>
      <c r="G2799" s="3" t="s">
        <v>32</v>
      </c>
      <c r="H2799" s="3">
        <v>7.0</v>
      </c>
      <c r="I2799" s="3">
        <v>3.43</v>
      </c>
      <c r="J2799" s="3">
        <f t="shared" si="47"/>
        <v>10.43</v>
      </c>
    </row>
    <row r="2800" ht="15.75" customHeight="1">
      <c r="A2800" s="3">
        <f t="shared" si="46"/>
        <v>2799</v>
      </c>
      <c r="B2800" s="3">
        <v>2014.0</v>
      </c>
      <c r="C2800" s="3">
        <v>4.0</v>
      </c>
      <c r="D2800" s="3">
        <v>4.0</v>
      </c>
      <c r="E2800" s="3">
        <v>2.0</v>
      </c>
      <c r="F2800" s="3" t="s">
        <v>16</v>
      </c>
      <c r="G2800" s="3" t="s">
        <v>59</v>
      </c>
      <c r="H2800" s="3">
        <v>9.1</v>
      </c>
      <c r="I2800" s="3">
        <v>6.17</v>
      </c>
      <c r="J2800" s="3">
        <f t="shared" si="47"/>
        <v>15.27</v>
      </c>
    </row>
    <row r="2801" ht="15.75" customHeight="1">
      <c r="A2801" s="3">
        <f t="shared" si="46"/>
        <v>2800</v>
      </c>
      <c r="B2801" s="3">
        <v>2014.0</v>
      </c>
      <c r="C2801" s="3">
        <v>4.0</v>
      </c>
      <c r="D2801" s="3">
        <v>4.0</v>
      </c>
      <c r="E2801" s="3">
        <v>2.0</v>
      </c>
      <c r="F2801" s="3" t="s">
        <v>16</v>
      </c>
      <c r="G2801" s="3" t="s">
        <v>37</v>
      </c>
      <c r="H2801" s="3">
        <v>2.97</v>
      </c>
      <c r="I2801" s="3">
        <v>2.33</v>
      </c>
      <c r="J2801" s="3">
        <f t="shared" si="47"/>
        <v>5.3</v>
      </c>
    </row>
    <row r="2802" ht="15.75" customHeight="1">
      <c r="A2802" s="3">
        <f t="shared" si="46"/>
        <v>2801</v>
      </c>
      <c r="B2802" s="3">
        <v>2014.0</v>
      </c>
      <c r="C2802" s="3">
        <v>4.0</v>
      </c>
      <c r="D2802" s="3">
        <v>4.0</v>
      </c>
      <c r="E2802" s="3">
        <v>3.0</v>
      </c>
      <c r="F2802" s="3" t="s">
        <v>16</v>
      </c>
      <c r="G2802" s="3" t="s">
        <v>39</v>
      </c>
      <c r="H2802" s="3">
        <v>7.07</v>
      </c>
      <c r="I2802" s="3">
        <v>4.17</v>
      </c>
      <c r="J2802" s="3">
        <f t="shared" si="47"/>
        <v>11.24</v>
      </c>
    </row>
    <row r="2803" ht="15.75" customHeight="1">
      <c r="A2803" s="3">
        <f t="shared" si="46"/>
        <v>2802</v>
      </c>
      <c r="B2803" s="3">
        <v>2014.0</v>
      </c>
      <c r="C2803" s="3">
        <v>4.0</v>
      </c>
      <c r="D2803" s="3">
        <v>4.0</v>
      </c>
      <c r="E2803" s="3">
        <v>3.0</v>
      </c>
      <c r="F2803" s="3" t="s">
        <v>16</v>
      </c>
      <c r="G2803" s="3" t="s">
        <v>38</v>
      </c>
      <c r="H2803" s="3">
        <v>8.17</v>
      </c>
      <c r="I2803" s="3">
        <v>2.93</v>
      </c>
      <c r="J2803" s="3">
        <f t="shared" si="47"/>
        <v>11.1</v>
      </c>
    </row>
    <row r="2804" ht="15.75" customHeight="1">
      <c r="A2804" s="3">
        <f t="shared" si="46"/>
        <v>2803</v>
      </c>
      <c r="B2804" s="3">
        <v>2014.0</v>
      </c>
      <c r="C2804" s="3">
        <v>4.0</v>
      </c>
      <c r="D2804" s="3">
        <v>4.0</v>
      </c>
      <c r="E2804" s="3">
        <v>3.0</v>
      </c>
      <c r="F2804" s="3" t="s">
        <v>16</v>
      </c>
      <c r="G2804" s="3" t="s">
        <v>28</v>
      </c>
      <c r="H2804" s="3">
        <v>6.0</v>
      </c>
      <c r="I2804" s="3">
        <v>5.53</v>
      </c>
      <c r="J2804" s="3">
        <f t="shared" si="47"/>
        <v>11.53</v>
      </c>
    </row>
    <row r="2805" ht="15.75" customHeight="1">
      <c r="A2805" s="3">
        <f t="shared" si="46"/>
        <v>2804</v>
      </c>
      <c r="B2805" s="3">
        <v>2014.0</v>
      </c>
      <c r="C2805" s="3">
        <v>4.0</v>
      </c>
      <c r="D2805" s="3">
        <v>4.0</v>
      </c>
      <c r="E2805" s="3">
        <v>4.0</v>
      </c>
      <c r="F2805" s="3" t="s">
        <v>16</v>
      </c>
      <c r="G2805" s="3" t="s">
        <v>45</v>
      </c>
      <c r="H2805" s="3">
        <v>4.83</v>
      </c>
      <c r="I2805" s="3">
        <v>3.0</v>
      </c>
      <c r="J2805" s="3">
        <f t="shared" si="47"/>
        <v>7.83</v>
      </c>
    </row>
    <row r="2806" ht="15.75" customHeight="1">
      <c r="A2806" s="3">
        <f t="shared" si="46"/>
        <v>2805</v>
      </c>
      <c r="B2806" s="3">
        <v>2014.0</v>
      </c>
      <c r="C2806" s="3">
        <v>4.0</v>
      </c>
      <c r="D2806" s="3">
        <v>4.0</v>
      </c>
      <c r="E2806" s="3">
        <v>4.0</v>
      </c>
      <c r="F2806" s="3" t="s">
        <v>16</v>
      </c>
      <c r="G2806" s="3" t="s">
        <v>27</v>
      </c>
      <c r="H2806" s="3">
        <v>1.7</v>
      </c>
      <c r="I2806" s="3">
        <v>1.5</v>
      </c>
      <c r="J2806" s="3">
        <f t="shared" si="47"/>
        <v>3.2</v>
      </c>
    </row>
    <row r="2807" ht="15.75" customHeight="1">
      <c r="A2807" s="3">
        <f t="shared" si="46"/>
        <v>2806</v>
      </c>
      <c r="B2807" s="3">
        <v>2014.0</v>
      </c>
      <c r="C2807" s="3">
        <v>4.0</v>
      </c>
      <c r="D2807" s="3">
        <v>4.0</v>
      </c>
      <c r="E2807" s="3">
        <v>4.0</v>
      </c>
      <c r="F2807" s="3" t="s">
        <v>16</v>
      </c>
      <c r="G2807" s="3" t="s">
        <v>62</v>
      </c>
      <c r="H2807" s="3">
        <v>5.83</v>
      </c>
      <c r="I2807" s="3">
        <v>3.17</v>
      </c>
      <c r="J2807" s="3">
        <f t="shared" si="47"/>
        <v>9</v>
      </c>
    </row>
    <row r="2808" ht="15.75" customHeight="1">
      <c r="A2808" s="3">
        <f t="shared" si="46"/>
        <v>2807</v>
      </c>
      <c r="B2808" s="3">
        <v>2014.0</v>
      </c>
      <c r="C2808" s="3">
        <v>4.0</v>
      </c>
      <c r="D2808" s="3">
        <v>5.0</v>
      </c>
      <c r="E2808" s="3">
        <v>1.0</v>
      </c>
      <c r="F2808" s="3" t="s">
        <v>16</v>
      </c>
      <c r="G2808" s="3" t="s">
        <v>42</v>
      </c>
      <c r="H2808" s="3">
        <v>3.73</v>
      </c>
      <c r="I2808" s="3">
        <v>0.0</v>
      </c>
      <c r="J2808" s="3">
        <f t="shared" si="47"/>
        <v>3.73</v>
      </c>
    </row>
    <row r="2809" ht="15.75" customHeight="1">
      <c r="A2809" s="3">
        <f t="shared" si="46"/>
        <v>2808</v>
      </c>
      <c r="B2809" s="3">
        <v>2014.0</v>
      </c>
      <c r="C2809" s="3">
        <v>4.0</v>
      </c>
      <c r="D2809" s="3">
        <v>5.0</v>
      </c>
      <c r="E2809" s="3">
        <v>1.0</v>
      </c>
      <c r="F2809" s="3" t="s">
        <v>16</v>
      </c>
      <c r="G2809" s="3" t="s">
        <v>37</v>
      </c>
      <c r="H2809" s="3">
        <v>10.0</v>
      </c>
      <c r="I2809" s="3">
        <v>5.5</v>
      </c>
      <c r="J2809" s="3">
        <f t="shared" si="47"/>
        <v>15.5</v>
      </c>
    </row>
    <row r="2810" ht="15.75" customHeight="1">
      <c r="A2810" s="3">
        <f t="shared" si="46"/>
        <v>2809</v>
      </c>
      <c r="B2810" s="3">
        <v>2014.0</v>
      </c>
      <c r="C2810" s="3">
        <v>4.0</v>
      </c>
      <c r="D2810" s="3">
        <v>5.0</v>
      </c>
      <c r="E2810" s="3">
        <v>2.0</v>
      </c>
      <c r="F2810" s="3" t="s">
        <v>16</v>
      </c>
      <c r="G2810" s="3" t="s">
        <v>32</v>
      </c>
      <c r="H2810" s="3">
        <v>6.83</v>
      </c>
      <c r="I2810" s="3">
        <v>0.0</v>
      </c>
      <c r="J2810" s="3">
        <f t="shared" si="47"/>
        <v>6.83</v>
      </c>
    </row>
    <row r="2811" ht="15.75" customHeight="1">
      <c r="A2811" s="3">
        <f t="shared" si="46"/>
        <v>2810</v>
      </c>
      <c r="B2811" s="3">
        <v>2014.0</v>
      </c>
      <c r="C2811" s="3">
        <v>4.0</v>
      </c>
      <c r="D2811" s="3">
        <v>5.0</v>
      </c>
      <c r="E2811" s="3">
        <v>2.0</v>
      </c>
      <c r="F2811" s="3" t="s">
        <v>16</v>
      </c>
      <c r="G2811" s="3" t="s">
        <v>122</v>
      </c>
      <c r="H2811" s="3">
        <v>3.33</v>
      </c>
      <c r="I2811" s="3">
        <v>3.17</v>
      </c>
      <c r="J2811" s="3">
        <f t="shared" si="47"/>
        <v>6.5</v>
      </c>
    </row>
    <row r="2812" ht="15.75" customHeight="1">
      <c r="A2812" s="3">
        <f t="shared" si="46"/>
        <v>2811</v>
      </c>
      <c r="B2812" s="3">
        <v>2014.0</v>
      </c>
      <c r="C2812" s="3">
        <v>4.0</v>
      </c>
      <c r="D2812" s="3">
        <v>5.0</v>
      </c>
      <c r="E2812" s="3">
        <v>3.0</v>
      </c>
      <c r="F2812" s="3" t="s">
        <v>16</v>
      </c>
      <c r="G2812" s="3" t="s">
        <v>39</v>
      </c>
      <c r="H2812" s="3">
        <v>5.5</v>
      </c>
      <c r="I2812" s="3">
        <v>2.6</v>
      </c>
      <c r="J2812" s="3">
        <f t="shared" si="47"/>
        <v>8.1</v>
      </c>
    </row>
    <row r="2813" ht="15.75" customHeight="1">
      <c r="A2813" s="3">
        <f t="shared" si="46"/>
        <v>2812</v>
      </c>
      <c r="B2813" s="3">
        <v>2014.0</v>
      </c>
      <c r="C2813" s="3">
        <v>4.0</v>
      </c>
      <c r="D2813" s="3">
        <v>5.0</v>
      </c>
      <c r="E2813" s="3">
        <v>3.0</v>
      </c>
      <c r="F2813" s="3" t="s">
        <v>16</v>
      </c>
      <c r="G2813" s="3" t="s">
        <v>27</v>
      </c>
      <c r="H2813" s="3">
        <v>4.5</v>
      </c>
      <c r="I2813" s="3">
        <v>4.1</v>
      </c>
      <c r="J2813" s="3">
        <f t="shared" si="47"/>
        <v>8.6</v>
      </c>
    </row>
    <row r="2814" ht="15.75" customHeight="1">
      <c r="A2814" s="3">
        <f t="shared" si="46"/>
        <v>2813</v>
      </c>
      <c r="B2814" s="3">
        <v>2014.0</v>
      </c>
      <c r="C2814" s="3">
        <v>4.0</v>
      </c>
      <c r="D2814" s="3">
        <v>5.0</v>
      </c>
      <c r="E2814" s="3">
        <v>4.0</v>
      </c>
      <c r="F2814" s="3" t="s">
        <v>16</v>
      </c>
      <c r="G2814" s="3" t="s">
        <v>45</v>
      </c>
      <c r="H2814" s="3">
        <v>4.17</v>
      </c>
      <c r="I2814" s="3">
        <v>4.0</v>
      </c>
      <c r="J2814" s="3">
        <f t="shared" si="47"/>
        <v>8.17</v>
      </c>
    </row>
    <row r="2815" ht="15.75" customHeight="1">
      <c r="A2815" s="3">
        <f t="shared" si="46"/>
        <v>2814</v>
      </c>
      <c r="B2815" s="3">
        <v>2014.0</v>
      </c>
      <c r="C2815" s="3">
        <v>4.0</v>
      </c>
      <c r="D2815" s="3">
        <v>5.0</v>
      </c>
      <c r="E2815" s="3">
        <v>4.0</v>
      </c>
      <c r="F2815" s="3" t="s">
        <v>16</v>
      </c>
      <c r="G2815" s="3" t="s">
        <v>38</v>
      </c>
      <c r="H2815" s="3">
        <v>5.93</v>
      </c>
      <c r="I2815" s="3">
        <v>5.83</v>
      </c>
      <c r="J2815" s="3">
        <f t="shared" si="47"/>
        <v>11.76</v>
      </c>
    </row>
    <row r="2816" ht="15.75" customHeight="1">
      <c r="A2816" s="3">
        <f t="shared" si="46"/>
        <v>2815</v>
      </c>
      <c r="B2816" s="3">
        <v>2014.0</v>
      </c>
      <c r="C2816" s="3">
        <v>4.0</v>
      </c>
      <c r="D2816" s="3">
        <v>6.0</v>
      </c>
      <c r="E2816" s="3">
        <v>1.0</v>
      </c>
      <c r="F2816" s="3" t="s">
        <v>16</v>
      </c>
      <c r="G2816" s="3" t="s">
        <v>56</v>
      </c>
      <c r="H2816" s="3">
        <v>6.97</v>
      </c>
      <c r="I2816" s="3">
        <v>5.4</v>
      </c>
      <c r="J2816" s="3">
        <f t="shared" si="47"/>
        <v>12.37</v>
      </c>
    </row>
    <row r="2817" ht="15.75" customHeight="1">
      <c r="A2817" s="3">
        <f t="shared" si="46"/>
        <v>2816</v>
      </c>
      <c r="B2817" s="3">
        <v>2014.0</v>
      </c>
      <c r="C2817" s="3">
        <v>4.0</v>
      </c>
      <c r="D2817" s="3">
        <v>6.0</v>
      </c>
      <c r="E2817" s="3">
        <v>1.0</v>
      </c>
      <c r="F2817" s="3" t="s">
        <v>16</v>
      </c>
      <c r="G2817" s="3" t="s">
        <v>37</v>
      </c>
      <c r="H2817" s="3">
        <v>7.33</v>
      </c>
      <c r="I2817" s="3">
        <v>7.17</v>
      </c>
      <c r="J2817" s="3">
        <f t="shared" si="47"/>
        <v>14.5</v>
      </c>
    </row>
    <row r="2818" ht="15.75" customHeight="1">
      <c r="A2818" s="3">
        <f t="shared" si="46"/>
        <v>2817</v>
      </c>
      <c r="B2818" s="3">
        <v>2014.0</v>
      </c>
      <c r="C2818" s="3">
        <v>4.0</v>
      </c>
      <c r="D2818" s="3">
        <v>6.0</v>
      </c>
      <c r="E2818" s="3">
        <v>2.0</v>
      </c>
      <c r="F2818" s="3" t="s">
        <v>16</v>
      </c>
      <c r="G2818" s="3" t="s">
        <v>59</v>
      </c>
      <c r="H2818" s="3">
        <v>4.9</v>
      </c>
      <c r="I2818" s="3">
        <v>2.5</v>
      </c>
      <c r="J2818" s="3">
        <f t="shared" si="47"/>
        <v>7.4</v>
      </c>
    </row>
    <row r="2819" ht="15.75" customHeight="1">
      <c r="A2819" s="3">
        <f t="shared" si="46"/>
        <v>2818</v>
      </c>
      <c r="B2819" s="3">
        <v>2014.0</v>
      </c>
      <c r="C2819" s="3">
        <v>4.0</v>
      </c>
      <c r="D2819" s="3">
        <v>6.0</v>
      </c>
      <c r="E2819" s="3">
        <v>2.0</v>
      </c>
      <c r="F2819" s="3" t="s">
        <v>16</v>
      </c>
      <c r="G2819" s="3" t="s">
        <v>32</v>
      </c>
      <c r="H2819" s="3">
        <v>6.67</v>
      </c>
      <c r="I2819" s="3">
        <v>5.77</v>
      </c>
      <c r="J2819" s="3">
        <f t="shared" si="47"/>
        <v>12.44</v>
      </c>
    </row>
    <row r="2820" ht="15.75" customHeight="1">
      <c r="A2820" s="3">
        <f t="shared" si="46"/>
        <v>2819</v>
      </c>
      <c r="B2820" s="3">
        <v>2014.0</v>
      </c>
      <c r="C2820" s="3">
        <v>4.0</v>
      </c>
      <c r="D2820" s="3">
        <v>6.0</v>
      </c>
      <c r="E2820" s="3">
        <v>3.0</v>
      </c>
      <c r="F2820" s="3" t="s">
        <v>16</v>
      </c>
      <c r="G2820" s="3" t="s">
        <v>28</v>
      </c>
      <c r="H2820" s="3">
        <v>6.17</v>
      </c>
      <c r="I2820" s="3">
        <v>5.5</v>
      </c>
      <c r="J2820" s="3">
        <f t="shared" si="47"/>
        <v>11.67</v>
      </c>
    </row>
    <row r="2821" ht="15.75" customHeight="1">
      <c r="A2821" s="3">
        <f t="shared" si="46"/>
        <v>2820</v>
      </c>
      <c r="B2821" s="3">
        <v>2014.0</v>
      </c>
      <c r="C2821" s="3">
        <v>4.0</v>
      </c>
      <c r="D2821" s="3">
        <v>6.0</v>
      </c>
      <c r="E2821" s="3">
        <v>3.0</v>
      </c>
      <c r="F2821" s="3" t="s">
        <v>16</v>
      </c>
      <c r="G2821" s="3" t="s">
        <v>27</v>
      </c>
      <c r="H2821" s="3">
        <v>8.73</v>
      </c>
      <c r="I2821" s="3">
        <v>8.1</v>
      </c>
      <c r="J2821" s="3">
        <f t="shared" si="47"/>
        <v>16.83</v>
      </c>
    </row>
    <row r="2822" ht="15.75" customHeight="1">
      <c r="A2822" s="3">
        <f t="shared" si="46"/>
        <v>2821</v>
      </c>
      <c r="B2822" s="3">
        <v>2014.0</v>
      </c>
      <c r="C2822" s="3">
        <v>4.0</v>
      </c>
      <c r="D2822" s="3">
        <v>6.0</v>
      </c>
      <c r="E2822" s="3">
        <v>4.0</v>
      </c>
      <c r="F2822" s="3" t="s">
        <v>16</v>
      </c>
      <c r="G2822" s="3" t="s">
        <v>62</v>
      </c>
      <c r="H2822" s="3">
        <v>7.93</v>
      </c>
      <c r="I2822" s="3">
        <v>7.73</v>
      </c>
      <c r="J2822" s="3">
        <f t="shared" si="47"/>
        <v>15.66</v>
      </c>
    </row>
    <row r="2823" ht="15.75" customHeight="1">
      <c r="A2823" s="3">
        <f t="shared" si="46"/>
        <v>2822</v>
      </c>
      <c r="B2823" s="3">
        <v>2014.0</v>
      </c>
      <c r="C2823" s="3">
        <v>4.0</v>
      </c>
      <c r="D2823" s="3">
        <v>6.0</v>
      </c>
      <c r="E2823" s="3">
        <v>4.0</v>
      </c>
      <c r="F2823" s="3" t="s">
        <v>16</v>
      </c>
      <c r="G2823" s="3" t="s">
        <v>38</v>
      </c>
      <c r="H2823" s="3">
        <v>4.33</v>
      </c>
      <c r="I2823" s="3">
        <v>2.87</v>
      </c>
      <c r="J2823" s="3">
        <f t="shared" si="47"/>
        <v>7.2</v>
      </c>
    </row>
    <row r="2824" ht="15.75" customHeight="1">
      <c r="A2824" s="3">
        <f t="shared" si="46"/>
        <v>2823</v>
      </c>
      <c r="B2824" s="3">
        <v>2014.0</v>
      </c>
      <c r="C2824" s="3">
        <v>4.0</v>
      </c>
      <c r="D2824" s="3">
        <v>7.0</v>
      </c>
      <c r="E2824" s="3">
        <v>1.0</v>
      </c>
      <c r="F2824" s="3" t="s">
        <v>16</v>
      </c>
      <c r="G2824" s="3" t="s">
        <v>37</v>
      </c>
      <c r="H2824" s="3">
        <v>7.67</v>
      </c>
      <c r="I2824" s="3">
        <v>6.5</v>
      </c>
      <c r="J2824" s="3">
        <f t="shared" si="47"/>
        <v>14.17</v>
      </c>
    </row>
    <row r="2825" ht="15.75" customHeight="1">
      <c r="A2825" s="3">
        <f t="shared" si="46"/>
        <v>2824</v>
      </c>
      <c r="B2825" s="3">
        <v>2014.0</v>
      </c>
      <c r="C2825" s="3">
        <v>4.0</v>
      </c>
      <c r="D2825" s="3">
        <v>7.0</v>
      </c>
      <c r="E2825" s="3">
        <v>1.0</v>
      </c>
      <c r="F2825" s="3" t="s">
        <v>16</v>
      </c>
      <c r="G2825" s="3" t="s">
        <v>32</v>
      </c>
      <c r="H2825" s="3">
        <v>7.6</v>
      </c>
      <c r="I2825" s="3">
        <v>7.13</v>
      </c>
      <c r="J2825" s="3">
        <f t="shared" si="47"/>
        <v>14.73</v>
      </c>
    </row>
    <row r="2826" ht="15.75" customHeight="1">
      <c r="A2826" s="3">
        <f t="shared" si="46"/>
        <v>2825</v>
      </c>
      <c r="B2826" s="3">
        <v>2014.0</v>
      </c>
      <c r="C2826" s="3">
        <v>4.0</v>
      </c>
      <c r="D2826" s="3">
        <v>7.0</v>
      </c>
      <c r="E2826" s="3">
        <v>2.0</v>
      </c>
      <c r="F2826" s="3" t="s">
        <v>16</v>
      </c>
      <c r="G2826" s="3" t="s">
        <v>27</v>
      </c>
      <c r="H2826" s="3">
        <v>8.7</v>
      </c>
      <c r="I2826" s="3">
        <v>6.6</v>
      </c>
      <c r="J2826" s="3">
        <f t="shared" si="47"/>
        <v>15.3</v>
      </c>
    </row>
    <row r="2827" ht="15.75" customHeight="1">
      <c r="A2827" s="3">
        <f t="shared" si="46"/>
        <v>2826</v>
      </c>
      <c r="B2827" s="3">
        <v>2014.0</v>
      </c>
      <c r="C2827" s="3">
        <v>4.0</v>
      </c>
      <c r="D2827" s="3">
        <v>7.0</v>
      </c>
      <c r="E2827" s="3">
        <v>2.0</v>
      </c>
      <c r="F2827" s="3" t="s">
        <v>16</v>
      </c>
      <c r="G2827" s="3" t="s">
        <v>62</v>
      </c>
      <c r="H2827" s="3">
        <v>7.0</v>
      </c>
      <c r="I2827" s="3">
        <v>5.33</v>
      </c>
      <c r="J2827" s="3">
        <f t="shared" si="47"/>
        <v>12.33</v>
      </c>
    </row>
    <row r="2828" ht="15.75" customHeight="1">
      <c r="A2828" s="3">
        <f t="shared" si="46"/>
        <v>2827</v>
      </c>
      <c r="B2828" s="3">
        <v>2014.0</v>
      </c>
      <c r="C2828" s="3">
        <v>4.0</v>
      </c>
      <c r="D2828" s="3">
        <v>8.0</v>
      </c>
      <c r="E2828" s="3">
        <v>1.0</v>
      </c>
      <c r="F2828" s="3" t="s">
        <v>16</v>
      </c>
      <c r="G2828" s="3" t="s">
        <v>32</v>
      </c>
      <c r="H2828" s="3">
        <v>5.93</v>
      </c>
      <c r="I2828" s="3">
        <v>5.0</v>
      </c>
      <c r="J2828" s="3">
        <f t="shared" si="47"/>
        <v>10.93</v>
      </c>
    </row>
    <row r="2829" ht="15.75" customHeight="1">
      <c r="A2829" s="3">
        <f t="shared" si="46"/>
        <v>2828</v>
      </c>
      <c r="B2829" s="3">
        <v>2014.0</v>
      </c>
      <c r="C2829" s="3">
        <v>4.0</v>
      </c>
      <c r="D2829" s="3">
        <v>8.0</v>
      </c>
      <c r="E2829" s="3">
        <v>1.0</v>
      </c>
      <c r="F2829" s="3" t="s">
        <v>16</v>
      </c>
      <c r="G2829" s="3" t="s">
        <v>27</v>
      </c>
      <c r="H2829" s="3">
        <v>7.17</v>
      </c>
      <c r="I2829" s="3">
        <v>6.67</v>
      </c>
      <c r="J2829" s="3">
        <f t="shared" si="47"/>
        <v>13.84</v>
      </c>
    </row>
    <row r="2830" ht="15.75" customHeight="1">
      <c r="A2830" s="3">
        <f t="shared" si="46"/>
        <v>2829</v>
      </c>
      <c r="B2830" s="14">
        <v>2014.0</v>
      </c>
      <c r="C2830" s="14">
        <v>5.0</v>
      </c>
      <c r="D2830" s="14">
        <v>3.0</v>
      </c>
      <c r="E2830" s="14">
        <v>1.0</v>
      </c>
      <c r="F2830" s="14" t="s">
        <v>16</v>
      </c>
      <c r="G2830" s="3" t="s">
        <v>41</v>
      </c>
      <c r="H2830" s="14">
        <v>8.9</v>
      </c>
      <c r="I2830" s="14">
        <v>6.17</v>
      </c>
      <c r="J2830" s="3">
        <f t="shared" si="47"/>
        <v>15.07</v>
      </c>
    </row>
    <row r="2831" ht="15.75" customHeight="1">
      <c r="A2831" s="3">
        <f t="shared" si="46"/>
        <v>2830</v>
      </c>
      <c r="B2831" s="14">
        <v>2014.0</v>
      </c>
      <c r="C2831" s="14">
        <v>5.0</v>
      </c>
      <c r="D2831" s="14">
        <v>3.0</v>
      </c>
      <c r="E2831" s="14">
        <v>1.0</v>
      </c>
      <c r="F2831" s="14" t="s">
        <v>16</v>
      </c>
      <c r="G2831" s="3" t="s">
        <v>76</v>
      </c>
      <c r="H2831" s="14">
        <v>4.77</v>
      </c>
      <c r="I2831" s="14">
        <v>3.67</v>
      </c>
      <c r="J2831" s="3">
        <f t="shared" si="47"/>
        <v>8.44</v>
      </c>
    </row>
    <row r="2832" ht="15.75" customHeight="1">
      <c r="A2832" s="3">
        <f t="shared" si="46"/>
        <v>2831</v>
      </c>
      <c r="B2832" s="14">
        <v>2014.0</v>
      </c>
      <c r="C2832" s="14">
        <v>5.0</v>
      </c>
      <c r="D2832" s="14">
        <v>3.0</v>
      </c>
      <c r="E2832" s="14">
        <v>2.0</v>
      </c>
      <c r="F2832" s="14" t="s">
        <v>16</v>
      </c>
      <c r="G2832" s="3" t="s">
        <v>56</v>
      </c>
      <c r="H2832" s="14">
        <v>8.93</v>
      </c>
      <c r="I2832" s="14">
        <v>7.4</v>
      </c>
      <c r="J2832" s="3">
        <f t="shared" si="47"/>
        <v>16.33</v>
      </c>
    </row>
    <row r="2833" ht="15.75" customHeight="1">
      <c r="A2833" s="3">
        <f t="shared" si="46"/>
        <v>2832</v>
      </c>
      <c r="B2833" s="14">
        <v>2014.0</v>
      </c>
      <c r="C2833" s="14">
        <v>5.0</v>
      </c>
      <c r="D2833" s="14">
        <v>3.0</v>
      </c>
      <c r="E2833" s="14">
        <v>2.0</v>
      </c>
      <c r="F2833" s="14" t="s">
        <v>16</v>
      </c>
      <c r="G2833" s="3" t="s">
        <v>60</v>
      </c>
      <c r="H2833" s="14">
        <v>6.67</v>
      </c>
      <c r="I2833" s="14">
        <v>6.67</v>
      </c>
      <c r="J2833" s="3">
        <f t="shared" si="47"/>
        <v>13.34</v>
      </c>
    </row>
    <row r="2834" ht="15.75" customHeight="1">
      <c r="A2834" s="3">
        <f t="shared" si="46"/>
        <v>2833</v>
      </c>
      <c r="B2834" s="14">
        <v>2014.0</v>
      </c>
      <c r="C2834" s="14">
        <v>5.0</v>
      </c>
      <c r="D2834" s="14">
        <v>3.0</v>
      </c>
      <c r="E2834" s="14">
        <v>3.0</v>
      </c>
      <c r="F2834" s="14" t="s">
        <v>16</v>
      </c>
      <c r="G2834" s="3" t="s">
        <v>27</v>
      </c>
      <c r="H2834" s="14">
        <v>9.5</v>
      </c>
      <c r="I2834" s="14">
        <v>9.2</v>
      </c>
      <c r="J2834" s="3">
        <f t="shared" si="47"/>
        <v>18.7</v>
      </c>
    </row>
    <row r="2835" ht="15.75" customHeight="1">
      <c r="A2835" s="3">
        <f t="shared" si="46"/>
        <v>2834</v>
      </c>
      <c r="B2835" s="14">
        <v>2014.0</v>
      </c>
      <c r="C2835" s="14">
        <v>5.0</v>
      </c>
      <c r="D2835" s="14">
        <v>3.0</v>
      </c>
      <c r="E2835" s="14">
        <v>3.0</v>
      </c>
      <c r="F2835" s="14" t="s">
        <v>16</v>
      </c>
      <c r="G2835" s="3" t="s">
        <v>50</v>
      </c>
      <c r="H2835" s="14">
        <v>7.67</v>
      </c>
      <c r="I2835" s="14">
        <v>2.9</v>
      </c>
      <c r="J2835" s="3">
        <f t="shared" si="47"/>
        <v>10.57</v>
      </c>
    </row>
    <row r="2836" ht="15.75" customHeight="1">
      <c r="A2836" s="3">
        <f t="shared" si="46"/>
        <v>2835</v>
      </c>
      <c r="B2836" s="14">
        <v>2014.0</v>
      </c>
      <c r="C2836" s="14">
        <v>5.0</v>
      </c>
      <c r="D2836" s="14">
        <v>3.0</v>
      </c>
      <c r="E2836" s="14">
        <v>4.0</v>
      </c>
      <c r="F2836" s="14" t="s">
        <v>16</v>
      </c>
      <c r="G2836" s="3" t="s">
        <v>28</v>
      </c>
      <c r="H2836" s="14">
        <v>6.5</v>
      </c>
      <c r="I2836" s="14">
        <v>5.93</v>
      </c>
      <c r="J2836" s="3">
        <f t="shared" si="47"/>
        <v>12.43</v>
      </c>
    </row>
    <row r="2837" ht="15.75" customHeight="1">
      <c r="A2837" s="3">
        <f t="shared" si="46"/>
        <v>2836</v>
      </c>
      <c r="B2837" s="14">
        <v>2014.0</v>
      </c>
      <c r="C2837" s="14">
        <v>5.0</v>
      </c>
      <c r="D2837" s="14">
        <v>3.0</v>
      </c>
      <c r="E2837" s="14">
        <v>4.0</v>
      </c>
      <c r="F2837" s="14" t="s">
        <v>16</v>
      </c>
      <c r="G2837" s="3" t="s">
        <v>33</v>
      </c>
      <c r="H2837" s="14">
        <v>8.27</v>
      </c>
      <c r="I2837" s="14">
        <v>5.43</v>
      </c>
      <c r="J2837" s="3">
        <f t="shared" si="47"/>
        <v>13.7</v>
      </c>
    </row>
    <row r="2838" ht="15.75" customHeight="1">
      <c r="A2838" s="3">
        <f t="shared" si="46"/>
        <v>2837</v>
      </c>
      <c r="B2838" s="14">
        <v>2014.0</v>
      </c>
      <c r="C2838" s="14">
        <v>5.0</v>
      </c>
      <c r="D2838" s="14">
        <v>3.0</v>
      </c>
      <c r="E2838" s="14">
        <v>5.0</v>
      </c>
      <c r="F2838" s="14" t="s">
        <v>16</v>
      </c>
      <c r="G2838" s="3" t="s">
        <v>59</v>
      </c>
      <c r="H2838" s="14">
        <v>8.43</v>
      </c>
      <c r="I2838" s="14">
        <v>7.5</v>
      </c>
      <c r="J2838" s="3">
        <f t="shared" si="47"/>
        <v>15.93</v>
      </c>
    </row>
    <row r="2839" ht="15.75" customHeight="1">
      <c r="A2839" s="3">
        <f t="shared" si="46"/>
        <v>2838</v>
      </c>
      <c r="B2839" s="14">
        <v>2014.0</v>
      </c>
      <c r="C2839" s="14">
        <v>5.0</v>
      </c>
      <c r="D2839" s="14">
        <v>3.0</v>
      </c>
      <c r="E2839" s="14">
        <v>5.0</v>
      </c>
      <c r="F2839" s="14" t="s">
        <v>16</v>
      </c>
      <c r="G2839" s="3" t="s">
        <v>57</v>
      </c>
      <c r="H2839" s="14">
        <v>9.33</v>
      </c>
      <c r="I2839" s="14">
        <v>6.83</v>
      </c>
      <c r="J2839" s="3">
        <f t="shared" si="47"/>
        <v>16.16</v>
      </c>
    </row>
    <row r="2840" ht="15.75" customHeight="1">
      <c r="A2840" s="3">
        <f t="shared" si="46"/>
        <v>2839</v>
      </c>
      <c r="B2840" s="14">
        <v>2014.0</v>
      </c>
      <c r="C2840" s="14">
        <v>5.0</v>
      </c>
      <c r="D2840" s="14">
        <v>3.0</v>
      </c>
      <c r="E2840" s="14">
        <v>6.0</v>
      </c>
      <c r="F2840" s="14" t="s">
        <v>16</v>
      </c>
      <c r="G2840" s="3" t="s">
        <v>37</v>
      </c>
      <c r="H2840" s="3">
        <v>8.5</v>
      </c>
      <c r="I2840" s="14">
        <v>7.83</v>
      </c>
      <c r="J2840" s="3">
        <f t="shared" si="47"/>
        <v>16.33</v>
      </c>
    </row>
    <row r="2841" ht="15.75" customHeight="1">
      <c r="A2841" s="3">
        <f t="shared" si="46"/>
        <v>2840</v>
      </c>
      <c r="B2841" s="14">
        <v>2014.0</v>
      </c>
      <c r="C2841" s="14">
        <v>5.0</v>
      </c>
      <c r="D2841" s="14">
        <v>3.0</v>
      </c>
      <c r="E2841" s="14">
        <v>6.0</v>
      </c>
      <c r="F2841" s="14" t="s">
        <v>16</v>
      </c>
      <c r="G2841" s="3" t="s">
        <v>130</v>
      </c>
      <c r="H2841" s="14">
        <v>5.33</v>
      </c>
      <c r="I2841" s="14">
        <v>4.1</v>
      </c>
      <c r="J2841" s="3">
        <f t="shared" si="47"/>
        <v>9.43</v>
      </c>
    </row>
    <row r="2842" ht="15.75" customHeight="1">
      <c r="A2842" s="3">
        <f t="shared" si="46"/>
        <v>2841</v>
      </c>
      <c r="B2842" s="14">
        <v>2014.0</v>
      </c>
      <c r="C2842" s="14">
        <v>5.0</v>
      </c>
      <c r="D2842" s="14">
        <v>3.0</v>
      </c>
      <c r="E2842" s="14">
        <v>7.0</v>
      </c>
      <c r="F2842" s="14" t="s">
        <v>16</v>
      </c>
      <c r="G2842" s="3" t="s">
        <v>39</v>
      </c>
      <c r="H2842" s="14">
        <v>7.83</v>
      </c>
      <c r="I2842" s="14">
        <v>7.53</v>
      </c>
      <c r="J2842" s="3">
        <f t="shared" si="47"/>
        <v>15.36</v>
      </c>
    </row>
    <row r="2843" ht="15.75" customHeight="1">
      <c r="A2843" s="3">
        <f t="shared" si="46"/>
        <v>2842</v>
      </c>
      <c r="B2843" s="14">
        <v>2014.0</v>
      </c>
      <c r="C2843" s="14">
        <v>5.0</v>
      </c>
      <c r="D2843" s="14">
        <v>3.0</v>
      </c>
      <c r="E2843" s="14">
        <v>7.0</v>
      </c>
      <c r="F2843" s="14" t="s">
        <v>16</v>
      </c>
      <c r="G2843" s="3" t="s">
        <v>99</v>
      </c>
      <c r="H2843" s="14">
        <v>4.93</v>
      </c>
      <c r="I2843" s="14">
        <v>4.67</v>
      </c>
      <c r="J2843" s="3">
        <f t="shared" si="47"/>
        <v>9.6</v>
      </c>
    </row>
    <row r="2844" ht="15.75" customHeight="1">
      <c r="A2844" s="3">
        <f t="shared" si="46"/>
        <v>2843</v>
      </c>
      <c r="B2844" s="14">
        <v>2014.0</v>
      </c>
      <c r="C2844" s="14">
        <v>5.0</v>
      </c>
      <c r="D2844" s="14">
        <v>3.0</v>
      </c>
      <c r="E2844" s="14">
        <v>8.0</v>
      </c>
      <c r="F2844" s="14" t="s">
        <v>16</v>
      </c>
      <c r="G2844" s="3" t="s">
        <v>26</v>
      </c>
      <c r="H2844" s="14">
        <v>8.5</v>
      </c>
      <c r="I2844" s="14">
        <v>7.67</v>
      </c>
      <c r="J2844" s="3">
        <f t="shared" si="47"/>
        <v>16.17</v>
      </c>
    </row>
    <row r="2845" ht="15.75" customHeight="1">
      <c r="A2845" s="3">
        <f t="shared" si="46"/>
        <v>2844</v>
      </c>
      <c r="B2845" s="14">
        <v>2014.0</v>
      </c>
      <c r="C2845" s="14">
        <v>5.0</v>
      </c>
      <c r="D2845" s="14">
        <v>3.0</v>
      </c>
      <c r="E2845" s="14">
        <v>8.0</v>
      </c>
      <c r="F2845" s="14" t="s">
        <v>16</v>
      </c>
      <c r="G2845" s="3" t="s">
        <v>38</v>
      </c>
      <c r="H2845" s="14">
        <v>2.5</v>
      </c>
      <c r="I2845" s="14">
        <v>1.53</v>
      </c>
      <c r="J2845" s="3">
        <f t="shared" si="47"/>
        <v>4.03</v>
      </c>
    </row>
    <row r="2846" ht="15.75" customHeight="1">
      <c r="A2846" s="3">
        <f t="shared" si="46"/>
        <v>2845</v>
      </c>
      <c r="B2846" s="14">
        <v>2014.0</v>
      </c>
      <c r="C2846" s="14">
        <v>5.0</v>
      </c>
      <c r="D2846" s="14">
        <v>3.0</v>
      </c>
      <c r="E2846" s="14">
        <v>9.0</v>
      </c>
      <c r="F2846" s="14" t="s">
        <v>16</v>
      </c>
      <c r="G2846" s="3" t="s">
        <v>30</v>
      </c>
      <c r="H2846" s="14">
        <v>8.0</v>
      </c>
      <c r="I2846" s="14">
        <v>7.63</v>
      </c>
      <c r="J2846" s="3">
        <f t="shared" si="47"/>
        <v>15.63</v>
      </c>
    </row>
    <row r="2847" ht="15.75" customHeight="1">
      <c r="A2847" s="3">
        <f t="shared" si="46"/>
        <v>2846</v>
      </c>
      <c r="B2847" s="14">
        <v>2014.0</v>
      </c>
      <c r="C2847" s="14">
        <v>5.0</v>
      </c>
      <c r="D2847" s="14">
        <v>3.0</v>
      </c>
      <c r="E2847" s="14">
        <v>9.0</v>
      </c>
      <c r="F2847" s="14" t="s">
        <v>16</v>
      </c>
      <c r="G2847" s="3" t="s">
        <v>123</v>
      </c>
      <c r="H2847" s="14">
        <v>8.23</v>
      </c>
      <c r="I2847" s="14">
        <v>6.87</v>
      </c>
      <c r="J2847" s="3">
        <f t="shared" si="47"/>
        <v>15.1</v>
      </c>
    </row>
    <row r="2848" ht="15.75" customHeight="1">
      <c r="A2848" s="3">
        <f t="shared" si="46"/>
        <v>2847</v>
      </c>
      <c r="B2848" s="14">
        <v>2014.0</v>
      </c>
      <c r="C2848" s="14">
        <v>5.0</v>
      </c>
      <c r="D2848" s="14">
        <v>3.0</v>
      </c>
      <c r="E2848" s="14">
        <v>10.0</v>
      </c>
      <c r="F2848" s="14" t="s">
        <v>16</v>
      </c>
      <c r="G2848" s="3" t="s">
        <v>42</v>
      </c>
      <c r="H2848" s="14">
        <v>9.33</v>
      </c>
      <c r="I2848" s="14">
        <v>9.3</v>
      </c>
      <c r="J2848" s="3">
        <f t="shared" si="47"/>
        <v>18.63</v>
      </c>
    </row>
    <row r="2849" ht="15.75" customHeight="1">
      <c r="A2849" s="3">
        <f t="shared" si="46"/>
        <v>2848</v>
      </c>
      <c r="B2849" s="14">
        <v>2014.0</v>
      </c>
      <c r="C2849" s="14">
        <v>5.0</v>
      </c>
      <c r="D2849" s="14">
        <v>3.0</v>
      </c>
      <c r="E2849" s="14">
        <v>10.0</v>
      </c>
      <c r="F2849" s="14" t="s">
        <v>16</v>
      </c>
      <c r="G2849" s="3" t="s">
        <v>47</v>
      </c>
      <c r="H2849" s="14">
        <v>6.87</v>
      </c>
      <c r="I2849" s="14">
        <v>6.73</v>
      </c>
      <c r="J2849" s="3">
        <f t="shared" si="47"/>
        <v>13.6</v>
      </c>
    </row>
    <row r="2850" ht="15.75" customHeight="1">
      <c r="A2850" s="3">
        <f t="shared" si="46"/>
        <v>2849</v>
      </c>
      <c r="B2850" s="14">
        <v>2014.0</v>
      </c>
      <c r="C2850" s="14">
        <v>5.0</v>
      </c>
      <c r="D2850" s="14">
        <v>3.0</v>
      </c>
      <c r="E2850" s="14">
        <v>11.0</v>
      </c>
      <c r="F2850" s="14" t="s">
        <v>16</v>
      </c>
      <c r="G2850" s="3" t="s">
        <v>31</v>
      </c>
      <c r="H2850" s="14">
        <v>7.83</v>
      </c>
      <c r="I2850" s="14">
        <v>4.77</v>
      </c>
      <c r="J2850" s="3">
        <f t="shared" si="47"/>
        <v>12.6</v>
      </c>
    </row>
    <row r="2851" ht="15.75" customHeight="1">
      <c r="A2851" s="3">
        <f t="shared" si="46"/>
        <v>2850</v>
      </c>
      <c r="B2851" s="14">
        <v>2014.0</v>
      </c>
      <c r="C2851" s="14">
        <v>5.0</v>
      </c>
      <c r="D2851" s="14">
        <v>3.0</v>
      </c>
      <c r="E2851" s="14">
        <v>11.0</v>
      </c>
      <c r="F2851" s="14" t="s">
        <v>16</v>
      </c>
      <c r="G2851" s="3" t="s">
        <v>32</v>
      </c>
      <c r="H2851" s="14">
        <v>8.07</v>
      </c>
      <c r="I2851" s="14">
        <v>7.0</v>
      </c>
      <c r="J2851" s="3">
        <f t="shared" si="47"/>
        <v>15.07</v>
      </c>
    </row>
    <row r="2852" ht="15.75" customHeight="1">
      <c r="A2852" s="3">
        <f t="shared" si="46"/>
        <v>2851</v>
      </c>
      <c r="B2852" s="14">
        <v>2014.0</v>
      </c>
      <c r="C2852" s="14">
        <v>5.0</v>
      </c>
      <c r="D2852" s="14">
        <v>3.0</v>
      </c>
      <c r="E2852" s="14">
        <v>12.0</v>
      </c>
      <c r="F2852" s="14" t="s">
        <v>16</v>
      </c>
      <c r="G2852" s="3" t="s">
        <v>62</v>
      </c>
      <c r="H2852" s="14">
        <v>6.17</v>
      </c>
      <c r="I2852" s="14">
        <v>5.07</v>
      </c>
      <c r="J2852" s="3">
        <f t="shared" si="47"/>
        <v>11.24</v>
      </c>
    </row>
    <row r="2853" ht="15.75" customHeight="1">
      <c r="A2853" s="3">
        <f t="shared" si="46"/>
        <v>2852</v>
      </c>
      <c r="B2853" s="14">
        <v>2014.0</v>
      </c>
      <c r="C2853" s="14">
        <v>5.0</v>
      </c>
      <c r="D2853" s="14">
        <v>3.0</v>
      </c>
      <c r="E2853" s="14">
        <v>12.0</v>
      </c>
      <c r="F2853" s="14" t="s">
        <v>16</v>
      </c>
      <c r="G2853" s="3" t="s">
        <v>120</v>
      </c>
      <c r="H2853" s="14">
        <v>5.57</v>
      </c>
      <c r="I2853" s="14">
        <v>5.17</v>
      </c>
      <c r="J2853" s="3">
        <f t="shared" si="47"/>
        <v>10.74</v>
      </c>
    </row>
    <row r="2854" ht="15.75" customHeight="1">
      <c r="A2854" s="3">
        <f t="shared" si="46"/>
        <v>2853</v>
      </c>
      <c r="B2854" s="14">
        <v>2014.0</v>
      </c>
      <c r="C2854" s="14">
        <v>5.0</v>
      </c>
      <c r="D2854" s="14">
        <v>4.0</v>
      </c>
      <c r="E2854" s="14">
        <v>1.0</v>
      </c>
      <c r="F2854" s="14" t="s">
        <v>16</v>
      </c>
      <c r="G2854" s="3" t="s">
        <v>41</v>
      </c>
      <c r="H2854" s="14">
        <v>7.57</v>
      </c>
      <c r="I2854" s="14">
        <v>6.17</v>
      </c>
      <c r="J2854" s="3">
        <f t="shared" si="47"/>
        <v>13.74</v>
      </c>
    </row>
    <row r="2855" ht="15.75" customHeight="1">
      <c r="A2855" s="3">
        <f t="shared" si="46"/>
        <v>2854</v>
      </c>
      <c r="B2855" s="14">
        <v>2014.0</v>
      </c>
      <c r="C2855" s="14">
        <v>5.0</v>
      </c>
      <c r="D2855" s="14">
        <v>4.0</v>
      </c>
      <c r="E2855" s="14">
        <v>1.0</v>
      </c>
      <c r="F2855" s="14" t="s">
        <v>16</v>
      </c>
      <c r="G2855" s="3" t="s">
        <v>56</v>
      </c>
      <c r="H2855" s="14">
        <v>7.0</v>
      </c>
      <c r="I2855" s="14">
        <v>6.83</v>
      </c>
      <c r="J2855" s="3">
        <f t="shared" si="47"/>
        <v>13.83</v>
      </c>
    </row>
    <row r="2856" ht="15.75" customHeight="1">
      <c r="A2856" s="3">
        <f t="shared" si="46"/>
        <v>2855</v>
      </c>
      <c r="B2856" s="14">
        <v>2014.0</v>
      </c>
      <c r="C2856" s="14">
        <v>5.0</v>
      </c>
      <c r="D2856" s="14">
        <v>4.0</v>
      </c>
      <c r="E2856" s="14">
        <v>1.0</v>
      </c>
      <c r="F2856" s="14" t="s">
        <v>16</v>
      </c>
      <c r="G2856" s="3" t="s">
        <v>27</v>
      </c>
      <c r="H2856" s="14">
        <v>3.5</v>
      </c>
      <c r="I2856" s="14">
        <v>2.63</v>
      </c>
      <c r="J2856" s="3">
        <f t="shared" si="47"/>
        <v>6.13</v>
      </c>
    </row>
    <row r="2857" ht="15.75" customHeight="1">
      <c r="A2857" s="3">
        <f t="shared" si="46"/>
        <v>2856</v>
      </c>
      <c r="B2857" s="14">
        <v>2014.0</v>
      </c>
      <c r="C2857" s="14">
        <v>5.0</v>
      </c>
      <c r="D2857" s="14">
        <v>4.0</v>
      </c>
      <c r="E2857" s="14">
        <v>2.0</v>
      </c>
      <c r="F2857" s="14" t="s">
        <v>16</v>
      </c>
      <c r="G2857" s="3" t="s">
        <v>33</v>
      </c>
      <c r="H2857" s="14">
        <v>7.5</v>
      </c>
      <c r="I2857" s="14">
        <v>7.27</v>
      </c>
      <c r="J2857" s="3">
        <f t="shared" si="47"/>
        <v>14.77</v>
      </c>
    </row>
    <row r="2858" ht="15.75" customHeight="1">
      <c r="A2858" s="3">
        <f t="shared" si="46"/>
        <v>2857</v>
      </c>
      <c r="B2858" s="14">
        <v>2014.0</v>
      </c>
      <c r="C2858" s="14">
        <v>5.0</v>
      </c>
      <c r="D2858" s="14">
        <v>4.0</v>
      </c>
      <c r="E2858" s="14">
        <v>2.0</v>
      </c>
      <c r="F2858" s="14" t="s">
        <v>16</v>
      </c>
      <c r="G2858" s="3" t="s">
        <v>57</v>
      </c>
      <c r="H2858" s="14">
        <v>7.57</v>
      </c>
      <c r="I2858" s="14">
        <v>5.5</v>
      </c>
      <c r="J2858" s="3">
        <f t="shared" si="47"/>
        <v>13.07</v>
      </c>
    </row>
    <row r="2859" ht="15.75" customHeight="1">
      <c r="A2859" s="3">
        <f t="shared" si="46"/>
        <v>2858</v>
      </c>
      <c r="B2859" s="14">
        <v>2014.0</v>
      </c>
      <c r="C2859" s="14">
        <v>5.0</v>
      </c>
      <c r="D2859" s="14">
        <v>4.0</v>
      </c>
      <c r="E2859" s="14">
        <v>2.0</v>
      </c>
      <c r="F2859" s="14" t="s">
        <v>16</v>
      </c>
      <c r="G2859" s="3" t="s">
        <v>37</v>
      </c>
      <c r="H2859" s="14">
        <v>8.3</v>
      </c>
      <c r="I2859" s="14">
        <v>6.7</v>
      </c>
      <c r="J2859" s="3">
        <f t="shared" si="47"/>
        <v>15</v>
      </c>
    </row>
    <row r="2860" ht="15.75" customHeight="1">
      <c r="A2860" s="3">
        <f t="shared" si="46"/>
        <v>2859</v>
      </c>
      <c r="B2860" s="14">
        <v>2014.0</v>
      </c>
      <c r="C2860" s="14">
        <v>5.0</v>
      </c>
      <c r="D2860" s="14">
        <v>4.0</v>
      </c>
      <c r="E2860" s="14">
        <v>3.0</v>
      </c>
      <c r="F2860" s="14" t="s">
        <v>16</v>
      </c>
      <c r="G2860" s="3" t="s">
        <v>39</v>
      </c>
      <c r="H2860" s="14">
        <v>5.5</v>
      </c>
      <c r="I2860" s="14">
        <v>4.33</v>
      </c>
      <c r="J2860" s="3">
        <f t="shared" si="47"/>
        <v>9.83</v>
      </c>
    </row>
    <row r="2861" ht="15.75" customHeight="1">
      <c r="A2861" s="3">
        <f t="shared" si="46"/>
        <v>2860</v>
      </c>
      <c r="B2861" s="14">
        <v>2014.0</v>
      </c>
      <c r="C2861" s="14">
        <v>5.0</v>
      </c>
      <c r="D2861" s="14">
        <v>4.0</v>
      </c>
      <c r="E2861" s="14">
        <v>3.0</v>
      </c>
      <c r="F2861" s="14" t="s">
        <v>16</v>
      </c>
      <c r="G2861" s="3" t="s">
        <v>26</v>
      </c>
      <c r="H2861" s="14">
        <v>5.93</v>
      </c>
      <c r="I2861" s="14">
        <v>5.0</v>
      </c>
      <c r="J2861" s="3">
        <f t="shared" si="47"/>
        <v>10.93</v>
      </c>
    </row>
    <row r="2862" ht="15.75" customHeight="1">
      <c r="A2862" s="3">
        <f t="shared" si="46"/>
        <v>2861</v>
      </c>
      <c r="B2862" s="14">
        <v>2014.0</v>
      </c>
      <c r="C2862" s="14">
        <v>5.0</v>
      </c>
      <c r="D2862" s="14">
        <v>4.0</v>
      </c>
      <c r="E2862" s="14">
        <v>3.0</v>
      </c>
      <c r="F2862" s="14" t="s">
        <v>16</v>
      </c>
      <c r="G2862" s="3" t="s">
        <v>30</v>
      </c>
      <c r="H2862" s="14">
        <v>8.03</v>
      </c>
      <c r="I2862" s="14">
        <v>7.17</v>
      </c>
      <c r="J2862" s="3">
        <f t="shared" si="47"/>
        <v>15.2</v>
      </c>
    </row>
    <row r="2863" ht="15.75" customHeight="1">
      <c r="A2863" s="3">
        <f t="shared" si="46"/>
        <v>2862</v>
      </c>
      <c r="B2863" s="14">
        <v>2014.0</v>
      </c>
      <c r="C2863" s="14">
        <v>5.0</v>
      </c>
      <c r="D2863" s="14">
        <v>4.0</v>
      </c>
      <c r="E2863" s="14">
        <v>4.0</v>
      </c>
      <c r="F2863" s="14" t="s">
        <v>16</v>
      </c>
      <c r="G2863" s="3" t="s">
        <v>42</v>
      </c>
      <c r="H2863" s="14">
        <v>7.47</v>
      </c>
      <c r="I2863" s="14">
        <v>6.67</v>
      </c>
      <c r="J2863" s="3">
        <f t="shared" si="47"/>
        <v>14.14</v>
      </c>
    </row>
    <row r="2864" ht="15.75" customHeight="1">
      <c r="A2864" s="3">
        <f t="shared" si="46"/>
        <v>2863</v>
      </c>
      <c r="B2864" s="14">
        <v>2014.0</v>
      </c>
      <c r="C2864" s="14">
        <v>5.0</v>
      </c>
      <c r="D2864" s="14">
        <v>4.0</v>
      </c>
      <c r="E2864" s="14">
        <v>4.0</v>
      </c>
      <c r="F2864" s="14" t="s">
        <v>16</v>
      </c>
      <c r="G2864" s="3" t="s">
        <v>32</v>
      </c>
      <c r="H2864" s="14">
        <v>7.17</v>
      </c>
      <c r="I2864" s="14">
        <v>7.1</v>
      </c>
      <c r="J2864" s="3">
        <f t="shared" si="47"/>
        <v>14.27</v>
      </c>
    </row>
    <row r="2865" ht="15.75" customHeight="1">
      <c r="A2865" s="3">
        <f t="shared" si="46"/>
        <v>2864</v>
      </c>
      <c r="B2865" s="14">
        <v>2014.0</v>
      </c>
      <c r="C2865" s="14">
        <v>5.0</v>
      </c>
      <c r="D2865" s="14">
        <v>4.0</v>
      </c>
      <c r="E2865" s="14">
        <v>4.0</v>
      </c>
      <c r="F2865" s="14" t="s">
        <v>16</v>
      </c>
      <c r="G2865" s="3" t="s">
        <v>62</v>
      </c>
      <c r="H2865" s="14">
        <v>6.87</v>
      </c>
      <c r="I2865" s="14">
        <v>4.5</v>
      </c>
      <c r="J2865" s="3">
        <f t="shared" si="47"/>
        <v>11.37</v>
      </c>
    </row>
    <row r="2866" ht="15.75" customHeight="1">
      <c r="A2866" s="3">
        <f t="shared" si="46"/>
        <v>2865</v>
      </c>
      <c r="B2866" s="14">
        <v>2014.0</v>
      </c>
      <c r="C2866" s="14">
        <v>5.0</v>
      </c>
      <c r="D2866" s="14">
        <v>5.0</v>
      </c>
      <c r="E2866" s="14">
        <v>1.0</v>
      </c>
      <c r="F2866" s="14" t="s">
        <v>16</v>
      </c>
      <c r="G2866" s="3" t="s">
        <v>41</v>
      </c>
      <c r="H2866" s="14">
        <v>8.27</v>
      </c>
      <c r="I2866" s="14">
        <v>7.63</v>
      </c>
      <c r="J2866" s="3">
        <f t="shared" si="47"/>
        <v>15.9</v>
      </c>
    </row>
    <row r="2867" ht="15.75" customHeight="1">
      <c r="A2867" s="3">
        <f t="shared" si="46"/>
        <v>2866</v>
      </c>
      <c r="B2867" s="14">
        <v>2014.0</v>
      </c>
      <c r="C2867" s="14">
        <v>5.0</v>
      </c>
      <c r="D2867" s="14">
        <v>5.0</v>
      </c>
      <c r="E2867" s="14">
        <v>1.0</v>
      </c>
      <c r="F2867" s="14" t="s">
        <v>16</v>
      </c>
      <c r="G2867" s="3" t="s">
        <v>57</v>
      </c>
      <c r="H2867" s="14">
        <v>8.43</v>
      </c>
      <c r="I2867" s="14">
        <v>6.43</v>
      </c>
      <c r="J2867" s="3">
        <f t="shared" si="47"/>
        <v>14.86</v>
      </c>
    </row>
    <row r="2868" ht="15.75" customHeight="1">
      <c r="A2868" s="3">
        <f t="shared" si="46"/>
        <v>2867</v>
      </c>
      <c r="B2868" s="14">
        <v>2014.0</v>
      </c>
      <c r="C2868" s="14">
        <v>5.0</v>
      </c>
      <c r="D2868" s="14">
        <v>5.0</v>
      </c>
      <c r="E2868" s="14">
        <v>2.0</v>
      </c>
      <c r="F2868" s="14" t="s">
        <v>16</v>
      </c>
      <c r="G2868" s="3" t="s">
        <v>33</v>
      </c>
      <c r="H2868" s="14">
        <v>4.17</v>
      </c>
      <c r="I2868" s="14">
        <v>4.03</v>
      </c>
      <c r="J2868" s="3">
        <f t="shared" si="47"/>
        <v>8.2</v>
      </c>
    </row>
    <row r="2869" ht="15.75" customHeight="1">
      <c r="A2869" s="3">
        <f t="shared" si="46"/>
        <v>2868</v>
      </c>
      <c r="B2869" s="14">
        <v>2014.0</v>
      </c>
      <c r="C2869" s="14">
        <v>5.0</v>
      </c>
      <c r="D2869" s="14">
        <v>5.0</v>
      </c>
      <c r="E2869" s="14">
        <v>2.0</v>
      </c>
      <c r="F2869" s="14" t="s">
        <v>16</v>
      </c>
      <c r="G2869" s="3" t="s">
        <v>27</v>
      </c>
      <c r="H2869" s="14">
        <v>8.27</v>
      </c>
      <c r="I2869" s="14">
        <v>5.17</v>
      </c>
      <c r="J2869" s="3">
        <f t="shared" si="47"/>
        <v>13.44</v>
      </c>
    </row>
    <row r="2870" ht="15.75" customHeight="1">
      <c r="A2870" s="3">
        <f t="shared" si="46"/>
        <v>2869</v>
      </c>
      <c r="B2870" s="14">
        <v>2014.0</v>
      </c>
      <c r="C2870" s="14">
        <v>5.0</v>
      </c>
      <c r="D2870" s="14">
        <v>5.0</v>
      </c>
      <c r="E2870" s="14">
        <v>3.0</v>
      </c>
      <c r="F2870" s="14" t="s">
        <v>16</v>
      </c>
      <c r="G2870" s="3" t="s">
        <v>26</v>
      </c>
      <c r="H2870" s="14">
        <v>9.87</v>
      </c>
      <c r="I2870" s="14">
        <v>6.83</v>
      </c>
      <c r="J2870" s="3">
        <f t="shared" si="47"/>
        <v>16.7</v>
      </c>
    </row>
    <row r="2871" ht="15.75" customHeight="1">
      <c r="A2871" s="3">
        <f t="shared" si="46"/>
        <v>2870</v>
      </c>
      <c r="B2871" s="14">
        <v>2014.0</v>
      </c>
      <c r="C2871" s="14">
        <v>5.0</v>
      </c>
      <c r="D2871" s="14">
        <v>5.0</v>
      </c>
      <c r="E2871" s="14">
        <v>3.0</v>
      </c>
      <c r="F2871" s="14" t="s">
        <v>16</v>
      </c>
      <c r="G2871" s="3" t="s">
        <v>62</v>
      </c>
      <c r="H2871" s="14">
        <v>6.17</v>
      </c>
      <c r="I2871" s="14">
        <v>6.17</v>
      </c>
      <c r="J2871" s="3">
        <f t="shared" si="47"/>
        <v>12.34</v>
      </c>
    </row>
    <row r="2872" ht="15.75" customHeight="1">
      <c r="A2872" s="3">
        <f t="shared" si="46"/>
        <v>2871</v>
      </c>
      <c r="B2872" s="14">
        <v>2014.0</v>
      </c>
      <c r="C2872" s="14">
        <v>5.0</v>
      </c>
      <c r="D2872" s="14">
        <v>5.0</v>
      </c>
      <c r="E2872" s="14">
        <v>4.0</v>
      </c>
      <c r="F2872" s="14" t="s">
        <v>16</v>
      </c>
      <c r="G2872" s="3" t="s">
        <v>42</v>
      </c>
      <c r="H2872" s="14">
        <v>7.0</v>
      </c>
      <c r="I2872" s="14">
        <v>5.67</v>
      </c>
      <c r="J2872" s="3">
        <f t="shared" si="47"/>
        <v>12.67</v>
      </c>
    </row>
    <row r="2873" ht="15.75" customHeight="1">
      <c r="A2873" s="3">
        <f t="shared" si="46"/>
        <v>2872</v>
      </c>
      <c r="B2873" s="14">
        <v>2014.0</v>
      </c>
      <c r="C2873" s="14">
        <v>5.0</v>
      </c>
      <c r="D2873" s="14">
        <v>5.0</v>
      </c>
      <c r="E2873" s="14">
        <v>4.0</v>
      </c>
      <c r="F2873" s="14" t="s">
        <v>16</v>
      </c>
      <c r="G2873" s="3" t="s">
        <v>39</v>
      </c>
      <c r="H2873" s="14">
        <v>6.17</v>
      </c>
      <c r="I2873" s="14">
        <v>3.93</v>
      </c>
      <c r="J2873" s="3">
        <f t="shared" si="47"/>
        <v>10.1</v>
      </c>
    </row>
    <row r="2874" ht="15.75" customHeight="1">
      <c r="A2874" s="3">
        <f t="shared" si="46"/>
        <v>2873</v>
      </c>
      <c r="B2874" s="14">
        <v>2014.0</v>
      </c>
      <c r="C2874" s="14">
        <v>5.0</v>
      </c>
      <c r="D2874" s="14">
        <v>6.0</v>
      </c>
      <c r="E2874" s="14">
        <v>1.0</v>
      </c>
      <c r="F2874" s="14" t="s">
        <v>16</v>
      </c>
      <c r="G2874" s="3" t="s">
        <v>56</v>
      </c>
      <c r="H2874" s="14">
        <v>8.17</v>
      </c>
      <c r="I2874" s="14">
        <v>6.1</v>
      </c>
      <c r="J2874" s="3">
        <f t="shared" si="47"/>
        <v>14.27</v>
      </c>
    </row>
    <row r="2875" ht="15.75" customHeight="1">
      <c r="A2875" s="3">
        <f t="shared" si="46"/>
        <v>2874</v>
      </c>
      <c r="B2875" s="14">
        <v>2014.0</v>
      </c>
      <c r="C2875" s="14">
        <v>5.0</v>
      </c>
      <c r="D2875" s="14">
        <v>6.0</v>
      </c>
      <c r="E2875" s="14">
        <v>1.0</v>
      </c>
      <c r="F2875" s="14" t="s">
        <v>16</v>
      </c>
      <c r="G2875" s="3" t="s">
        <v>41</v>
      </c>
      <c r="H2875" s="14">
        <v>4.67</v>
      </c>
      <c r="I2875" s="14">
        <v>2.83</v>
      </c>
      <c r="J2875" s="3">
        <f t="shared" si="47"/>
        <v>7.5</v>
      </c>
    </row>
    <row r="2876" ht="15.75" customHeight="1">
      <c r="A2876" s="3">
        <f t="shared" si="46"/>
        <v>2875</v>
      </c>
      <c r="B2876" s="14">
        <v>2014.0</v>
      </c>
      <c r="C2876" s="14">
        <v>5.0</v>
      </c>
      <c r="D2876" s="14">
        <v>6.0</v>
      </c>
      <c r="E2876" s="14">
        <v>2.0</v>
      </c>
      <c r="F2876" s="14" t="s">
        <v>16</v>
      </c>
      <c r="G2876" s="3" t="s">
        <v>37</v>
      </c>
      <c r="H2876" s="14">
        <v>5.07</v>
      </c>
      <c r="I2876" s="14">
        <v>3.83</v>
      </c>
      <c r="J2876" s="3">
        <f t="shared" si="47"/>
        <v>8.9</v>
      </c>
    </row>
    <row r="2877" ht="15.75" customHeight="1">
      <c r="A2877" s="3">
        <f t="shared" si="46"/>
        <v>2876</v>
      </c>
      <c r="B2877" s="14">
        <v>2014.0</v>
      </c>
      <c r="C2877" s="14">
        <v>5.0</v>
      </c>
      <c r="D2877" s="14">
        <v>6.0</v>
      </c>
      <c r="E2877" s="14">
        <v>2.0</v>
      </c>
      <c r="F2877" s="14" t="s">
        <v>16</v>
      </c>
      <c r="G2877" s="3" t="s">
        <v>27</v>
      </c>
      <c r="H2877" s="14">
        <v>7.33</v>
      </c>
      <c r="I2877" s="14">
        <v>6.0</v>
      </c>
      <c r="J2877" s="3">
        <f t="shared" si="47"/>
        <v>13.33</v>
      </c>
    </row>
    <row r="2878" ht="15.75" customHeight="1">
      <c r="A2878" s="3">
        <f t="shared" si="46"/>
        <v>2877</v>
      </c>
      <c r="B2878" s="14">
        <v>2014.0</v>
      </c>
      <c r="C2878" s="14">
        <v>5.0</v>
      </c>
      <c r="D2878" s="14">
        <v>6.0</v>
      </c>
      <c r="E2878" s="14">
        <v>3.0</v>
      </c>
      <c r="F2878" s="14" t="s">
        <v>16</v>
      </c>
      <c r="G2878" s="3" t="s">
        <v>30</v>
      </c>
      <c r="H2878" s="14">
        <v>7.37</v>
      </c>
      <c r="I2878" s="14">
        <v>6.83</v>
      </c>
      <c r="J2878" s="3">
        <f t="shared" si="47"/>
        <v>14.2</v>
      </c>
    </row>
    <row r="2879" ht="15.75" customHeight="1">
      <c r="A2879" s="3">
        <f t="shared" si="46"/>
        <v>2878</v>
      </c>
      <c r="B2879" s="14">
        <v>2014.0</v>
      </c>
      <c r="C2879" s="14">
        <v>5.0</v>
      </c>
      <c r="D2879" s="14">
        <v>6.0</v>
      </c>
      <c r="E2879" s="14">
        <v>3.0</v>
      </c>
      <c r="F2879" s="14" t="s">
        <v>16</v>
      </c>
      <c r="G2879" s="3" t="s">
        <v>26</v>
      </c>
      <c r="H2879" s="14">
        <v>4.67</v>
      </c>
      <c r="I2879" s="14">
        <v>1.67</v>
      </c>
      <c r="J2879" s="3">
        <f t="shared" si="47"/>
        <v>6.34</v>
      </c>
    </row>
    <row r="2880" ht="15.75" customHeight="1">
      <c r="A2880" s="3">
        <f t="shared" si="46"/>
        <v>2879</v>
      </c>
      <c r="B2880" s="14">
        <v>2014.0</v>
      </c>
      <c r="C2880" s="14">
        <v>5.0</v>
      </c>
      <c r="D2880" s="14">
        <v>6.0</v>
      </c>
      <c r="E2880" s="14">
        <v>4.0</v>
      </c>
      <c r="F2880" s="14" t="s">
        <v>16</v>
      </c>
      <c r="G2880" s="3" t="s">
        <v>32</v>
      </c>
      <c r="H2880" s="14">
        <v>9.23</v>
      </c>
      <c r="I2880" s="14">
        <v>9.13</v>
      </c>
      <c r="J2880" s="3">
        <f t="shared" si="47"/>
        <v>18.36</v>
      </c>
    </row>
    <row r="2881" ht="15.75" customHeight="1">
      <c r="A2881" s="3">
        <f t="shared" si="46"/>
        <v>2880</v>
      </c>
      <c r="B2881" s="14">
        <v>2014.0</v>
      </c>
      <c r="C2881" s="14">
        <v>5.0</v>
      </c>
      <c r="D2881" s="14">
        <v>6.0</v>
      </c>
      <c r="E2881" s="14">
        <v>4.0</v>
      </c>
      <c r="F2881" s="14" t="s">
        <v>16</v>
      </c>
      <c r="G2881" s="3" t="s">
        <v>42</v>
      </c>
      <c r="H2881" s="14">
        <v>8.57</v>
      </c>
      <c r="I2881" s="3">
        <v>8.5</v>
      </c>
      <c r="J2881" s="3">
        <f t="shared" si="47"/>
        <v>17.07</v>
      </c>
    </row>
    <row r="2882" ht="15.75" customHeight="1">
      <c r="A2882" s="3">
        <f t="shared" si="46"/>
        <v>2881</v>
      </c>
      <c r="B2882" s="14">
        <v>2014.0</v>
      </c>
      <c r="C2882" s="14">
        <v>5.0</v>
      </c>
      <c r="D2882" s="14">
        <v>7.0</v>
      </c>
      <c r="E2882" s="14">
        <v>1.0</v>
      </c>
      <c r="F2882" s="14" t="s">
        <v>16</v>
      </c>
      <c r="G2882" s="3" t="s">
        <v>56</v>
      </c>
      <c r="H2882" s="14">
        <v>7.83</v>
      </c>
      <c r="I2882" s="14">
        <v>6.17</v>
      </c>
      <c r="J2882" s="3">
        <f t="shared" si="47"/>
        <v>14</v>
      </c>
    </row>
    <row r="2883" ht="15.75" customHeight="1">
      <c r="A2883" s="3">
        <f t="shared" si="46"/>
        <v>2882</v>
      </c>
      <c r="B2883" s="14">
        <v>2014.0</v>
      </c>
      <c r="C2883" s="14">
        <v>5.0</v>
      </c>
      <c r="D2883" s="14">
        <v>7.0</v>
      </c>
      <c r="E2883" s="14">
        <v>1.0</v>
      </c>
      <c r="F2883" s="14" t="s">
        <v>16</v>
      </c>
      <c r="G2883" s="3" t="s">
        <v>27</v>
      </c>
      <c r="H2883" s="14">
        <v>7.33</v>
      </c>
      <c r="I2883" s="14">
        <v>4.77</v>
      </c>
      <c r="J2883" s="3">
        <f t="shared" si="47"/>
        <v>12.1</v>
      </c>
    </row>
    <row r="2884" ht="15.75" customHeight="1">
      <c r="A2884" s="3">
        <f t="shared" si="46"/>
        <v>2883</v>
      </c>
      <c r="B2884" s="14">
        <v>2014.0</v>
      </c>
      <c r="C2884" s="14">
        <v>5.0</v>
      </c>
      <c r="D2884" s="14">
        <v>7.0</v>
      </c>
      <c r="E2884" s="14">
        <v>2.0</v>
      </c>
      <c r="F2884" s="14" t="s">
        <v>16</v>
      </c>
      <c r="G2884" s="3" t="s">
        <v>30</v>
      </c>
      <c r="H2884" s="14">
        <v>9.07</v>
      </c>
      <c r="I2884" s="14">
        <v>8.43</v>
      </c>
      <c r="J2884" s="3">
        <f t="shared" si="47"/>
        <v>17.5</v>
      </c>
    </row>
    <row r="2885" ht="15.75" customHeight="1">
      <c r="A2885" s="3">
        <f t="shared" si="46"/>
        <v>2884</v>
      </c>
      <c r="B2885" s="14">
        <v>2014.0</v>
      </c>
      <c r="C2885" s="14">
        <v>5.0</v>
      </c>
      <c r="D2885" s="14">
        <v>7.0</v>
      </c>
      <c r="E2885" s="14">
        <v>2.0</v>
      </c>
      <c r="F2885" s="14" t="s">
        <v>16</v>
      </c>
      <c r="G2885" s="3" t="s">
        <v>32</v>
      </c>
      <c r="H2885" s="14">
        <v>5.4</v>
      </c>
      <c r="I2885" s="14">
        <v>4.17</v>
      </c>
      <c r="J2885" s="3">
        <f t="shared" si="47"/>
        <v>9.57</v>
      </c>
    </row>
    <row r="2886" ht="15.75" customHeight="1">
      <c r="A2886" s="3">
        <f t="shared" si="46"/>
        <v>2885</v>
      </c>
      <c r="B2886" s="14">
        <v>2014.0</v>
      </c>
      <c r="C2886" s="14">
        <v>5.0</v>
      </c>
      <c r="D2886" s="14">
        <v>8.0</v>
      </c>
      <c r="E2886" s="14">
        <v>1.0</v>
      </c>
      <c r="F2886" s="14" t="s">
        <v>16</v>
      </c>
      <c r="G2886" s="3" t="s">
        <v>30</v>
      </c>
      <c r="H2886" s="14">
        <v>9.87</v>
      </c>
      <c r="I2886" s="14">
        <v>8.53</v>
      </c>
      <c r="J2886" s="3">
        <f t="shared" si="47"/>
        <v>18.4</v>
      </c>
    </row>
    <row r="2887" ht="15.75" customHeight="1">
      <c r="A2887" s="3">
        <f t="shared" si="46"/>
        <v>2886</v>
      </c>
      <c r="B2887" s="14">
        <v>2014.0</v>
      </c>
      <c r="C2887" s="14">
        <v>5.0</v>
      </c>
      <c r="D2887" s="14">
        <v>8.0</v>
      </c>
      <c r="E2887" s="14">
        <v>1.0</v>
      </c>
      <c r="F2887" s="14" t="s">
        <v>16</v>
      </c>
      <c r="G2887" s="3" t="s">
        <v>56</v>
      </c>
      <c r="H2887" s="14">
        <v>8.17</v>
      </c>
      <c r="I2887" s="14">
        <v>6.6</v>
      </c>
      <c r="J2887" s="3">
        <f t="shared" si="47"/>
        <v>14.77</v>
      </c>
    </row>
    <row r="2888" ht="15.75" customHeight="1">
      <c r="A2888" s="3">
        <f t="shared" si="46"/>
        <v>2887</v>
      </c>
      <c r="B2888" s="14">
        <v>2014.0</v>
      </c>
      <c r="C2888" s="14">
        <v>6.0</v>
      </c>
      <c r="D2888" s="14">
        <v>3.0</v>
      </c>
      <c r="E2888" s="14">
        <v>1.0</v>
      </c>
      <c r="F2888" s="14" t="s">
        <v>16</v>
      </c>
      <c r="G2888" s="3" t="s">
        <v>39</v>
      </c>
      <c r="H2888" s="14">
        <v>7.83</v>
      </c>
      <c r="I2888" s="14">
        <v>7.0</v>
      </c>
      <c r="J2888" s="3">
        <f t="shared" si="47"/>
        <v>14.83</v>
      </c>
    </row>
    <row r="2889" ht="15.75" customHeight="1">
      <c r="A2889" s="3">
        <f t="shared" si="46"/>
        <v>2888</v>
      </c>
      <c r="B2889" s="14">
        <v>2014.0</v>
      </c>
      <c r="C2889" s="14">
        <v>6.0</v>
      </c>
      <c r="D2889" s="14">
        <v>3.0</v>
      </c>
      <c r="E2889" s="14">
        <v>1.0</v>
      </c>
      <c r="F2889" s="14" t="s">
        <v>16</v>
      </c>
      <c r="G2889" s="3" t="s">
        <v>29</v>
      </c>
      <c r="H2889" s="14">
        <v>5.33</v>
      </c>
      <c r="I2889" s="14">
        <v>3.17</v>
      </c>
      <c r="J2889" s="3">
        <f t="shared" si="47"/>
        <v>8.5</v>
      </c>
    </row>
    <row r="2890" ht="15.75" customHeight="1">
      <c r="A2890" s="3">
        <f t="shared" si="46"/>
        <v>2889</v>
      </c>
      <c r="B2890" s="14">
        <v>2014.0</v>
      </c>
      <c r="C2890" s="14">
        <v>6.0</v>
      </c>
      <c r="D2890" s="14">
        <v>3.0</v>
      </c>
      <c r="E2890" s="14">
        <v>2.0</v>
      </c>
      <c r="F2890" s="14" t="s">
        <v>16</v>
      </c>
      <c r="G2890" s="3" t="s">
        <v>45</v>
      </c>
      <c r="H2890" s="14">
        <v>6.6</v>
      </c>
      <c r="I2890" s="14">
        <v>5.13</v>
      </c>
      <c r="J2890" s="3">
        <f t="shared" si="47"/>
        <v>11.73</v>
      </c>
    </row>
    <row r="2891" ht="15.75" customHeight="1">
      <c r="A2891" s="3">
        <f t="shared" si="46"/>
        <v>2890</v>
      </c>
      <c r="B2891" s="14">
        <v>2014.0</v>
      </c>
      <c r="C2891" s="14">
        <v>6.0</v>
      </c>
      <c r="D2891" s="14">
        <v>3.0</v>
      </c>
      <c r="E2891" s="14">
        <v>2.0</v>
      </c>
      <c r="F2891" s="14" t="s">
        <v>16</v>
      </c>
      <c r="G2891" s="3" t="s">
        <v>55</v>
      </c>
      <c r="H2891" s="14">
        <v>5.6</v>
      </c>
      <c r="I2891" s="14">
        <v>5.17</v>
      </c>
      <c r="J2891" s="3">
        <f t="shared" si="47"/>
        <v>10.77</v>
      </c>
    </row>
    <row r="2892" ht="15.75" customHeight="1">
      <c r="A2892" s="3">
        <f t="shared" si="46"/>
        <v>2891</v>
      </c>
      <c r="B2892" s="14">
        <v>2014.0</v>
      </c>
      <c r="C2892" s="14">
        <v>6.0</v>
      </c>
      <c r="D2892" s="14">
        <v>3.0</v>
      </c>
      <c r="E2892" s="14">
        <v>3.0</v>
      </c>
      <c r="F2892" s="14" t="s">
        <v>16</v>
      </c>
      <c r="G2892" s="3" t="s">
        <v>62</v>
      </c>
      <c r="H2892" s="14">
        <v>6.77</v>
      </c>
      <c r="I2892" s="14">
        <v>5.97</v>
      </c>
      <c r="J2892" s="3">
        <f t="shared" si="47"/>
        <v>12.74</v>
      </c>
    </row>
    <row r="2893" ht="15.75" customHeight="1">
      <c r="A2893" s="3">
        <f t="shared" si="46"/>
        <v>2892</v>
      </c>
      <c r="B2893" s="14">
        <v>2014.0</v>
      </c>
      <c r="C2893" s="14">
        <v>6.0</v>
      </c>
      <c r="D2893" s="14">
        <v>3.0</v>
      </c>
      <c r="E2893" s="14">
        <v>3.0</v>
      </c>
      <c r="F2893" s="14" t="s">
        <v>16</v>
      </c>
      <c r="G2893" s="3" t="s">
        <v>47</v>
      </c>
      <c r="H2893" s="14">
        <v>6.33</v>
      </c>
      <c r="I2893" s="14">
        <v>6.0</v>
      </c>
      <c r="J2893" s="3">
        <f t="shared" si="47"/>
        <v>12.33</v>
      </c>
    </row>
    <row r="2894" ht="15.75" customHeight="1">
      <c r="A2894" s="3">
        <f t="shared" si="46"/>
        <v>2893</v>
      </c>
      <c r="B2894" s="14">
        <v>2014.0</v>
      </c>
      <c r="C2894" s="14">
        <v>6.0</v>
      </c>
      <c r="D2894" s="14">
        <v>3.0</v>
      </c>
      <c r="E2894" s="14">
        <v>4.0</v>
      </c>
      <c r="F2894" s="14" t="s">
        <v>16</v>
      </c>
      <c r="G2894" s="3" t="s">
        <v>42</v>
      </c>
      <c r="H2894" s="14">
        <v>8.87</v>
      </c>
      <c r="I2894" s="14">
        <v>6.17</v>
      </c>
      <c r="J2894" s="3">
        <f t="shared" si="47"/>
        <v>15.04</v>
      </c>
    </row>
    <row r="2895" ht="15.75" customHeight="1">
      <c r="A2895" s="3">
        <f t="shared" si="46"/>
        <v>2894</v>
      </c>
      <c r="B2895" s="14">
        <v>2014.0</v>
      </c>
      <c r="C2895" s="14">
        <v>6.0</v>
      </c>
      <c r="D2895" s="14">
        <v>3.0</v>
      </c>
      <c r="E2895" s="14">
        <v>4.0</v>
      </c>
      <c r="F2895" s="14" t="s">
        <v>16</v>
      </c>
      <c r="G2895" s="3" t="s">
        <v>38</v>
      </c>
      <c r="H2895" s="14">
        <v>7.87</v>
      </c>
      <c r="I2895" s="14">
        <v>6.5</v>
      </c>
      <c r="J2895" s="3">
        <f t="shared" si="47"/>
        <v>14.37</v>
      </c>
    </row>
    <row r="2896" ht="15.75" customHeight="1">
      <c r="A2896" s="3">
        <f t="shared" si="46"/>
        <v>2895</v>
      </c>
      <c r="B2896" s="14">
        <v>2014.0</v>
      </c>
      <c r="C2896" s="14">
        <v>6.0</v>
      </c>
      <c r="D2896" s="14">
        <v>3.0</v>
      </c>
      <c r="E2896" s="14">
        <v>5.0</v>
      </c>
      <c r="F2896" s="14" t="s">
        <v>16</v>
      </c>
      <c r="G2896" s="3" t="s">
        <v>32</v>
      </c>
      <c r="H2896" s="14">
        <v>6.77</v>
      </c>
      <c r="I2896" s="14">
        <v>6.53</v>
      </c>
      <c r="J2896" s="3">
        <f t="shared" si="47"/>
        <v>13.3</v>
      </c>
    </row>
    <row r="2897" ht="15.75" customHeight="1">
      <c r="A2897" s="3">
        <f t="shared" si="46"/>
        <v>2896</v>
      </c>
      <c r="B2897" s="14">
        <v>2014.0</v>
      </c>
      <c r="C2897" s="14">
        <v>6.0</v>
      </c>
      <c r="D2897" s="14">
        <v>3.0</v>
      </c>
      <c r="E2897" s="14">
        <v>5.0</v>
      </c>
      <c r="F2897" s="14" t="s">
        <v>16</v>
      </c>
      <c r="G2897" s="3" t="s">
        <v>31</v>
      </c>
      <c r="H2897" s="14">
        <v>7.1</v>
      </c>
      <c r="I2897" s="14">
        <v>4.0</v>
      </c>
      <c r="J2897" s="3">
        <f t="shared" si="47"/>
        <v>11.1</v>
      </c>
    </row>
    <row r="2898" ht="15.75" customHeight="1">
      <c r="A2898" s="3">
        <f t="shared" si="46"/>
        <v>2897</v>
      </c>
      <c r="B2898" s="14">
        <v>2014.0</v>
      </c>
      <c r="C2898" s="14">
        <v>6.0</v>
      </c>
      <c r="D2898" s="14">
        <v>3.0</v>
      </c>
      <c r="E2898" s="14">
        <v>6.0</v>
      </c>
      <c r="F2898" s="14" t="s">
        <v>16</v>
      </c>
      <c r="G2898" s="3" t="s">
        <v>37</v>
      </c>
      <c r="H2898" s="14">
        <v>7.97</v>
      </c>
      <c r="I2898" s="14">
        <v>7.4</v>
      </c>
      <c r="J2898" s="3">
        <f t="shared" si="47"/>
        <v>15.37</v>
      </c>
    </row>
    <row r="2899" ht="15.75" customHeight="1">
      <c r="A2899" s="3">
        <f t="shared" si="46"/>
        <v>2898</v>
      </c>
      <c r="B2899" s="14">
        <v>2014.0</v>
      </c>
      <c r="C2899" s="14">
        <v>6.0</v>
      </c>
      <c r="D2899" s="14">
        <v>3.0</v>
      </c>
      <c r="E2899" s="14">
        <v>6.0</v>
      </c>
      <c r="F2899" s="14" t="s">
        <v>16</v>
      </c>
      <c r="G2899" s="3" t="s">
        <v>129</v>
      </c>
      <c r="H2899" s="14">
        <v>9.33</v>
      </c>
      <c r="I2899" s="14">
        <v>9.03</v>
      </c>
      <c r="J2899" s="3">
        <f t="shared" si="47"/>
        <v>18.36</v>
      </c>
    </row>
    <row r="2900" ht="15.75" customHeight="1">
      <c r="A2900" s="3">
        <f t="shared" si="46"/>
        <v>2899</v>
      </c>
      <c r="B2900" s="14">
        <v>2014.0</v>
      </c>
      <c r="C2900" s="14">
        <v>6.0</v>
      </c>
      <c r="D2900" s="14">
        <v>3.0</v>
      </c>
      <c r="E2900" s="14">
        <v>7.0</v>
      </c>
      <c r="F2900" s="14" t="s">
        <v>16</v>
      </c>
      <c r="G2900" s="3" t="s">
        <v>30</v>
      </c>
      <c r="H2900" s="14">
        <v>9.43</v>
      </c>
      <c r="I2900" s="14">
        <v>6.03</v>
      </c>
      <c r="J2900" s="3">
        <f t="shared" si="47"/>
        <v>15.46</v>
      </c>
    </row>
    <row r="2901" ht="15.75" customHeight="1">
      <c r="A2901" s="3">
        <f t="shared" si="46"/>
        <v>2900</v>
      </c>
      <c r="B2901" s="14">
        <v>2014.0</v>
      </c>
      <c r="C2901" s="14">
        <v>6.0</v>
      </c>
      <c r="D2901" s="14">
        <v>3.0</v>
      </c>
      <c r="E2901" s="14">
        <v>7.0</v>
      </c>
      <c r="F2901" s="14" t="s">
        <v>16</v>
      </c>
      <c r="G2901" s="3" t="s">
        <v>107</v>
      </c>
      <c r="H2901" s="14">
        <v>8.0</v>
      </c>
      <c r="I2901" s="14">
        <v>7.17</v>
      </c>
      <c r="J2901" s="3">
        <f t="shared" si="47"/>
        <v>15.17</v>
      </c>
    </row>
    <row r="2902" ht="15.75" customHeight="1">
      <c r="A2902" s="3">
        <f t="shared" si="46"/>
        <v>2901</v>
      </c>
      <c r="B2902" s="14">
        <v>2014.0</v>
      </c>
      <c r="C2902" s="14">
        <v>6.0</v>
      </c>
      <c r="D2902" s="14">
        <v>3.0</v>
      </c>
      <c r="E2902" s="14">
        <v>8.0</v>
      </c>
      <c r="F2902" s="14" t="s">
        <v>16</v>
      </c>
      <c r="G2902" s="3" t="s">
        <v>26</v>
      </c>
      <c r="H2902" s="14">
        <v>4.5</v>
      </c>
      <c r="I2902" s="14">
        <v>3.5</v>
      </c>
      <c r="J2902" s="3">
        <f t="shared" si="47"/>
        <v>8</v>
      </c>
    </row>
    <row r="2903" ht="15.75" customHeight="1">
      <c r="A2903" s="3">
        <f t="shared" si="46"/>
        <v>2902</v>
      </c>
      <c r="B2903" s="14">
        <v>2014.0</v>
      </c>
      <c r="C2903" s="14">
        <v>6.0</v>
      </c>
      <c r="D2903" s="14">
        <v>3.0</v>
      </c>
      <c r="E2903" s="14">
        <v>8.0</v>
      </c>
      <c r="F2903" s="14" t="s">
        <v>16</v>
      </c>
      <c r="G2903" s="3" t="s">
        <v>57</v>
      </c>
      <c r="H2903" s="14">
        <v>7.33</v>
      </c>
      <c r="I2903" s="14">
        <v>6.07</v>
      </c>
      <c r="J2903" s="3">
        <f t="shared" si="47"/>
        <v>13.4</v>
      </c>
    </row>
    <row r="2904" ht="15.75" customHeight="1">
      <c r="A2904" s="3">
        <f t="shared" si="46"/>
        <v>2903</v>
      </c>
      <c r="B2904" s="14">
        <v>2014.0</v>
      </c>
      <c r="C2904" s="14">
        <v>6.0</v>
      </c>
      <c r="D2904" s="14">
        <v>3.0</v>
      </c>
      <c r="E2904" s="14">
        <v>9.0</v>
      </c>
      <c r="F2904" s="14" t="s">
        <v>16</v>
      </c>
      <c r="G2904" s="3" t="s">
        <v>56</v>
      </c>
      <c r="H2904" s="14">
        <v>3.67</v>
      </c>
      <c r="I2904" s="14">
        <v>1.77</v>
      </c>
      <c r="J2904" s="3">
        <f t="shared" si="47"/>
        <v>5.44</v>
      </c>
    </row>
    <row r="2905" ht="15.75" customHeight="1">
      <c r="A2905" s="3">
        <f t="shared" si="46"/>
        <v>2904</v>
      </c>
      <c r="B2905" s="14">
        <v>2014.0</v>
      </c>
      <c r="C2905" s="14">
        <v>6.0</v>
      </c>
      <c r="D2905" s="14">
        <v>3.0</v>
      </c>
      <c r="E2905" s="14">
        <v>9.0</v>
      </c>
      <c r="F2905" s="14" t="s">
        <v>16</v>
      </c>
      <c r="G2905" s="3" t="s">
        <v>123</v>
      </c>
      <c r="H2905" s="14">
        <v>6.67</v>
      </c>
      <c r="I2905" s="14">
        <v>4.93</v>
      </c>
      <c r="J2905" s="3">
        <f t="shared" si="47"/>
        <v>11.6</v>
      </c>
    </row>
    <row r="2906" ht="15.75" customHeight="1">
      <c r="A2906" s="3">
        <f t="shared" si="46"/>
        <v>2905</v>
      </c>
      <c r="B2906" s="14">
        <v>2014.0</v>
      </c>
      <c r="C2906" s="14">
        <v>6.0</v>
      </c>
      <c r="D2906" s="14">
        <v>3.0</v>
      </c>
      <c r="E2906" s="14">
        <v>10.0</v>
      </c>
      <c r="F2906" s="14" t="s">
        <v>16</v>
      </c>
      <c r="G2906" s="3" t="s">
        <v>41</v>
      </c>
      <c r="H2906" s="14">
        <v>8.5</v>
      </c>
      <c r="I2906" s="14">
        <v>7.83</v>
      </c>
      <c r="J2906" s="3">
        <f t="shared" si="47"/>
        <v>16.33</v>
      </c>
    </row>
    <row r="2907" ht="15.75" customHeight="1">
      <c r="A2907" s="3">
        <f t="shared" si="46"/>
        <v>2906</v>
      </c>
      <c r="B2907" s="14">
        <v>2014.0</v>
      </c>
      <c r="C2907" s="14">
        <v>6.0</v>
      </c>
      <c r="D2907" s="14">
        <v>3.0</v>
      </c>
      <c r="E2907" s="14">
        <v>10.0</v>
      </c>
      <c r="F2907" s="14" t="s">
        <v>16</v>
      </c>
      <c r="G2907" s="3" t="s">
        <v>60</v>
      </c>
      <c r="H2907" s="14">
        <v>7.0</v>
      </c>
      <c r="I2907" s="14">
        <v>3.27</v>
      </c>
      <c r="J2907" s="3">
        <f t="shared" si="47"/>
        <v>10.27</v>
      </c>
    </row>
    <row r="2908" ht="15.75" customHeight="1">
      <c r="A2908" s="3">
        <f t="shared" si="46"/>
        <v>2907</v>
      </c>
      <c r="B2908" s="14">
        <v>2014.0</v>
      </c>
      <c r="C2908" s="14">
        <v>6.0</v>
      </c>
      <c r="D2908" s="14">
        <v>3.0</v>
      </c>
      <c r="E2908" s="14">
        <v>11.0</v>
      </c>
      <c r="F2908" s="14" t="s">
        <v>16</v>
      </c>
      <c r="G2908" s="3" t="s">
        <v>28</v>
      </c>
      <c r="H2908" s="14">
        <v>8.0</v>
      </c>
      <c r="I2908" s="14">
        <v>5.87</v>
      </c>
      <c r="J2908" s="3">
        <f t="shared" si="47"/>
        <v>13.87</v>
      </c>
    </row>
    <row r="2909" ht="15.75" customHeight="1">
      <c r="A2909" s="3">
        <f t="shared" si="46"/>
        <v>2908</v>
      </c>
      <c r="B2909" s="14">
        <v>2014.0</v>
      </c>
      <c r="C2909" s="14">
        <v>6.0</v>
      </c>
      <c r="D2909" s="14">
        <v>3.0</v>
      </c>
      <c r="E2909" s="14">
        <v>11.0</v>
      </c>
      <c r="F2909" s="14" t="s">
        <v>16</v>
      </c>
      <c r="G2909" s="3" t="s">
        <v>125</v>
      </c>
      <c r="H2909" s="14">
        <v>7.0</v>
      </c>
      <c r="I2909" s="14">
        <v>7.0</v>
      </c>
      <c r="J2909" s="3">
        <f t="shared" si="47"/>
        <v>14</v>
      </c>
    </row>
    <row r="2910" ht="15.75" customHeight="1">
      <c r="A2910" s="3">
        <f t="shared" si="46"/>
        <v>2909</v>
      </c>
      <c r="B2910" s="14">
        <v>2014.0</v>
      </c>
      <c r="C2910" s="14">
        <v>6.0</v>
      </c>
      <c r="D2910" s="14">
        <v>3.0</v>
      </c>
      <c r="E2910" s="14">
        <v>12.0</v>
      </c>
      <c r="F2910" s="14" t="s">
        <v>16</v>
      </c>
      <c r="G2910" s="3" t="s">
        <v>27</v>
      </c>
      <c r="H2910" s="14">
        <v>5.33</v>
      </c>
      <c r="I2910" s="14">
        <v>5.27</v>
      </c>
      <c r="J2910" s="3">
        <f t="shared" si="47"/>
        <v>10.6</v>
      </c>
    </row>
    <row r="2911" ht="15.75" customHeight="1">
      <c r="A2911" s="3">
        <f t="shared" si="46"/>
        <v>2910</v>
      </c>
      <c r="B2911" s="14">
        <v>2014.0</v>
      </c>
      <c r="C2911" s="14">
        <v>6.0</v>
      </c>
      <c r="D2911" s="14">
        <v>3.0</v>
      </c>
      <c r="E2911" s="14">
        <v>12.0</v>
      </c>
      <c r="F2911" s="14" t="s">
        <v>16</v>
      </c>
      <c r="G2911" s="3" t="s">
        <v>76</v>
      </c>
      <c r="H2911" s="14">
        <v>6.33</v>
      </c>
      <c r="I2911" s="14">
        <v>5.17</v>
      </c>
      <c r="J2911" s="3">
        <f t="shared" si="47"/>
        <v>11.5</v>
      </c>
    </row>
    <row r="2912" ht="15.75" customHeight="1">
      <c r="A2912" s="3">
        <f t="shared" si="46"/>
        <v>2911</v>
      </c>
      <c r="B2912" s="14">
        <v>2014.0</v>
      </c>
      <c r="C2912" s="14">
        <v>6.0</v>
      </c>
      <c r="D2912" s="14">
        <v>4.0</v>
      </c>
      <c r="E2912" s="14">
        <v>1.0</v>
      </c>
      <c r="F2912" s="14" t="s">
        <v>16</v>
      </c>
      <c r="G2912" s="3" t="s">
        <v>39</v>
      </c>
      <c r="H2912" s="14">
        <v>8.77</v>
      </c>
      <c r="I2912" s="14">
        <v>7.67</v>
      </c>
      <c r="J2912" s="3">
        <f t="shared" si="47"/>
        <v>16.44</v>
      </c>
    </row>
    <row r="2913" ht="15.75" customHeight="1">
      <c r="A2913" s="3">
        <f t="shared" si="46"/>
        <v>2912</v>
      </c>
      <c r="B2913" s="14">
        <v>2014.0</v>
      </c>
      <c r="C2913" s="14">
        <v>6.0</v>
      </c>
      <c r="D2913" s="14">
        <v>4.0</v>
      </c>
      <c r="E2913" s="14">
        <v>1.0</v>
      </c>
      <c r="F2913" s="14" t="s">
        <v>16</v>
      </c>
      <c r="G2913" s="3" t="s">
        <v>45</v>
      </c>
      <c r="H2913" s="14">
        <v>5.5</v>
      </c>
      <c r="I2913" s="14">
        <v>2.97</v>
      </c>
      <c r="J2913" s="3">
        <f t="shared" si="47"/>
        <v>8.47</v>
      </c>
    </row>
    <row r="2914" ht="15.75" customHeight="1">
      <c r="A2914" s="3">
        <f t="shared" si="46"/>
        <v>2913</v>
      </c>
      <c r="B2914" s="14">
        <v>2014.0</v>
      </c>
      <c r="C2914" s="14">
        <v>6.0</v>
      </c>
      <c r="D2914" s="14">
        <v>4.0</v>
      </c>
      <c r="E2914" s="14">
        <v>1.0</v>
      </c>
      <c r="F2914" s="14" t="s">
        <v>16</v>
      </c>
      <c r="G2914" s="3" t="s">
        <v>62</v>
      </c>
      <c r="H2914" s="14">
        <v>5.0</v>
      </c>
      <c r="I2914" s="14">
        <v>3.4</v>
      </c>
      <c r="J2914" s="3">
        <f t="shared" si="47"/>
        <v>8.4</v>
      </c>
    </row>
    <row r="2915" ht="15.75" customHeight="1">
      <c r="A2915" s="3">
        <f t="shared" si="46"/>
        <v>2914</v>
      </c>
      <c r="B2915" s="14">
        <v>2014.0</v>
      </c>
      <c r="C2915" s="14">
        <v>6.0</v>
      </c>
      <c r="D2915" s="14">
        <v>4.0</v>
      </c>
      <c r="E2915" s="14">
        <v>2.0</v>
      </c>
      <c r="F2915" s="14" t="s">
        <v>16</v>
      </c>
      <c r="G2915" s="3" t="s">
        <v>42</v>
      </c>
      <c r="H2915" s="14">
        <v>5.27</v>
      </c>
      <c r="I2915" s="14">
        <v>5.1</v>
      </c>
      <c r="J2915" s="3">
        <f t="shared" si="47"/>
        <v>10.37</v>
      </c>
    </row>
    <row r="2916" ht="15.75" customHeight="1">
      <c r="A2916" s="3">
        <f t="shared" si="46"/>
        <v>2915</v>
      </c>
      <c r="B2916" s="14">
        <v>2014.0</v>
      </c>
      <c r="C2916" s="14">
        <v>6.0</v>
      </c>
      <c r="D2916" s="14">
        <v>4.0</v>
      </c>
      <c r="E2916" s="14">
        <v>2.0</v>
      </c>
      <c r="F2916" s="14" t="s">
        <v>16</v>
      </c>
      <c r="G2916" s="3" t="s">
        <v>32</v>
      </c>
      <c r="H2916" s="14">
        <v>7.67</v>
      </c>
      <c r="I2916" s="14">
        <v>4.5</v>
      </c>
      <c r="J2916" s="3">
        <f t="shared" si="47"/>
        <v>12.17</v>
      </c>
    </row>
    <row r="2917" ht="15.75" customHeight="1">
      <c r="A2917" s="3">
        <f t="shared" si="46"/>
        <v>2916</v>
      </c>
      <c r="B2917" s="14">
        <v>2014.0</v>
      </c>
      <c r="C2917" s="14">
        <v>6.0</v>
      </c>
      <c r="D2917" s="14">
        <v>4.0</v>
      </c>
      <c r="E2917" s="14">
        <v>2.0</v>
      </c>
      <c r="F2917" s="14" t="s">
        <v>16</v>
      </c>
      <c r="G2917" s="3" t="s">
        <v>129</v>
      </c>
      <c r="H2917" s="14">
        <v>8.67</v>
      </c>
      <c r="I2917" s="14">
        <v>6.67</v>
      </c>
      <c r="J2917" s="3">
        <f t="shared" si="47"/>
        <v>15.34</v>
      </c>
    </row>
    <row r="2918" ht="15.75" customHeight="1">
      <c r="A2918" s="3">
        <f t="shared" si="46"/>
        <v>2917</v>
      </c>
      <c r="B2918" s="14">
        <v>2014.0</v>
      </c>
      <c r="C2918" s="14">
        <v>6.0</v>
      </c>
      <c r="D2918" s="14">
        <v>4.0</v>
      </c>
      <c r="E2918" s="14">
        <v>3.0</v>
      </c>
      <c r="F2918" s="14" t="s">
        <v>16</v>
      </c>
      <c r="G2918" s="3" t="s">
        <v>30</v>
      </c>
      <c r="H2918" s="14">
        <v>7.43</v>
      </c>
      <c r="I2918" s="14">
        <v>6.33</v>
      </c>
      <c r="J2918" s="3">
        <f t="shared" si="47"/>
        <v>13.76</v>
      </c>
    </row>
    <row r="2919" ht="15.75" customHeight="1">
      <c r="A2919" s="3">
        <f t="shared" si="46"/>
        <v>2918</v>
      </c>
      <c r="B2919" s="14">
        <v>2014.0</v>
      </c>
      <c r="C2919" s="14">
        <v>6.0</v>
      </c>
      <c r="D2919" s="14">
        <v>4.0</v>
      </c>
      <c r="E2919" s="14">
        <v>3.0</v>
      </c>
      <c r="F2919" s="14" t="s">
        <v>16</v>
      </c>
      <c r="G2919" s="3" t="s">
        <v>57</v>
      </c>
      <c r="H2919" s="14">
        <v>8.67</v>
      </c>
      <c r="I2919" s="14">
        <v>6.93</v>
      </c>
      <c r="J2919" s="3">
        <f t="shared" si="47"/>
        <v>15.6</v>
      </c>
    </row>
    <row r="2920" ht="15.75" customHeight="1">
      <c r="A2920" s="3">
        <f t="shared" si="46"/>
        <v>2919</v>
      </c>
      <c r="B2920" s="14">
        <v>2014.0</v>
      </c>
      <c r="C2920" s="14">
        <v>6.0</v>
      </c>
      <c r="D2920" s="14">
        <v>4.0</v>
      </c>
      <c r="E2920" s="14">
        <v>3.0</v>
      </c>
      <c r="F2920" s="14" t="s">
        <v>16</v>
      </c>
      <c r="G2920" s="3" t="s">
        <v>123</v>
      </c>
      <c r="H2920" s="14">
        <v>8.17</v>
      </c>
      <c r="I2920" s="14">
        <v>5.53</v>
      </c>
      <c r="J2920" s="3">
        <f t="shared" si="47"/>
        <v>13.7</v>
      </c>
    </row>
    <row r="2921" ht="15.75" customHeight="1">
      <c r="A2921" s="3">
        <f t="shared" si="46"/>
        <v>2920</v>
      </c>
      <c r="B2921" s="14">
        <v>2014.0</v>
      </c>
      <c r="C2921" s="14">
        <v>6.0</v>
      </c>
      <c r="D2921" s="14">
        <v>4.0</v>
      </c>
      <c r="E2921" s="14">
        <v>4.0</v>
      </c>
      <c r="F2921" s="14" t="s">
        <v>16</v>
      </c>
      <c r="G2921" s="3" t="s">
        <v>41</v>
      </c>
      <c r="H2921" s="14">
        <v>6.67</v>
      </c>
      <c r="I2921" s="14">
        <v>5.73</v>
      </c>
      <c r="J2921" s="3">
        <f t="shared" si="47"/>
        <v>12.4</v>
      </c>
    </row>
    <row r="2922" ht="15.75" customHeight="1">
      <c r="A2922" s="3">
        <f t="shared" si="46"/>
        <v>2921</v>
      </c>
      <c r="B2922" s="14">
        <v>2014.0</v>
      </c>
      <c r="C2922" s="14">
        <v>6.0</v>
      </c>
      <c r="D2922" s="14">
        <v>4.0</v>
      </c>
      <c r="E2922" s="14">
        <v>4.0</v>
      </c>
      <c r="F2922" s="14" t="s">
        <v>16</v>
      </c>
      <c r="G2922" s="3" t="s">
        <v>125</v>
      </c>
      <c r="H2922" s="14">
        <v>5.27</v>
      </c>
      <c r="I2922" s="14">
        <v>5.23</v>
      </c>
      <c r="J2922" s="3">
        <f t="shared" si="47"/>
        <v>10.5</v>
      </c>
    </row>
    <row r="2923" ht="15.75" customHeight="1">
      <c r="A2923" s="3">
        <f t="shared" si="46"/>
        <v>2922</v>
      </c>
      <c r="B2923" s="14">
        <v>2014.0</v>
      </c>
      <c r="C2923" s="14">
        <v>6.0</v>
      </c>
      <c r="D2923" s="14">
        <v>4.0</v>
      </c>
      <c r="E2923" s="14">
        <v>4.0</v>
      </c>
      <c r="F2923" s="14" t="s">
        <v>16</v>
      </c>
      <c r="G2923" s="3" t="s">
        <v>76</v>
      </c>
      <c r="H2923" s="14">
        <v>7.0</v>
      </c>
      <c r="I2923" s="14">
        <v>5.57</v>
      </c>
      <c r="J2923" s="3">
        <f t="shared" si="47"/>
        <v>12.57</v>
      </c>
    </row>
    <row r="2924" ht="15.75" customHeight="1">
      <c r="A2924" s="3">
        <f t="shared" si="46"/>
        <v>2923</v>
      </c>
      <c r="B2924" s="14">
        <v>2014.0</v>
      </c>
      <c r="C2924" s="14">
        <v>6.0</v>
      </c>
      <c r="D2924" s="14">
        <v>5.0</v>
      </c>
      <c r="E2924" s="14">
        <v>1.0</v>
      </c>
      <c r="F2924" s="14" t="s">
        <v>16</v>
      </c>
      <c r="G2924" s="3" t="s">
        <v>45</v>
      </c>
      <c r="H2924" s="14">
        <v>5.67</v>
      </c>
      <c r="I2924" s="14">
        <v>3.37</v>
      </c>
      <c r="J2924" s="3">
        <f t="shared" si="47"/>
        <v>9.04</v>
      </c>
    </row>
    <row r="2925" ht="15.75" customHeight="1">
      <c r="A2925" s="3">
        <f t="shared" si="46"/>
        <v>2924</v>
      </c>
      <c r="B2925" s="14">
        <v>2014.0</v>
      </c>
      <c r="C2925" s="14">
        <v>6.0</v>
      </c>
      <c r="D2925" s="14">
        <v>5.0</v>
      </c>
      <c r="E2925" s="14">
        <v>1.0</v>
      </c>
      <c r="F2925" s="14" t="s">
        <v>16</v>
      </c>
      <c r="G2925" s="3" t="s">
        <v>42</v>
      </c>
      <c r="H2925" s="14">
        <v>6.33</v>
      </c>
      <c r="I2925" s="14">
        <v>4.0</v>
      </c>
      <c r="J2925" s="3">
        <f t="shared" si="47"/>
        <v>10.33</v>
      </c>
    </row>
    <row r="2926" ht="15.75" customHeight="1">
      <c r="A2926" s="3">
        <f t="shared" si="46"/>
        <v>2925</v>
      </c>
      <c r="B2926" s="14">
        <v>2014.0</v>
      </c>
      <c r="C2926" s="14">
        <v>6.0</v>
      </c>
      <c r="D2926" s="14">
        <v>5.0</v>
      </c>
      <c r="E2926" s="14">
        <v>2.0</v>
      </c>
      <c r="F2926" s="14" t="s">
        <v>16</v>
      </c>
      <c r="G2926" s="3" t="s">
        <v>32</v>
      </c>
      <c r="H2926" s="14">
        <v>5.17</v>
      </c>
      <c r="I2926" s="14">
        <v>4.17</v>
      </c>
      <c r="J2926" s="3">
        <f t="shared" si="47"/>
        <v>9.34</v>
      </c>
    </row>
    <row r="2927" ht="15.75" customHeight="1">
      <c r="A2927" s="3">
        <f t="shared" si="46"/>
        <v>2926</v>
      </c>
      <c r="B2927" s="14">
        <v>2014.0</v>
      </c>
      <c r="C2927" s="14">
        <v>6.0</v>
      </c>
      <c r="D2927" s="14">
        <v>5.0</v>
      </c>
      <c r="E2927" s="14">
        <v>2.0</v>
      </c>
      <c r="F2927" s="14" t="s">
        <v>16</v>
      </c>
      <c r="G2927" s="3" t="s">
        <v>62</v>
      </c>
      <c r="H2927" s="14">
        <v>7.0</v>
      </c>
      <c r="I2927" s="14">
        <v>5.83</v>
      </c>
      <c r="J2927" s="3">
        <f t="shared" si="47"/>
        <v>12.83</v>
      </c>
    </row>
    <row r="2928" ht="15.75" customHeight="1">
      <c r="A2928" s="3">
        <f t="shared" si="46"/>
        <v>2927</v>
      </c>
      <c r="B2928" s="14">
        <v>2014.0</v>
      </c>
      <c r="C2928" s="14">
        <v>6.0</v>
      </c>
      <c r="D2928" s="14">
        <v>5.0</v>
      </c>
      <c r="E2928" s="14">
        <v>3.0</v>
      </c>
      <c r="F2928" s="14" t="s">
        <v>16</v>
      </c>
      <c r="G2928" s="3" t="s">
        <v>30</v>
      </c>
      <c r="H2928" s="14">
        <v>6.17</v>
      </c>
      <c r="I2928" s="14">
        <v>5.0</v>
      </c>
      <c r="J2928" s="3">
        <f t="shared" si="47"/>
        <v>11.17</v>
      </c>
    </row>
    <row r="2929" ht="15.75" customHeight="1">
      <c r="A2929" s="3">
        <f t="shared" si="46"/>
        <v>2928</v>
      </c>
      <c r="B2929" s="14">
        <v>2014.0</v>
      </c>
      <c r="C2929" s="14">
        <v>6.0</v>
      </c>
      <c r="D2929" s="14">
        <v>5.0</v>
      </c>
      <c r="E2929" s="14">
        <v>3.0</v>
      </c>
      <c r="F2929" s="14" t="s">
        <v>16</v>
      </c>
      <c r="G2929" s="3" t="s">
        <v>125</v>
      </c>
      <c r="H2929" s="14">
        <v>5.93</v>
      </c>
      <c r="I2929" s="14">
        <v>5.17</v>
      </c>
      <c r="J2929" s="3">
        <f t="shared" si="47"/>
        <v>11.1</v>
      </c>
    </row>
    <row r="2930" ht="15.75" customHeight="1">
      <c r="A2930" s="3">
        <f t="shared" si="46"/>
        <v>2929</v>
      </c>
      <c r="B2930" s="14">
        <v>2014.0</v>
      </c>
      <c r="C2930" s="14">
        <v>6.0</v>
      </c>
      <c r="D2930" s="14">
        <v>5.0</v>
      </c>
      <c r="E2930" s="14">
        <v>4.0</v>
      </c>
      <c r="F2930" s="14" t="s">
        <v>16</v>
      </c>
      <c r="G2930" s="3" t="s">
        <v>41</v>
      </c>
      <c r="H2930" s="14">
        <v>8.17</v>
      </c>
      <c r="I2930" s="14">
        <v>7.5</v>
      </c>
      <c r="J2930" s="3">
        <f t="shared" si="47"/>
        <v>15.67</v>
      </c>
    </row>
    <row r="2931" ht="15.75" customHeight="1">
      <c r="A2931" s="3">
        <f t="shared" si="46"/>
        <v>2930</v>
      </c>
      <c r="B2931" s="14">
        <v>2014.0</v>
      </c>
      <c r="C2931" s="14">
        <v>6.0</v>
      </c>
      <c r="D2931" s="14">
        <v>5.0</v>
      </c>
      <c r="E2931" s="14">
        <v>4.0</v>
      </c>
      <c r="F2931" s="14" t="s">
        <v>16</v>
      </c>
      <c r="G2931" s="3" t="s">
        <v>123</v>
      </c>
      <c r="H2931" s="14">
        <v>4.83</v>
      </c>
      <c r="I2931" s="14">
        <v>3.3</v>
      </c>
      <c r="J2931" s="3">
        <f t="shared" si="47"/>
        <v>8.13</v>
      </c>
    </row>
    <row r="2932" ht="15.75" customHeight="1">
      <c r="A2932" s="3">
        <f t="shared" si="46"/>
        <v>2931</v>
      </c>
      <c r="B2932" s="14">
        <v>2014.0</v>
      </c>
      <c r="C2932" s="14">
        <v>6.0</v>
      </c>
      <c r="D2932" s="14">
        <v>6.0</v>
      </c>
      <c r="E2932" s="14">
        <v>1.0</v>
      </c>
      <c r="F2932" s="14" t="s">
        <v>16</v>
      </c>
      <c r="G2932" s="3" t="s">
        <v>39</v>
      </c>
      <c r="H2932" s="14">
        <v>7.67</v>
      </c>
      <c r="I2932" s="14">
        <v>6.83</v>
      </c>
      <c r="J2932" s="3">
        <f t="shared" si="47"/>
        <v>14.5</v>
      </c>
    </row>
    <row r="2933" ht="15.75" customHeight="1">
      <c r="A2933" s="3">
        <f t="shared" si="46"/>
        <v>2932</v>
      </c>
      <c r="B2933" s="14">
        <v>2014.0</v>
      </c>
      <c r="C2933" s="14">
        <v>6.0</v>
      </c>
      <c r="D2933" s="14">
        <v>6.0</v>
      </c>
      <c r="E2933" s="14">
        <v>1.0</v>
      </c>
      <c r="F2933" s="14" t="s">
        <v>16</v>
      </c>
      <c r="G2933" s="3" t="s">
        <v>42</v>
      </c>
      <c r="H2933" s="14">
        <v>5.83</v>
      </c>
      <c r="I2933" s="14">
        <v>4.5</v>
      </c>
      <c r="J2933" s="3">
        <f t="shared" si="47"/>
        <v>10.33</v>
      </c>
    </row>
    <row r="2934" ht="15.75" customHeight="1">
      <c r="A2934" s="3">
        <f t="shared" si="46"/>
        <v>2933</v>
      </c>
      <c r="B2934" s="14">
        <v>2014.0</v>
      </c>
      <c r="C2934" s="14">
        <v>6.0</v>
      </c>
      <c r="D2934" s="14">
        <v>6.0</v>
      </c>
      <c r="E2934" s="14">
        <v>2.0</v>
      </c>
      <c r="F2934" s="14" t="s">
        <v>16</v>
      </c>
      <c r="G2934" s="3" t="s">
        <v>129</v>
      </c>
      <c r="H2934" s="14">
        <v>9.0</v>
      </c>
      <c r="I2934" s="14">
        <v>8.83</v>
      </c>
      <c r="J2934" s="3">
        <f t="shared" si="47"/>
        <v>17.83</v>
      </c>
    </row>
    <row r="2935" ht="15.75" customHeight="1">
      <c r="A2935" s="3">
        <f t="shared" si="46"/>
        <v>2934</v>
      </c>
      <c r="B2935" s="14">
        <v>2014.0</v>
      </c>
      <c r="C2935" s="14">
        <v>6.0</v>
      </c>
      <c r="D2935" s="14">
        <v>6.0</v>
      </c>
      <c r="E2935" s="14">
        <v>2.0</v>
      </c>
      <c r="F2935" s="14" t="s">
        <v>16</v>
      </c>
      <c r="G2935" s="3" t="s">
        <v>62</v>
      </c>
      <c r="H2935" s="14">
        <v>9.27</v>
      </c>
      <c r="I2935" s="14">
        <v>7.17</v>
      </c>
      <c r="J2935" s="3">
        <f t="shared" si="47"/>
        <v>16.44</v>
      </c>
    </row>
    <row r="2936" ht="15.75" customHeight="1">
      <c r="A2936" s="3">
        <f t="shared" si="46"/>
        <v>2935</v>
      </c>
      <c r="B2936" s="14">
        <v>2014.0</v>
      </c>
      <c r="C2936" s="14">
        <v>6.0</v>
      </c>
      <c r="D2936" s="14">
        <v>6.0</v>
      </c>
      <c r="E2936" s="14">
        <v>3.0</v>
      </c>
      <c r="F2936" s="14" t="s">
        <v>16</v>
      </c>
      <c r="G2936" s="3" t="s">
        <v>57</v>
      </c>
      <c r="H2936" s="14">
        <v>9.23</v>
      </c>
      <c r="I2936" s="14">
        <v>8.17</v>
      </c>
      <c r="J2936" s="3">
        <f t="shared" si="47"/>
        <v>17.4</v>
      </c>
    </row>
    <row r="2937" ht="15.75" customHeight="1">
      <c r="A2937" s="3">
        <f t="shared" si="46"/>
        <v>2936</v>
      </c>
      <c r="B2937" s="14">
        <v>2014.0</v>
      </c>
      <c r="C2937" s="14">
        <v>6.0</v>
      </c>
      <c r="D2937" s="14">
        <v>6.0</v>
      </c>
      <c r="E2937" s="14">
        <v>3.0</v>
      </c>
      <c r="F2937" s="14" t="s">
        <v>16</v>
      </c>
      <c r="G2937" s="3" t="s">
        <v>30</v>
      </c>
      <c r="H2937" s="14">
        <v>9.4</v>
      </c>
      <c r="I2937" s="14">
        <v>6.67</v>
      </c>
      <c r="J2937" s="3">
        <f t="shared" si="47"/>
        <v>16.07</v>
      </c>
    </row>
    <row r="2938" ht="15.75" customHeight="1">
      <c r="A2938" s="3">
        <f t="shared" si="46"/>
        <v>2937</v>
      </c>
      <c r="B2938" s="14">
        <v>2014.0</v>
      </c>
      <c r="C2938" s="14">
        <v>6.0</v>
      </c>
      <c r="D2938" s="14">
        <v>6.0</v>
      </c>
      <c r="E2938" s="14">
        <v>4.0</v>
      </c>
      <c r="F2938" s="14" t="s">
        <v>16</v>
      </c>
      <c r="G2938" s="3" t="s">
        <v>76</v>
      </c>
      <c r="H2938" s="14">
        <v>5.67</v>
      </c>
      <c r="I2938" s="14">
        <v>4.0</v>
      </c>
      <c r="J2938" s="3">
        <f t="shared" si="47"/>
        <v>9.67</v>
      </c>
    </row>
    <row r="2939" ht="15.75" customHeight="1">
      <c r="A2939" s="3">
        <f t="shared" si="46"/>
        <v>2938</v>
      </c>
      <c r="B2939" s="14">
        <v>2014.0</v>
      </c>
      <c r="C2939" s="14">
        <v>6.0</v>
      </c>
      <c r="D2939" s="14">
        <v>6.0</v>
      </c>
      <c r="E2939" s="14">
        <v>4.0</v>
      </c>
      <c r="F2939" s="14" t="s">
        <v>16</v>
      </c>
      <c r="G2939" s="3" t="s">
        <v>41</v>
      </c>
      <c r="H2939" s="14">
        <v>8.33</v>
      </c>
      <c r="I2939" s="14">
        <v>8.33</v>
      </c>
      <c r="J2939" s="3">
        <f t="shared" si="47"/>
        <v>16.66</v>
      </c>
    </row>
    <row r="2940" ht="15.75" customHeight="1">
      <c r="A2940" s="3">
        <f t="shared" si="46"/>
        <v>2939</v>
      </c>
      <c r="B2940" s="14">
        <v>2014.0</v>
      </c>
      <c r="C2940" s="14">
        <v>6.0</v>
      </c>
      <c r="D2940" s="14">
        <v>7.0</v>
      </c>
      <c r="E2940" s="14">
        <v>1.0</v>
      </c>
      <c r="F2940" s="14" t="s">
        <v>16</v>
      </c>
      <c r="G2940" s="3" t="s">
        <v>39</v>
      </c>
      <c r="H2940" s="14">
        <v>10.0</v>
      </c>
      <c r="I2940" s="14">
        <v>8.83</v>
      </c>
      <c r="J2940" s="3">
        <f t="shared" si="47"/>
        <v>18.83</v>
      </c>
    </row>
    <row r="2941" ht="15.75" customHeight="1">
      <c r="A2941" s="3">
        <f t="shared" si="46"/>
        <v>2940</v>
      </c>
      <c r="B2941" s="14">
        <v>2014.0</v>
      </c>
      <c r="C2941" s="14">
        <v>6.0</v>
      </c>
      <c r="D2941" s="14">
        <v>7.0</v>
      </c>
      <c r="E2941" s="14">
        <v>1.0</v>
      </c>
      <c r="F2941" s="14" t="s">
        <v>16</v>
      </c>
      <c r="G2941" s="3" t="s">
        <v>129</v>
      </c>
      <c r="H2941" s="14">
        <v>9.77</v>
      </c>
      <c r="I2941" s="14">
        <v>5.77</v>
      </c>
      <c r="J2941" s="3">
        <f t="shared" si="47"/>
        <v>15.54</v>
      </c>
    </row>
    <row r="2942" ht="15.75" customHeight="1">
      <c r="A2942" s="3">
        <f t="shared" si="46"/>
        <v>2941</v>
      </c>
      <c r="B2942" s="14">
        <v>2014.0</v>
      </c>
      <c r="C2942" s="14">
        <v>6.0</v>
      </c>
      <c r="D2942" s="14">
        <v>7.0</v>
      </c>
      <c r="E2942" s="14">
        <v>2.0</v>
      </c>
      <c r="F2942" s="14" t="s">
        <v>16</v>
      </c>
      <c r="G2942" s="3" t="s">
        <v>57</v>
      </c>
      <c r="H2942" s="14">
        <v>7.23</v>
      </c>
      <c r="I2942" s="14">
        <v>5.27</v>
      </c>
      <c r="J2942" s="3">
        <f t="shared" si="47"/>
        <v>12.5</v>
      </c>
    </row>
    <row r="2943" ht="15.75" customHeight="1">
      <c r="A2943" s="3">
        <f t="shared" si="46"/>
        <v>2942</v>
      </c>
      <c r="B2943" s="14">
        <v>2014.0</v>
      </c>
      <c r="C2943" s="14">
        <v>6.0</v>
      </c>
      <c r="D2943" s="14">
        <v>7.0</v>
      </c>
      <c r="E2943" s="14">
        <v>2.0</v>
      </c>
      <c r="F2943" s="14" t="s">
        <v>16</v>
      </c>
      <c r="G2943" s="3" t="s">
        <v>41</v>
      </c>
      <c r="H2943" s="14">
        <v>9.0</v>
      </c>
      <c r="I2943" s="14">
        <v>8.0</v>
      </c>
      <c r="J2943" s="3">
        <f t="shared" si="47"/>
        <v>17</v>
      </c>
    </row>
    <row r="2944" ht="15.75" customHeight="1">
      <c r="A2944" s="3">
        <f t="shared" si="46"/>
        <v>2943</v>
      </c>
      <c r="B2944" s="14">
        <v>2014.0</v>
      </c>
      <c r="C2944" s="14">
        <v>6.0</v>
      </c>
      <c r="D2944" s="14">
        <v>8.0</v>
      </c>
      <c r="E2944" s="14">
        <v>1.0</v>
      </c>
      <c r="F2944" s="14" t="s">
        <v>16</v>
      </c>
      <c r="G2944" s="3" t="s">
        <v>39</v>
      </c>
      <c r="H2944" s="14">
        <v>7.43</v>
      </c>
      <c r="I2944" s="14">
        <v>6.17</v>
      </c>
      <c r="J2944" s="3">
        <f t="shared" si="47"/>
        <v>13.6</v>
      </c>
    </row>
    <row r="2945" ht="15.75" customHeight="1">
      <c r="A2945" s="3">
        <f t="shared" si="46"/>
        <v>2944</v>
      </c>
      <c r="B2945" s="14">
        <v>2014.0</v>
      </c>
      <c r="C2945" s="14">
        <v>6.0</v>
      </c>
      <c r="D2945" s="14">
        <v>8.0</v>
      </c>
      <c r="E2945" s="14">
        <v>1.0</v>
      </c>
      <c r="F2945" s="14" t="s">
        <v>16</v>
      </c>
      <c r="G2945" s="3" t="s">
        <v>41</v>
      </c>
      <c r="H2945" s="14">
        <v>9.0</v>
      </c>
      <c r="I2945" s="14">
        <v>8.0</v>
      </c>
      <c r="J2945" s="3">
        <f t="shared" si="47"/>
        <v>17</v>
      </c>
    </row>
    <row r="2946" ht="15.75" customHeight="1">
      <c r="A2946" s="3">
        <f t="shared" si="46"/>
        <v>2945</v>
      </c>
      <c r="B2946" s="14">
        <v>2014.0</v>
      </c>
      <c r="C2946" s="14">
        <v>7.0</v>
      </c>
      <c r="D2946" s="14">
        <v>1.0</v>
      </c>
      <c r="E2946" s="14">
        <v>1.0</v>
      </c>
      <c r="F2946" s="14" t="s">
        <v>16</v>
      </c>
      <c r="G2946" s="3" t="s">
        <v>37</v>
      </c>
      <c r="H2946" s="14">
        <v>9.4</v>
      </c>
      <c r="I2946" s="14">
        <v>7.0</v>
      </c>
      <c r="J2946" s="3">
        <f t="shared" si="47"/>
        <v>16.4</v>
      </c>
    </row>
    <row r="2947" ht="15.75" customHeight="1">
      <c r="A2947" s="3">
        <f t="shared" si="46"/>
        <v>2946</v>
      </c>
      <c r="B2947" s="14">
        <v>2014.0</v>
      </c>
      <c r="C2947" s="14">
        <v>7.0</v>
      </c>
      <c r="D2947" s="14">
        <v>1.0</v>
      </c>
      <c r="E2947" s="14">
        <v>1.0</v>
      </c>
      <c r="F2947" s="14" t="s">
        <v>16</v>
      </c>
      <c r="G2947" s="3" t="s">
        <v>38</v>
      </c>
      <c r="H2947" s="14">
        <v>5.67</v>
      </c>
      <c r="I2947" s="14">
        <v>4.67</v>
      </c>
      <c r="J2947" s="3">
        <f t="shared" si="47"/>
        <v>10.34</v>
      </c>
    </row>
    <row r="2948" ht="15.75" customHeight="1">
      <c r="A2948" s="3">
        <f t="shared" si="46"/>
        <v>2947</v>
      </c>
      <c r="B2948" s="14">
        <v>2014.0</v>
      </c>
      <c r="C2948" s="14">
        <v>7.0</v>
      </c>
      <c r="D2948" s="14">
        <v>1.0</v>
      </c>
      <c r="E2948" s="14">
        <v>1.0</v>
      </c>
      <c r="F2948" s="14" t="s">
        <v>16</v>
      </c>
      <c r="G2948" s="3" t="s">
        <v>99</v>
      </c>
      <c r="H2948" s="14">
        <v>3.0</v>
      </c>
      <c r="I2948" s="14">
        <v>1.53</v>
      </c>
      <c r="J2948" s="3">
        <f t="shared" si="47"/>
        <v>4.53</v>
      </c>
    </row>
    <row r="2949" ht="15.75" customHeight="1">
      <c r="A2949" s="3">
        <f t="shared" si="46"/>
        <v>2948</v>
      </c>
      <c r="B2949" s="14">
        <v>2014.0</v>
      </c>
      <c r="C2949" s="14">
        <v>7.0</v>
      </c>
      <c r="D2949" s="14">
        <v>1.0</v>
      </c>
      <c r="E2949" s="14">
        <v>2.0</v>
      </c>
      <c r="F2949" s="14" t="s">
        <v>16</v>
      </c>
      <c r="G2949" s="3" t="s">
        <v>27</v>
      </c>
      <c r="H2949" s="14">
        <v>6.83</v>
      </c>
      <c r="I2949" s="14">
        <v>2.83</v>
      </c>
      <c r="J2949" s="3">
        <f t="shared" si="47"/>
        <v>9.66</v>
      </c>
    </row>
    <row r="2950" ht="15.75" customHeight="1">
      <c r="A2950" s="3">
        <f t="shared" si="46"/>
        <v>2949</v>
      </c>
      <c r="B2950" s="14">
        <v>2014.0</v>
      </c>
      <c r="C2950" s="14">
        <v>7.0</v>
      </c>
      <c r="D2950" s="14">
        <v>1.0</v>
      </c>
      <c r="E2950" s="14">
        <v>2.0</v>
      </c>
      <c r="F2950" s="14" t="s">
        <v>16</v>
      </c>
      <c r="G2950" s="3" t="s">
        <v>129</v>
      </c>
      <c r="H2950" s="14">
        <v>6.0</v>
      </c>
      <c r="I2950" s="14">
        <v>1.63</v>
      </c>
      <c r="J2950" s="3">
        <f t="shared" si="47"/>
        <v>7.63</v>
      </c>
    </row>
    <row r="2951" ht="15.75" customHeight="1">
      <c r="A2951" s="3">
        <f t="shared" si="46"/>
        <v>2950</v>
      </c>
      <c r="B2951" s="14">
        <v>2014.0</v>
      </c>
      <c r="C2951" s="14">
        <v>7.0</v>
      </c>
      <c r="D2951" s="14">
        <v>1.0</v>
      </c>
      <c r="E2951" s="14">
        <v>2.0</v>
      </c>
      <c r="F2951" s="14" t="s">
        <v>16</v>
      </c>
      <c r="G2951" s="3" t="s">
        <v>131</v>
      </c>
      <c r="H2951" s="14">
        <v>4.0</v>
      </c>
      <c r="I2951" s="14">
        <v>3.17</v>
      </c>
      <c r="J2951" s="3">
        <f t="shared" si="47"/>
        <v>7.17</v>
      </c>
    </row>
    <row r="2952" ht="15.75" customHeight="1">
      <c r="A2952" s="3">
        <f t="shared" si="46"/>
        <v>2951</v>
      </c>
      <c r="B2952" s="14">
        <v>2014.0</v>
      </c>
      <c r="C2952" s="14">
        <v>7.0</v>
      </c>
      <c r="D2952" s="14">
        <v>1.0</v>
      </c>
      <c r="E2952" s="14">
        <v>3.0</v>
      </c>
      <c r="F2952" s="14" t="s">
        <v>16</v>
      </c>
      <c r="G2952" s="3" t="s">
        <v>62</v>
      </c>
      <c r="H2952" s="14">
        <v>6.83</v>
      </c>
      <c r="I2952" s="14">
        <v>5.67</v>
      </c>
      <c r="J2952" s="3">
        <f t="shared" si="47"/>
        <v>12.5</v>
      </c>
    </row>
    <row r="2953" ht="15.75" customHeight="1">
      <c r="A2953" s="3">
        <f t="shared" si="46"/>
        <v>2952</v>
      </c>
      <c r="B2953" s="14">
        <v>2014.0</v>
      </c>
      <c r="C2953" s="14">
        <v>7.0</v>
      </c>
      <c r="D2953" s="14">
        <v>1.0</v>
      </c>
      <c r="E2953" s="14">
        <v>3.0</v>
      </c>
      <c r="F2953" s="14" t="s">
        <v>16</v>
      </c>
      <c r="G2953" s="3" t="s">
        <v>29</v>
      </c>
      <c r="H2953" s="14">
        <v>2.87</v>
      </c>
      <c r="I2953" s="14">
        <v>2.2</v>
      </c>
      <c r="J2953" s="3">
        <f t="shared" si="47"/>
        <v>5.07</v>
      </c>
    </row>
    <row r="2954" ht="15.75" customHeight="1">
      <c r="A2954" s="3">
        <f t="shared" si="46"/>
        <v>2953</v>
      </c>
      <c r="B2954" s="14">
        <v>2014.0</v>
      </c>
      <c r="C2954" s="14">
        <v>7.0</v>
      </c>
      <c r="D2954" s="14">
        <v>1.0</v>
      </c>
      <c r="E2954" s="14">
        <v>3.0</v>
      </c>
      <c r="F2954" s="14" t="s">
        <v>16</v>
      </c>
      <c r="G2954" s="3" t="s">
        <v>91</v>
      </c>
      <c r="H2954" s="14">
        <v>6.17</v>
      </c>
      <c r="I2954" s="14">
        <v>3.0</v>
      </c>
      <c r="J2954" s="3">
        <f t="shared" si="47"/>
        <v>9.17</v>
      </c>
    </row>
    <row r="2955" ht="15.75" customHeight="1">
      <c r="A2955" s="3">
        <f t="shared" si="46"/>
        <v>2954</v>
      </c>
      <c r="B2955" s="14">
        <v>2014.0</v>
      </c>
      <c r="C2955" s="14">
        <v>7.0</v>
      </c>
      <c r="D2955" s="14">
        <v>1.0</v>
      </c>
      <c r="E2955" s="14">
        <v>4.0</v>
      </c>
      <c r="F2955" s="14" t="s">
        <v>16</v>
      </c>
      <c r="G2955" s="3" t="s">
        <v>41</v>
      </c>
      <c r="H2955" s="14">
        <v>9.13</v>
      </c>
      <c r="I2955" s="14">
        <v>9.03</v>
      </c>
      <c r="J2955" s="3">
        <f t="shared" si="47"/>
        <v>18.16</v>
      </c>
    </row>
    <row r="2956" ht="15.75" customHeight="1">
      <c r="A2956" s="3">
        <f t="shared" si="46"/>
        <v>2955</v>
      </c>
      <c r="B2956" s="14">
        <v>2014.0</v>
      </c>
      <c r="C2956" s="14">
        <v>7.0</v>
      </c>
      <c r="D2956" s="14">
        <v>1.0</v>
      </c>
      <c r="E2956" s="14">
        <v>4.0</v>
      </c>
      <c r="F2956" s="14" t="s">
        <v>16</v>
      </c>
      <c r="G2956" s="3" t="s">
        <v>76</v>
      </c>
      <c r="H2956" s="14">
        <v>5.43</v>
      </c>
      <c r="I2956" s="14">
        <v>2.67</v>
      </c>
      <c r="J2956" s="3">
        <f t="shared" si="47"/>
        <v>8.1</v>
      </c>
    </row>
    <row r="2957" ht="15.75" customHeight="1">
      <c r="A2957" s="3">
        <f t="shared" si="46"/>
        <v>2956</v>
      </c>
      <c r="B2957" s="14">
        <v>2014.0</v>
      </c>
      <c r="C2957" s="14">
        <v>7.0</v>
      </c>
      <c r="D2957" s="14">
        <v>1.0</v>
      </c>
      <c r="E2957" s="14">
        <v>4.0</v>
      </c>
      <c r="F2957" s="14" t="s">
        <v>16</v>
      </c>
      <c r="G2957" s="3" t="s">
        <v>130</v>
      </c>
      <c r="H2957" s="14">
        <v>5.0</v>
      </c>
      <c r="I2957" s="14">
        <v>4.47</v>
      </c>
      <c r="J2957" s="3">
        <f t="shared" si="47"/>
        <v>9.47</v>
      </c>
    </row>
    <row r="2958" ht="15.75" customHeight="1">
      <c r="A2958" s="3">
        <f t="shared" si="46"/>
        <v>2957</v>
      </c>
      <c r="B2958" s="14">
        <v>2014.0</v>
      </c>
      <c r="C2958" s="14">
        <v>7.0</v>
      </c>
      <c r="D2958" s="14">
        <v>1.0</v>
      </c>
      <c r="E2958" s="14">
        <v>5.0</v>
      </c>
      <c r="F2958" s="14" t="s">
        <v>16</v>
      </c>
      <c r="G2958" s="3" t="s">
        <v>39</v>
      </c>
      <c r="H2958" s="14">
        <v>9.8</v>
      </c>
      <c r="I2958" s="14">
        <v>6.5</v>
      </c>
      <c r="J2958" s="3">
        <f t="shared" si="47"/>
        <v>16.3</v>
      </c>
    </row>
    <row r="2959" ht="15.75" customHeight="1">
      <c r="A2959" s="3">
        <f t="shared" si="46"/>
        <v>2958</v>
      </c>
      <c r="B2959" s="14">
        <v>2014.0</v>
      </c>
      <c r="C2959" s="14">
        <v>7.0</v>
      </c>
      <c r="D2959" s="14">
        <v>1.0</v>
      </c>
      <c r="E2959" s="14">
        <v>5.0</v>
      </c>
      <c r="F2959" s="14" t="s">
        <v>16</v>
      </c>
      <c r="G2959" s="3" t="s">
        <v>47</v>
      </c>
      <c r="H2959" s="14">
        <v>9.97</v>
      </c>
      <c r="I2959" s="14">
        <v>6.33</v>
      </c>
      <c r="J2959" s="3">
        <f t="shared" si="47"/>
        <v>16.3</v>
      </c>
    </row>
    <row r="2960" ht="15.75" customHeight="1">
      <c r="A2960" s="3">
        <f t="shared" si="46"/>
        <v>2959</v>
      </c>
      <c r="B2960" s="14">
        <v>2014.0</v>
      </c>
      <c r="C2960" s="14">
        <v>7.0</v>
      </c>
      <c r="D2960" s="14">
        <v>1.0</v>
      </c>
      <c r="E2960" s="14">
        <v>5.0</v>
      </c>
      <c r="F2960" s="14" t="s">
        <v>16</v>
      </c>
      <c r="G2960" s="3" t="s">
        <v>132</v>
      </c>
      <c r="H2960" s="14">
        <v>9.27</v>
      </c>
      <c r="I2960" s="14">
        <v>6.5</v>
      </c>
      <c r="J2960" s="3">
        <f t="shared" si="47"/>
        <v>15.77</v>
      </c>
    </row>
    <row r="2961" ht="15.75" customHeight="1">
      <c r="A2961" s="3">
        <f t="shared" si="46"/>
        <v>2960</v>
      </c>
      <c r="B2961" s="14">
        <v>2014.0</v>
      </c>
      <c r="C2961" s="14">
        <v>7.0</v>
      </c>
      <c r="D2961" s="14">
        <v>1.0</v>
      </c>
      <c r="E2961" s="14">
        <v>6.0</v>
      </c>
      <c r="F2961" s="14" t="s">
        <v>16</v>
      </c>
      <c r="G2961" s="3" t="s">
        <v>30</v>
      </c>
      <c r="H2961" s="14">
        <v>7.4</v>
      </c>
      <c r="I2961" s="14">
        <v>6.93</v>
      </c>
      <c r="J2961" s="3">
        <f t="shared" si="47"/>
        <v>14.33</v>
      </c>
    </row>
    <row r="2962" ht="15.75" customHeight="1">
      <c r="A2962" s="3">
        <f t="shared" si="46"/>
        <v>2961</v>
      </c>
      <c r="B2962" s="14">
        <v>2014.0</v>
      </c>
      <c r="C2962" s="14">
        <v>7.0</v>
      </c>
      <c r="D2962" s="14">
        <v>1.0</v>
      </c>
      <c r="E2962" s="14">
        <v>6.0</v>
      </c>
      <c r="F2962" s="14" t="s">
        <v>16</v>
      </c>
      <c r="G2962" s="3" t="s">
        <v>124</v>
      </c>
      <c r="H2962" s="14">
        <v>5.5</v>
      </c>
      <c r="I2962" s="14">
        <v>3.93</v>
      </c>
      <c r="J2962" s="3">
        <f t="shared" si="47"/>
        <v>9.43</v>
      </c>
    </row>
    <row r="2963" ht="15.75" customHeight="1">
      <c r="A2963" s="3">
        <f t="shared" si="46"/>
        <v>2962</v>
      </c>
      <c r="B2963" s="14">
        <v>2014.0</v>
      </c>
      <c r="C2963" s="14">
        <v>7.0</v>
      </c>
      <c r="D2963" s="14">
        <v>1.0</v>
      </c>
      <c r="E2963" s="14">
        <v>6.0</v>
      </c>
      <c r="F2963" s="14" t="s">
        <v>16</v>
      </c>
      <c r="G2963" s="3" t="s">
        <v>115</v>
      </c>
      <c r="H2963" s="14">
        <v>6.67</v>
      </c>
      <c r="I2963" s="14">
        <v>5.5</v>
      </c>
      <c r="J2963" s="3">
        <f t="shared" si="47"/>
        <v>12.17</v>
      </c>
    </row>
    <row r="2964" ht="15.75" customHeight="1">
      <c r="A2964" s="3">
        <f t="shared" si="46"/>
        <v>2963</v>
      </c>
      <c r="B2964" s="14">
        <v>2014.0</v>
      </c>
      <c r="C2964" s="14">
        <v>7.0</v>
      </c>
      <c r="D2964" s="14">
        <v>1.0</v>
      </c>
      <c r="E2964" s="14">
        <v>7.0</v>
      </c>
      <c r="F2964" s="14" t="s">
        <v>16</v>
      </c>
      <c r="G2964" s="3" t="s">
        <v>42</v>
      </c>
      <c r="H2964" s="14">
        <v>7.43</v>
      </c>
      <c r="I2964" s="14">
        <v>5.67</v>
      </c>
      <c r="J2964" s="3">
        <f t="shared" si="47"/>
        <v>13.1</v>
      </c>
    </row>
    <row r="2965" ht="15.75" customHeight="1">
      <c r="A2965" s="3">
        <f t="shared" si="46"/>
        <v>2964</v>
      </c>
      <c r="B2965" s="14">
        <v>2014.0</v>
      </c>
      <c r="C2965" s="14">
        <v>7.0</v>
      </c>
      <c r="D2965" s="14">
        <v>1.0</v>
      </c>
      <c r="E2965" s="14">
        <v>7.0</v>
      </c>
      <c r="F2965" s="14" t="s">
        <v>16</v>
      </c>
      <c r="G2965" s="3" t="s">
        <v>55</v>
      </c>
      <c r="H2965" s="14">
        <v>7.1</v>
      </c>
      <c r="I2965" s="14">
        <v>6.17</v>
      </c>
      <c r="J2965" s="3">
        <f t="shared" si="47"/>
        <v>13.27</v>
      </c>
    </row>
    <row r="2966" ht="15.75" customHeight="1">
      <c r="A2966" s="3">
        <f t="shared" si="46"/>
        <v>2965</v>
      </c>
      <c r="B2966" s="14">
        <v>2014.0</v>
      </c>
      <c r="C2966" s="14">
        <v>7.0</v>
      </c>
      <c r="D2966" s="14">
        <v>1.0</v>
      </c>
      <c r="E2966" s="14">
        <v>7.0</v>
      </c>
      <c r="F2966" s="14" t="s">
        <v>16</v>
      </c>
      <c r="G2966" s="3" t="s">
        <v>126</v>
      </c>
      <c r="H2966" s="14">
        <v>8.33</v>
      </c>
      <c r="I2966" s="14">
        <v>7.0</v>
      </c>
      <c r="J2966" s="3">
        <f t="shared" si="47"/>
        <v>15.33</v>
      </c>
    </row>
    <row r="2967" ht="15.75" customHeight="1">
      <c r="A2967" s="3">
        <f t="shared" si="46"/>
        <v>2966</v>
      </c>
      <c r="B2967" s="14">
        <v>2014.0</v>
      </c>
      <c r="C2967" s="14">
        <v>7.0</v>
      </c>
      <c r="D2967" s="14">
        <v>1.0</v>
      </c>
      <c r="E2967" s="14">
        <v>8.0</v>
      </c>
      <c r="F2967" s="14" t="s">
        <v>16</v>
      </c>
      <c r="G2967" s="3" t="s">
        <v>56</v>
      </c>
      <c r="H2967" s="14">
        <v>9.67</v>
      </c>
      <c r="I2967" s="14">
        <v>6.83</v>
      </c>
      <c r="J2967" s="3">
        <f t="shared" si="47"/>
        <v>16.5</v>
      </c>
    </row>
    <row r="2968" ht="15.75" customHeight="1">
      <c r="A2968" s="3">
        <f t="shared" si="46"/>
        <v>2967</v>
      </c>
      <c r="B2968" s="14">
        <v>2014.0</v>
      </c>
      <c r="C2968" s="14">
        <v>7.0</v>
      </c>
      <c r="D2968" s="14">
        <v>1.0</v>
      </c>
      <c r="E2968" s="14">
        <v>8.0</v>
      </c>
      <c r="F2968" s="14" t="s">
        <v>16</v>
      </c>
      <c r="G2968" s="3" t="s">
        <v>125</v>
      </c>
      <c r="H2968" s="14">
        <v>8.27</v>
      </c>
      <c r="I2968" s="14">
        <v>0.0</v>
      </c>
      <c r="J2968" s="3">
        <f t="shared" si="47"/>
        <v>8.27</v>
      </c>
    </row>
    <row r="2969" ht="15.75" customHeight="1">
      <c r="A2969" s="3">
        <f t="shared" si="46"/>
        <v>2968</v>
      </c>
      <c r="B2969" s="14">
        <v>2014.0</v>
      </c>
      <c r="C2969" s="14">
        <v>7.0</v>
      </c>
      <c r="D2969" s="14">
        <v>1.0</v>
      </c>
      <c r="E2969" s="14">
        <v>8.0</v>
      </c>
      <c r="F2969" s="14" t="s">
        <v>16</v>
      </c>
      <c r="G2969" s="3" t="s">
        <v>120</v>
      </c>
      <c r="H2969" s="14">
        <v>4.33</v>
      </c>
      <c r="I2969" s="14">
        <v>3.93</v>
      </c>
      <c r="J2969" s="3">
        <f t="shared" si="47"/>
        <v>8.26</v>
      </c>
    </row>
    <row r="2970" ht="15.75" customHeight="1">
      <c r="A2970" s="3">
        <f t="shared" si="46"/>
        <v>2969</v>
      </c>
      <c r="B2970" s="14">
        <v>2014.0</v>
      </c>
      <c r="C2970" s="14">
        <v>7.0</v>
      </c>
      <c r="D2970" s="14">
        <v>1.0</v>
      </c>
      <c r="E2970" s="14">
        <v>9.0</v>
      </c>
      <c r="F2970" s="14" t="s">
        <v>16</v>
      </c>
      <c r="G2970" s="3" t="s">
        <v>32</v>
      </c>
      <c r="H2970" s="14">
        <v>7.43</v>
      </c>
      <c r="I2970" s="14">
        <v>6.33</v>
      </c>
      <c r="J2970" s="3">
        <f t="shared" si="47"/>
        <v>13.76</v>
      </c>
    </row>
    <row r="2971" ht="15.75" customHeight="1">
      <c r="A2971" s="3">
        <f t="shared" si="46"/>
        <v>2970</v>
      </c>
      <c r="B2971" s="14">
        <v>2014.0</v>
      </c>
      <c r="C2971" s="14">
        <v>7.0</v>
      </c>
      <c r="D2971" s="14">
        <v>1.0</v>
      </c>
      <c r="E2971" s="14">
        <v>9.0</v>
      </c>
      <c r="F2971" s="14" t="s">
        <v>16</v>
      </c>
      <c r="G2971" s="3" t="s">
        <v>123</v>
      </c>
      <c r="H2971" s="14">
        <v>5.57</v>
      </c>
      <c r="I2971" s="14">
        <v>5.17</v>
      </c>
      <c r="J2971" s="3">
        <f t="shared" si="47"/>
        <v>10.74</v>
      </c>
    </row>
    <row r="2972" ht="15.75" customHeight="1">
      <c r="A2972" s="3">
        <f t="shared" si="46"/>
        <v>2971</v>
      </c>
      <c r="B2972" s="14">
        <v>2014.0</v>
      </c>
      <c r="C2972" s="14">
        <v>7.0</v>
      </c>
      <c r="D2972" s="14">
        <v>1.0</v>
      </c>
      <c r="E2972" s="14">
        <v>9.0</v>
      </c>
      <c r="F2972" s="14" t="s">
        <v>16</v>
      </c>
      <c r="G2972" s="3" t="s">
        <v>107</v>
      </c>
      <c r="H2972" s="14">
        <v>6.17</v>
      </c>
      <c r="I2972" s="14">
        <v>5.27</v>
      </c>
      <c r="J2972" s="3">
        <f t="shared" si="47"/>
        <v>11.44</v>
      </c>
    </row>
    <row r="2973" ht="15.75" customHeight="1">
      <c r="A2973" s="3">
        <f t="shared" si="46"/>
        <v>2972</v>
      </c>
      <c r="B2973" s="14">
        <v>2014.0</v>
      </c>
      <c r="C2973" s="14">
        <v>7.0</v>
      </c>
      <c r="D2973" s="14">
        <v>1.0</v>
      </c>
      <c r="E2973" s="14">
        <v>10.0</v>
      </c>
      <c r="F2973" s="14" t="s">
        <v>16</v>
      </c>
      <c r="G2973" s="3" t="s">
        <v>45</v>
      </c>
      <c r="H2973" s="14">
        <v>7.93</v>
      </c>
      <c r="I2973" s="14">
        <v>0.0</v>
      </c>
      <c r="J2973" s="3">
        <f t="shared" si="47"/>
        <v>7.93</v>
      </c>
    </row>
    <row r="2974" ht="15.75" customHeight="1">
      <c r="A2974" s="3">
        <f t="shared" si="46"/>
        <v>2973</v>
      </c>
      <c r="B2974" s="14">
        <v>2014.0</v>
      </c>
      <c r="C2974" s="14">
        <v>7.0</v>
      </c>
      <c r="D2974" s="14">
        <v>1.0</v>
      </c>
      <c r="E2974" s="14">
        <v>10.0</v>
      </c>
      <c r="F2974" s="14" t="s">
        <v>16</v>
      </c>
      <c r="G2974" s="3" t="s">
        <v>31</v>
      </c>
      <c r="H2974" s="14">
        <v>8.77</v>
      </c>
      <c r="I2974" s="14">
        <v>7.17</v>
      </c>
      <c r="J2974" s="3">
        <f t="shared" si="47"/>
        <v>15.94</v>
      </c>
    </row>
    <row r="2975" ht="15.75" customHeight="1">
      <c r="A2975" s="3">
        <f t="shared" si="46"/>
        <v>2974</v>
      </c>
      <c r="B2975" s="14">
        <v>2014.0</v>
      </c>
      <c r="C2975" s="14">
        <v>7.0</v>
      </c>
      <c r="D2975" s="14">
        <v>1.0</v>
      </c>
      <c r="E2975" s="14">
        <v>10.0</v>
      </c>
      <c r="F2975" s="14" t="s">
        <v>16</v>
      </c>
      <c r="G2975" s="3" t="s">
        <v>35</v>
      </c>
      <c r="H2975" s="14">
        <v>9.17</v>
      </c>
      <c r="I2975" s="14">
        <v>7.47</v>
      </c>
      <c r="J2975" s="3">
        <f t="shared" si="47"/>
        <v>16.64</v>
      </c>
    </row>
    <row r="2976" ht="15.75" customHeight="1">
      <c r="A2976" s="3">
        <f t="shared" si="46"/>
        <v>2975</v>
      </c>
      <c r="B2976" s="14">
        <v>2014.0</v>
      </c>
      <c r="C2976" s="14">
        <v>7.0</v>
      </c>
      <c r="D2976" s="14">
        <v>1.0</v>
      </c>
      <c r="E2976" s="14">
        <v>11.0</v>
      </c>
      <c r="F2976" s="14" t="s">
        <v>16</v>
      </c>
      <c r="G2976" s="3" t="s">
        <v>57</v>
      </c>
      <c r="H2976" s="14">
        <v>3.67</v>
      </c>
      <c r="I2976" s="14">
        <v>2.67</v>
      </c>
      <c r="J2976" s="3">
        <f t="shared" si="47"/>
        <v>6.34</v>
      </c>
    </row>
    <row r="2977" ht="15.75" customHeight="1">
      <c r="A2977" s="3">
        <f t="shared" si="46"/>
        <v>2976</v>
      </c>
      <c r="B2977" s="14">
        <v>2014.0</v>
      </c>
      <c r="C2977" s="14">
        <v>7.0</v>
      </c>
      <c r="D2977" s="14">
        <v>1.0</v>
      </c>
      <c r="E2977" s="14">
        <v>11.0</v>
      </c>
      <c r="F2977" s="14" t="s">
        <v>16</v>
      </c>
      <c r="G2977" s="3" t="s">
        <v>59</v>
      </c>
      <c r="H2977" s="14">
        <v>3.73</v>
      </c>
      <c r="I2977" s="14">
        <v>1.7</v>
      </c>
      <c r="J2977" s="3">
        <f t="shared" si="47"/>
        <v>5.43</v>
      </c>
    </row>
    <row r="2978" ht="15.75" customHeight="1">
      <c r="A2978" s="3">
        <f t="shared" si="46"/>
        <v>2977</v>
      </c>
      <c r="B2978" s="14">
        <v>2014.0</v>
      </c>
      <c r="C2978" s="14">
        <v>7.0</v>
      </c>
      <c r="D2978" s="14">
        <v>1.0</v>
      </c>
      <c r="E2978" s="14">
        <v>11.0</v>
      </c>
      <c r="F2978" s="14" t="s">
        <v>16</v>
      </c>
      <c r="G2978" s="3" t="s">
        <v>122</v>
      </c>
      <c r="H2978" s="14">
        <v>1.93</v>
      </c>
      <c r="I2978" s="14">
        <v>1.17</v>
      </c>
      <c r="J2978" s="3">
        <f t="shared" si="47"/>
        <v>3.1</v>
      </c>
    </row>
    <row r="2979" ht="15.75" customHeight="1">
      <c r="A2979" s="3">
        <f t="shared" si="46"/>
        <v>2978</v>
      </c>
      <c r="B2979" s="14">
        <v>2014.0</v>
      </c>
      <c r="C2979" s="14">
        <v>7.0</v>
      </c>
      <c r="D2979" s="14">
        <v>1.0</v>
      </c>
      <c r="E2979" s="14">
        <v>12.0</v>
      </c>
      <c r="F2979" s="14" t="s">
        <v>16</v>
      </c>
      <c r="G2979" s="3" t="s">
        <v>28</v>
      </c>
      <c r="H2979" s="14">
        <v>5.0</v>
      </c>
      <c r="I2979" s="14">
        <v>3.73</v>
      </c>
      <c r="J2979" s="3">
        <f t="shared" si="47"/>
        <v>8.73</v>
      </c>
    </row>
    <row r="2980" ht="15.75" customHeight="1">
      <c r="A2980" s="3">
        <f t="shared" si="46"/>
        <v>2979</v>
      </c>
      <c r="B2980" s="14">
        <v>2014.0</v>
      </c>
      <c r="C2980" s="14">
        <v>7.0</v>
      </c>
      <c r="D2980" s="14">
        <v>1.0</v>
      </c>
      <c r="E2980" s="14">
        <v>12.0</v>
      </c>
      <c r="F2980" s="14" t="s">
        <v>16</v>
      </c>
      <c r="G2980" s="3" t="s">
        <v>26</v>
      </c>
      <c r="H2980" s="14">
        <v>8.83</v>
      </c>
      <c r="I2980" s="14">
        <v>7.0</v>
      </c>
      <c r="J2980" s="3">
        <f t="shared" si="47"/>
        <v>15.83</v>
      </c>
    </row>
    <row r="2981" ht="15.75" customHeight="1">
      <c r="A2981" s="3">
        <f t="shared" si="46"/>
        <v>2980</v>
      </c>
      <c r="B2981" s="14">
        <v>2014.0</v>
      </c>
      <c r="C2981" s="14">
        <v>7.0</v>
      </c>
      <c r="D2981" s="14">
        <v>1.0</v>
      </c>
      <c r="E2981" s="14">
        <v>12.0</v>
      </c>
      <c r="F2981" s="14" t="s">
        <v>16</v>
      </c>
      <c r="G2981" s="3" t="s">
        <v>60</v>
      </c>
      <c r="H2981" s="14">
        <v>9.57</v>
      </c>
      <c r="I2981" s="14">
        <v>8.67</v>
      </c>
      <c r="J2981" s="3">
        <f t="shared" si="47"/>
        <v>18.24</v>
      </c>
    </row>
    <row r="2982" ht="15.75" customHeight="1">
      <c r="A2982" s="3">
        <f t="shared" si="46"/>
        <v>2981</v>
      </c>
      <c r="B2982" s="14">
        <v>2014.0</v>
      </c>
      <c r="C2982" s="14">
        <v>7.0</v>
      </c>
      <c r="D2982" s="14">
        <v>2.0</v>
      </c>
      <c r="E2982" s="14">
        <v>1.0</v>
      </c>
      <c r="F2982" s="14" t="s">
        <v>16</v>
      </c>
      <c r="G2982" s="3" t="s">
        <v>39</v>
      </c>
      <c r="H2982" s="14">
        <v>9.0</v>
      </c>
      <c r="I2982" s="14">
        <v>8.17</v>
      </c>
      <c r="J2982" s="3">
        <f t="shared" si="47"/>
        <v>17.17</v>
      </c>
    </row>
    <row r="2983" ht="15.75" customHeight="1">
      <c r="A2983" s="3">
        <f t="shared" si="46"/>
        <v>2982</v>
      </c>
      <c r="B2983" s="14">
        <v>2014.0</v>
      </c>
      <c r="C2983" s="14">
        <v>7.0</v>
      </c>
      <c r="D2983" s="14">
        <v>2.0</v>
      </c>
      <c r="E2983" s="14">
        <v>1.0</v>
      </c>
      <c r="F2983" s="14" t="s">
        <v>16</v>
      </c>
      <c r="G2983" s="3" t="s">
        <v>115</v>
      </c>
      <c r="H2983" s="14">
        <v>7.83</v>
      </c>
      <c r="I2983" s="14">
        <v>4.67</v>
      </c>
      <c r="J2983" s="3">
        <f t="shared" si="47"/>
        <v>12.5</v>
      </c>
    </row>
    <row r="2984" ht="15.75" customHeight="1">
      <c r="A2984" s="3">
        <f t="shared" si="46"/>
        <v>2983</v>
      </c>
      <c r="B2984" s="14">
        <v>2014.0</v>
      </c>
      <c r="C2984" s="14">
        <v>7.0</v>
      </c>
      <c r="D2984" s="14">
        <v>2.0</v>
      </c>
      <c r="E2984" s="14">
        <v>2.0</v>
      </c>
      <c r="F2984" s="14" t="s">
        <v>16</v>
      </c>
      <c r="G2984" s="3" t="s">
        <v>42</v>
      </c>
      <c r="H2984" s="14">
        <v>6.67</v>
      </c>
      <c r="I2984" s="14">
        <v>5.1</v>
      </c>
      <c r="J2984" s="3">
        <f t="shared" si="47"/>
        <v>11.77</v>
      </c>
    </row>
    <row r="2985" ht="15.75" customHeight="1">
      <c r="A2985" s="3">
        <f t="shared" si="46"/>
        <v>2984</v>
      </c>
      <c r="B2985" s="14">
        <v>2014.0</v>
      </c>
      <c r="C2985" s="14">
        <v>7.0</v>
      </c>
      <c r="D2985" s="14">
        <v>2.0</v>
      </c>
      <c r="E2985" s="14">
        <v>2.0</v>
      </c>
      <c r="F2985" s="14" t="s">
        <v>16</v>
      </c>
      <c r="G2985" s="3" t="s">
        <v>132</v>
      </c>
      <c r="H2985" s="14">
        <v>10.0</v>
      </c>
      <c r="I2985" s="14">
        <v>2.0</v>
      </c>
      <c r="J2985" s="3">
        <f t="shared" si="47"/>
        <v>12</v>
      </c>
    </row>
    <row r="2986" ht="15.75" customHeight="1">
      <c r="A2986" s="3">
        <f t="shared" si="46"/>
        <v>2985</v>
      </c>
      <c r="B2986" s="14">
        <v>2014.0</v>
      </c>
      <c r="C2986" s="14">
        <v>7.0</v>
      </c>
      <c r="D2986" s="14">
        <v>2.0</v>
      </c>
      <c r="E2986" s="14">
        <v>3.0</v>
      </c>
      <c r="F2986" s="14" t="s">
        <v>16</v>
      </c>
      <c r="G2986" s="3" t="s">
        <v>45</v>
      </c>
      <c r="H2986" s="14">
        <v>9.07</v>
      </c>
      <c r="I2986" s="14">
        <v>8.83</v>
      </c>
      <c r="J2986" s="3">
        <f t="shared" si="47"/>
        <v>17.9</v>
      </c>
    </row>
    <row r="2987" ht="15.75" customHeight="1">
      <c r="A2987" s="3">
        <f t="shared" si="46"/>
        <v>2986</v>
      </c>
      <c r="B2987" s="14">
        <v>2014.0</v>
      </c>
      <c r="C2987" s="14">
        <v>7.0</v>
      </c>
      <c r="D2987" s="14">
        <v>2.0</v>
      </c>
      <c r="E2987" s="14">
        <v>3.0</v>
      </c>
      <c r="F2987" s="14" t="s">
        <v>16</v>
      </c>
      <c r="G2987" s="3" t="s">
        <v>130</v>
      </c>
      <c r="H2987" s="14">
        <v>7.17</v>
      </c>
      <c r="I2987" s="14">
        <v>4.07</v>
      </c>
      <c r="J2987" s="3">
        <f t="shared" si="47"/>
        <v>11.24</v>
      </c>
    </row>
    <row r="2988" ht="15.75" customHeight="1">
      <c r="A2988" s="3">
        <f t="shared" si="46"/>
        <v>2987</v>
      </c>
      <c r="B2988" s="14">
        <v>2014.0</v>
      </c>
      <c r="C2988" s="14">
        <v>7.0</v>
      </c>
      <c r="D2988" s="14">
        <v>2.0</v>
      </c>
      <c r="E2988" s="14">
        <v>4.0</v>
      </c>
      <c r="F2988" s="14" t="s">
        <v>16</v>
      </c>
      <c r="G2988" s="3" t="s">
        <v>28</v>
      </c>
      <c r="H2988" s="14">
        <v>4.33</v>
      </c>
      <c r="I2988" s="14">
        <v>1.0</v>
      </c>
      <c r="J2988" s="3">
        <f t="shared" si="47"/>
        <v>5.33</v>
      </c>
    </row>
    <row r="2989" ht="15.75" customHeight="1">
      <c r="A2989" s="3">
        <f t="shared" si="46"/>
        <v>2988</v>
      </c>
      <c r="B2989" s="14">
        <v>2014.0</v>
      </c>
      <c r="C2989" s="14">
        <v>7.0</v>
      </c>
      <c r="D2989" s="14">
        <v>2.0</v>
      </c>
      <c r="E2989" s="14">
        <v>4.0</v>
      </c>
      <c r="F2989" s="14" t="s">
        <v>16</v>
      </c>
      <c r="G2989" s="3" t="s">
        <v>91</v>
      </c>
      <c r="H2989" s="14">
        <v>6.0</v>
      </c>
      <c r="I2989" s="14">
        <v>5.5</v>
      </c>
      <c r="J2989" s="3">
        <f t="shared" si="47"/>
        <v>11.5</v>
      </c>
    </row>
    <row r="2990" ht="15.75" customHeight="1">
      <c r="A2990" s="3">
        <f t="shared" si="46"/>
        <v>2989</v>
      </c>
      <c r="B2990" s="14">
        <v>2014.0</v>
      </c>
      <c r="C2990" s="14">
        <v>7.0</v>
      </c>
      <c r="D2990" s="14">
        <v>2.0</v>
      </c>
      <c r="E2990" s="14">
        <v>5.0</v>
      </c>
      <c r="F2990" s="14" t="s">
        <v>16</v>
      </c>
      <c r="G2990" s="3" t="s">
        <v>26</v>
      </c>
      <c r="H2990" s="14">
        <v>6.0</v>
      </c>
      <c r="I2990" s="14">
        <v>5.0</v>
      </c>
      <c r="J2990" s="3">
        <f t="shared" si="47"/>
        <v>11</v>
      </c>
    </row>
    <row r="2991" ht="15.75" customHeight="1">
      <c r="A2991" s="3">
        <f t="shared" si="46"/>
        <v>2990</v>
      </c>
      <c r="B2991" s="14">
        <v>2014.0</v>
      </c>
      <c r="C2991" s="14">
        <v>7.0</v>
      </c>
      <c r="D2991" s="14">
        <v>2.0</v>
      </c>
      <c r="E2991" s="14">
        <v>5.0</v>
      </c>
      <c r="F2991" s="14" t="s">
        <v>16</v>
      </c>
      <c r="G2991" s="3" t="s">
        <v>131</v>
      </c>
      <c r="H2991" s="14">
        <v>1.63</v>
      </c>
      <c r="I2991" s="14">
        <v>0.8</v>
      </c>
      <c r="J2991" s="3">
        <f t="shared" si="47"/>
        <v>2.43</v>
      </c>
    </row>
    <row r="2992" ht="15.75" customHeight="1">
      <c r="A2992" s="3">
        <f t="shared" si="46"/>
        <v>2991</v>
      </c>
      <c r="B2992" s="14">
        <v>2014.0</v>
      </c>
      <c r="C2992" s="14">
        <v>7.0</v>
      </c>
      <c r="D2992" s="14">
        <v>2.0</v>
      </c>
      <c r="E2992" s="14">
        <v>6.0</v>
      </c>
      <c r="F2992" s="14" t="s">
        <v>16</v>
      </c>
      <c r="G2992" s="3" t="s">
        <v>59</v>
      </c>
      <c r="H2992" s="14">
        <v>4.0</v>
      </c>
      <c r="I2992" s="14">
        <v>2.33</v>
      </c>
      <c r="J2992" s="3">
        <f t="shared" si="47"/>
        <v>6.33</v>
      </c>
    </row>
    <row r="2993" ht="15.75" customHeight="1">
      <c r="A2993" s="3">
        <f t="shared" si="46"/>
        <v>2992</v>
      </c>
      <c r="B2993" s="14">
        <v>2014.0</v>
      </c>
      <c r="C2993" s="14">
        <v>7.0</v>
      </c>
      <c r="D2993" s="14">
        <v>2.0</v>
      </c>
      <c r="E2993" s="14">
        <v>6.0</v>
      </c>
      <c r="F2993" s="14" t="s">
        <v>16</v>
      </c>
      <c r="G2993" s="3" t="s">
        <v>99</v>
      </c>
      <c r="H2993" s="14">
        <v>2.3</v>
      </c>
      <c r="I2993" s="14">
        <v>0.63</v>
      </c>
      <c r="J2993" s="3">
        <f t="shared" si="47"/>
        <v>2.93</v>
      </c>
    </row>
    <row r="2994" ht="15.75" customHeight="1">
      <c r="A2994" s="3">
        <f t="shared" si="46"/>
        <v>2993</v>
      </c>
      <c r="B2994" s="14">
        <v>2014.0</v>
      </c>
      <c r="C2994" s="14">
        <v>7.0</v>
      </c>
      <c r="D2994" s="14">
        <v>2.0</v>
      </c>
      <c r="E2994" s="14">
        <v>7.0</v>
      </c>
      <c r="F2994" s="14" t="s">
        <v>16</v>
      </c>
      <c r="G2994" s="3" t="s">
        <v>31</v>
      </c>
      <c r="H2994" s="14">
        <v>6.0</v>
      </c>
      <c r="I2994" s="14">
        <v>1.6</v>
      </c>
      <c r="J2994" s="3">
        <f t="shared" si="47"/>
        <v>7.6</v>
      </c>
    </row>
    <row r="2995" ht="15.75" customHeight="1">
      <c r="A2995" s="3">
        <f t="shared" si="46"/>
        <v>2994</v>
      </c>
      <c r="B2995" s="14">
        <v>2014.0</v>
      </c>
      <c r="C2995" s="14">
        <v>7.0</v>
      </c>
      <c r="D2995" s="14">
        <v>2.0</v>
      </c>
      <c r="E2995" s="14">
        <v>7.0</v>
      </c>
      <c r="F2995" s="14" t="s">
        <v>16</v>
      </c>
      <c r="G2995" s="3" t="s">
        <v>120</v>
      </c>
      <c r="H2995" s="14">
        <v>6.67</v>
      </c>
      <c r="I2995" s="14">
        <v>1.1</v>
      </c>
      <c r="J2995" s="3">
        <f t="shared" si="47"/>
        <v>7.77</v>
      </c>
    </row>
    <row r="2996" ht="15.75" customHeight="1">
      <c r="A2996" s="3">
        <f t="shared" si="46"/>
        <v>2995</v>
      </c>
      <c r="B2996" s="14">
        <v>2014.0</v>
      </c>
      <c r="C2996" s="14">
        <v>7.0</v>
      </c>
      <c r="D2996" s="14">
        <v>2.0</v>
      </c>
      <c r="E2996" s="14">
        <v>8.0</v>
      </c>
      <c r="F2996" s="14" t="s">
        <v>16</v>
      </c>
      <c r="G2996" s="3" t="s">
        <v>123</v>
      </c>
      <c r="H2996" s="14">
        <v>8.87</v>
      </c>
      <c r="I2996" s="14">
        <v>8.17</v>
      </c>
      <c r="J2996" s="3">
        <f t="shared" si="47"/>
        <v>17.04</v>
      </c>
    </row>
    <row r="2997" ht="15.75" customHeight="1">
      <c r="A2997" s="3">
        <f t="shared" si="46"/>
        <v>2996</v>
      </c>
      <c r="B2997" s="14">
        <v>2014.0</v>
      </c>
      <c r="C2997" s="14">
        <v>7.0</v>
      </c>
      <c r="D2997" s="14">
        <v>2.0</v>
      </c>
      <c r="E2997" s="14">
        <v>8.0</v>
      </c>
      <c r="F2997" s="14" t="s">
        <v>16</v>
      </c>
      <c r="G2997" s="3" t="s">
        <v>107</v>
      </c>
      <c r="H2997" s="14">
        <v>9.23</v>
      </c>
      <c r="I2997" s="14">
        <v>8.23</v>
      </c>
      <c r="J2997" s="3">
        <f t="shared" si="47"/>
        <v>17.46</v>
      </c>
    </row>
    <row r="2998" ht="15.75" customHeight="1">
      <c r="A2998" s="3">
        <f t="shared" si="46"/>
        <v>2997</v>
      </c>
      <c r="B2998" s="14">
        <v>2014.0</v>
      </c>
      <c r="C2998" s="14">
        <v>7.0</v>
      </c>
      <c r="D2998" s="14">
        <v>2.0</v>
      </c>
      <c r="E2998" s="14">
        <v>9.0</v>
      </c>
      <c r="F2998" s="14" t="s">
        <v>16</v>
      </c>
      <c r="G2998" s="3" t="s">
        <v>125</v>
      </c>
      <c r="H2998" s="14">
        <v>10.0</v>
      </c>
      <c r="I2998" s="14">
        <v>0.0</v>
      </c>
      <c r="J2998" s="3">
        <f t="shared" si="47"/>
        <v>10</v>
      </c>
    </row>
    <row r="2999" ht="15.75" customHeight="1">
      <c r="A2999" s="3">
        <f t="shared" si="46"/>
        <v>2998</v>
      </c>
      <c r="B2999" s="14">
        <v>2014.0</v>
      </c>
      <c r="C2999" s="14">
        <v>7.0</v>
      </c>
      <c r="D2999" s="14">
        <v>2.0</v>
      </c>
      <c r="E2999" s="14">
        <v>9.0</v>
      </c>
      <c r="F2999" s="14" t="s">
        <v>16</v>
      </c>
      <c r="G2999" s="3" t="s">
        <v>122</v>
      </c>
      <c r="H2999" s="14">
        <v>0.0</v>
      </c>
      <c r="I2999" s="14">
        <v>0.0</v>
      </c>
      <c r="J2999" s="3">
        <f t="shared" si="47"/>
        <v>0</v>
      </c>
    </row>
    <row r="3000" ht="15.75" customHeight="1">
      <c r="A3000" s="3">
        <f t="shared" si="46"/>
        <v>2999</v>
      </c>
      <c r="B3000" s="14">
        <v>2014.0</v>
      </c>
      <c r="C3000" s="14">
        <v>7.0</v>
      </c>
      <c r="D3000" s="14">
        <v>2.0</v>
      </c>
      <c r="E3000" s="14">
        <v>10.0</v>
      </c>
      <c r="F3000" s="14" t="s">
        <v>16</v>
      </c>
      <c r="G3000" s="3" t="s">
        <v>55</v>
      </c>
      <c r="H3000" s="14">
        <v>5.83</v>
      </c>
      <c r="I3000" s="14">
        <v>2.77</v>
      </c>
      <c r="J3000" s="3">
        <f t="shared" si="47"/>
        <v>8.6</v>
      </c>
    </row>
    <row r="3001" ht="15.75" customHeight="1">
      <c r="A3001" s="3">
        <f t="shared" si="46"/>
        <v>3000</v>
      </c>
      <c r="B3001" s="14">
        <v>2014.0</v>
      </c>
      <c r="C3001" s="14">
        <v>7.0</v>
      </c>
      <c r="D3001" s="14">
        <v>2.0</v>
      </c>
      <c r="E3001" s="14">
        <v>10.0</v>
      </c>
      <c r="F3001" s="14" t="s">
        <v>16</v>
      </c>
      <c r="G3001" s="3" t="s">
        <v>124</v>
      </c>
      <c r="H3001" s="14">
        <v>5.17</v>
      </c>
      <c r="I3001" s="14">
        <v>5.0</v>
      </c>
      <c r="J3001" s="3">
        <f t="shared" si="47"/>
        <v>10.17</v>
      </c>
    </row>
    <row r="3002" ht="15.75" customHeight="1">
      <c r="A3002" s="3">
        <f t="shared" si="46"/>
        <v>3001</v>
      </c>
      <c r="B3002" s="14">
        <v>2014.0</v>
      </c>
      <c r="C3002" s="14">
        <v>7.0</v>
      </c>
      <c r="D3002" s="14">
        <v>2.0</v>
      </c>
      <c r="E3002" s="14">
        <v>11.0</v>
      </c>
      <c r="F3002" s="14" t="s">
        <v>16</v>
      </c>
      <c r="G3002" s="3" t="s">
        <v>38</v>
      </c>
      <c r="H3002" s="14">
        <v>9.97</v>
      </c>
      <c r="I3002" s="14">
        <v>5.83</v>
      </c>
      <c r="J3002" s="3">
        <f t="shared" si="47"/>
        <v>15.8</v>
      </c>
    </row>
    <row r="3003" ht="15.75" customHeight="1">
      <c r="A3003" s="3">
        <f t="shared" si="46"/>
        <v>3002</v>
      </c>
      <c r="B3003" s="14">
        <v>2014.0</v>
      </c>
      <c r="C3003" s="14">
        <v>7.0</v>
      </c>
      <c r="D3003" s="14">
        <v>2.0</v>
      </c>
      <c r="E3003" s="14">
        <v>11.0</v>
      </c>
      <c r="F3003" s="14" t="s">
        <v>16</v>
      </c>
      <c r="G3003" s="3" t="s">
        <v>76</v>
      </c>
      <c r="H3003" s="14">
        <v>1.3</v>
      </c>
      <c r="I3003" s="14">
        <v>0.7</v>
      </c>
      <c r="J3003" s="3">
        <f t="shared" si="47"/>
        <v>2</v>
      </c>
    </row>
    <row r="3004" ht="15.75" customHeight="1">
      <c r="A3004" s="3">
        <f t="shared" si="46"/>
        <v>3003</v>
      </c>
      <c r="B3004" s="14">
        <v>2014.0</v>
      </c>
      <c r="C3004" s="14">
        <v>7.0</v>
      </c>
      <c r="D3004" s="14">
        <v>2.0</v>
      </c>
      <c r="E3004" s="14">
        <v>12.0</v>
      </c>
      <c r="F3004" s="14" t="s">
        <v>16</v>
      </c>
      <c r="G3004" s="3" t="s">
        <v>129</v>
      </c>
      <c r="H3004" s="14">
        <v>7.1</v>
      </c>
      <c r="I3004" s="14">
        <v>6.17</v>
      </c>
      <c r="J3004" s="3">
        <f t="shared" si="47"/>
        <v>13.27</v>
      </c>
    </row>
    <row r="3005" ht="15.75" customHeight="1">
      <c r="A3005" s="3">
        <f t="shared" si="46"/>
        <v>3004</v>
      </c>
      <c r="B3005" s="14">
        <v>2014.0</v>
      </c>
      <c r="C3005" s="14">
        <v>7.0</v>
      </c>
      <c r="D3005" s="14">
        <v>2.0</v>
      </c>
      <c r="E3005" s="14">
        <v>12.0</v>
      </c>
      <c r="F3005" s="14" t="s">
        <v>16</v>
      </c>
      <c r="G3005" s="3" t="s">
        <v>29</v>
      </c>
      <c r="H3005" s="14">
        <v>6.93</v>
      </c>
      <c r="I3005" s="14">
        <v>1.9</v>
      </c>
      <c r="J3005" s="3">
        <f t="shared" si="47"/>
        <v>8.83</v>
      </c>
    </row>
    <row r="3006" ht="15.75" customHeight="1">
      <c r="A3006" s="3">
        <f t="shared" si="46"/>
        <v>3005</v>
      </c>
      <c r="B3006" s="14">
        <v>2014.0</v>
      </c>
      <c r="C3006" s="14">
        <v>7.0</v>
      </c>
      <c r="D3006" s="14">
        <v>3.0</v>
      </c>
      <c r="E3006" s="14">
        <v>1.0</v>
      </c>
      <c r="F3006" s="14" t="s">
        <v>16</v>
      </c>
      <c r="G3006" s="3" t="s">
        <v>62</v>
      </c>
      <c r="H3006" s="14">
        <v>7.4</v>
      </c>
      <c r="I3006" s="14">
        <v>6.17</v>
      </c>
      <c r="J3006" s="3">
        <f t="shared" si="47"/>
        <v>13.57</v>
      </c>
    </row>
    <row r="3007" ht="15.75" customHeight="1">
      <c r="A3007" s="3">
        <f t="shared" si="46"/>
        <v>3006</v>
      </c>
      <c r="B3007" s="14">
        <v>2014.0</v>
      </c>
      <c r="C3007" s="14">
        <v>7.0</v>
      </c>
      <c r="D3007" s="14">
        <v>3.0</v>
      </c>
      <c r="E3007" s="14">
        <v>1.0</v>
      </c>
      <c r="F3007" s="14" t="s">
        <v>16</v>
      </c>
      <c r="G3007" s="3" t="s">
        <v>120</v>
      </c>
      <c r="H3007" s="14">
        <v>9.67</v>
      </c>
      <c r="I3007" s="14">
        <v>9.0</v>
      </c>
      <c r="J3007" s="3">
        <f t="shared" si="47"/>
        <v>18.67</v>
      </c>
    </row>
    <row r="3008" ht="15.75" customHeight="1">
      <c r="A3008" s="3">
        <f t="shared" si="46"/>
        <v>3007</v>
      </c>
      <c r="B3008" s="14">
        <v>2014.0</v>
      </c>
      <c r="C3008" s="14">
        <v>7.0</v>
      </c>
      <c r="D3008" s="14">
        <v>3.0</v>
      </c>
      <c r="E3008" s="14">
        <v>2.0</v>
      </c>
      <c r="F3008" s="14" t="s">
        <v>16</v>
      </c>
      <c r="G3008" s="3" t="s">
        <v>45</v>
      </c>
      <c r="H3008" s="14">
        <v>7.73</v>
      </c>
      <c r="I3008" s="14">
        <v>7.0</v>
      </c>
      <c r="J3008" s="3">
        <f t="shared" si="47"/>
        <v>14.73</v>
      </c>
    </row>
    <row r="3009" ht="15.75" customHeight="1">
      <c r="A3009" s="3">
        <f t="shared" si="46"/>
        <v>3008</v>
      </c>
      <c r="B3009" s="14">
        <v>2014.0</v>
      </c>
      <c r="C3009" s="14">
        <v>7.0</v>
      </c>
      <c r="D3009" s="14">
        <v>3.0</v>
      </c>
      <c r="E3009" s="14">
        <v>2.0</v>
      </c>
      <c r="F3009" s="14" t="s">
        <v>16</v>
      </c>
      <c r="G3009" s="3" t="s">
        <v>47</v>
      </c>
      <c r="H3009" s="14">
        <v>9.0</v>
      </c>
      <c r="I3009" s="14">
        <v>7.33</v>
      </c>
      <c r="J3009" s="3">
        <f t="shared" si="47"/>
        <v>16.33</v>
      </c>
    </row>
    <row r="3010" ht="15.75" customHeight="1">
      <c r="A3010" s="3">
        <f t="shared" si="46"/>
        <v>3009</v>
      </c>
      <c r="B3010" s="14">
        <v>2014.0</v>
      </c>
      <c r="C3010" s="14">
        <v>7.0</v>
      </c>
      <c r="D3010" s="14">
        <v>3.0</v>
      </c>
      <c r="E3010" s="14">
        <v>3.0</v>
      </c>
      <c r="F3010" s="14" t="s">
        <v>16</v>
      </c>
      <c r="G3010" s="3" t="s">
        <v>27</v>
      </c>
      <c r="H3010" s="14">
        <v>8.27</v>
      </c>
      <c r="I3010" s="14">
        <v>6.63</v>
      </c>
      <c r="J3010" s="3">
        <f t="shared" si="47"/>
        <v>14.9</v>
      </c>
    </row>
    <row r="3011" ht="15.75" customHeight="1">
      <c r="A3011" s="3">
        <f t="shared" si="46"/>
        <v>3010</v>
      </c>
      <c r="B3011" s="14">
        <v>2014.0</v>
      </c>
      <c r="C3011" s="14">
        <v>7.0</v>
      </c>
      <c r="D3011" s="14">
        <v>3.0</v>
      </c>
      <c r="E3011" s="14">
        <v>3.0</v>
      </c>
      <c r="F3011" s="14" t="s">
        <v>16</v>
      </c>
      <c r="G3011" s="3" t="s">
        <v>107</v>
      </c>
      <c r="H3011" s="14">
        <v>8.27</v>
      </c>
      <c r="I3011" s="14">
        <v>6.5</v>
      </c>
      <c r="J3011" s="3">
        <f t="shared" si="47"/>
        <v>14.77</v>
      </c>
    </row>
    <row r="3012" ht="15.75" customHeight="1">
      <c r="A3012" s="3">
        <f t="shared" si="46"/>
        <v>3011</v>
      </c>
      <c r="B3012" s="14">
        <v>2014.0</v>
      </c>
      <c r="C3012" s="14">
        <v>7.0</v>
      </c>
      <c r="D3012" s="14">
        <v>3.0</v>
      </c>
      <c r="E3012" s="14">
        <v>4.0</v>
      </c>
      <c r="F3012" s="14" t="s">
        <v>16</v>
      </c>
      <c r="G3012" s="3" t="s">
        <v>32</v>
      </c>
      <c r="H3012" s="14">
        <v>9.23</v>
      </c>
      <c r="I3012" s="14">
        <v>8.87</v>
      </c>
      <c r="J3012" s="3">
        <f t="shared" si="47"/>
        <v>18.1</v>
      </c>
    </row>
    <row r="3013" ht="15.75" customHeight="1">
      <c r="A3013" s="3">
        <f t="shared" si="46"/>
        <v>3012</v>
      </c>
      <c r="B3013" s="14">
        <v>2014.0</v>
      </c>
      <c r="C3013" s="14">
        <v>7.0</v>
      </c>
      <c r="D3013" s="14">
        <v>3.0</v>
      </c>
      <c r="E3013" s="14">
        <v>4.0</v>
      </c>
      <c r="F3013" s="14" t="s">
        <v>16</v>
      </c>
      <c r="G3013" s="3" t="s">
        <v>124</v>
      </c>
      <c r="H3013" s="14">
        <v>5.67</v>
      </c>
      <c r="I3013" s="14">
        <v>4.5</v>
      </c>
      <c r="J3013" s="3">
        <f t="shared" si="47"/>
        <v>10.17</v>
      </c>
    </row>
    <row r="3014" ht="15.75" customHeight="1">
      <c r="A3014" s="3">
        <f t="shared" si="46"/>
        <v>3013</v>
      </c>
      <c r="B3014" s="14">
        <v>2014.0</v>
      </c>
      <c r="C3014" s="14">
        <v>7.0</v>
      </c>
      <c r="D3014" s="14">
        <v>3.0</v>
      </c>
      <c r="E3014" s="14">
        <v>5.0</v>
      </c>
      <c r="F3014" s="14" t="s">
        <v>16</v>
      </c>
      <c r="G3014" s="3" t="s">
        <v>59</v>
      </c>
      <c r="H3014" s="14">
        <v>8.17</v>
      </c>
      <c r="I3014" s="14">
        <v>4.93</v>
      </c>
      <c r="J3014" s="3">
        <f t="shared" si="47"/>
        <v>13.1</v>
      </c>
    </row>
    <row r="3015" ht="15.75" customHeight="1">
      <c r="A3015" s="3">
        <f t="shared" si="46"/>
        <v>3014</v>
      </c>
      <c r="B3015" s="14">
        <v>2014.0</v>
      </c>
      <c r="C3015" s="14">
        <v>7.0</v>
      </c>
      <c r="D3015" s="14">
        <v>3.0</v>
      </c>
      <c r="E3015" s="14">
        <v>5.0</v>
      </c>
      <c r="F3015" s="14" t="s">
        <v>16</v>
      </c>
      <c r="G3015" s="3" t="s">
        <v>125</v>
      </c>
      <c r="H3015" s="14">
        <v>6.67</v>
      </c>
      <c r="I3015" s="14">
        <v>6.43</v>
      </c>
      <c r="J3015" s="3">
        <f t="shared" si="47"/>
        <v>13.1</v>
      </c>
    </row>
    <row r="3016" ht="15.75" customHeight="1">
      <c r="A3016" s="3">
        <f t="shared" si="46"/>
        <v>3015</v>
      </c>
      <c r="B3016" s="14">
        <v>2014.0</v>
      </c>
      <c r="C3016" s="14">
        <v>7.0</v>
      </c>
      <c r="D3016" s="14">
        <v>3.0</v>
      </c>
      <c r="E3016" s="14">
        <v>6.0</v>
      </c>
      <c r="F3016" s="14" t="s">
        <v>16</v>
      </c>
      <c r="G3016" s="3" t="s">
        <v>30</v>
      </c>
      <c r="H3016" s="14">
        <v>9.77</v>
      </c>
      <c r="I3016" s="14">
        <v>9.03</v>
      </c>
      <c r="J3016" s="3">
        <f t="shared" si="47"/>
        <v>18.8</v>
      </c>
    </row>
    <row r="3017" ht="15.75" customHeight="1">
      <c r="A3017" s="3">
        <f t="shared" si="46"/>
        <v>3016</v>
      </c>
      <c r="B3017" s="14">
        <v>2014.0</v>
      </c>
      <c r="C3017" s="14">
        <v>7.0</v>
      </c>
      <c r="D3017" s="14">
        <v>3.0</v>
      </c>
      <c r="E3017" s="14">
        <v>6.0</v>
      </c>
      <c r="F3017" s="14" t="s">
        <v>16</v>
      </c>
      <c r="G3017" s="3" t="s">
        <v>132</v>
      </c>
      <c r="H3017" s="14">
        <v>9.27</v>
      </c>
      <c r="I3017" s="14">
        <v>4.17</v>
      </c>
      <c r="J3017" s="3">
        <f t="shared" si="47"/>
        <v>13.44</v>
      </c>
    </row>
    <row r="3018" ht="15.75" customHeight="1">
      <c r="A3018" s="3">
        <f t="shared" si="46"/>
        <v>3017</v>
      </c>
      <c r="B3018" s="14">
        <v>2014.0</v>
      </c>
      <c r="C3018" s="14">
        <v>7.0</v>
      </c>
      <c r="D3018" s="14">
        <v>3.0</v>
      </c>
      <c r="E3018" s="14">
        <v>7.0</v>
      </c>
      <c r="F3018" s="14" t="s">
        <v>16</v>
      </c>
      <c r="G3018" s="3" t="s">
        <v>39</v>
      </c>
      <c r="H3018" s="14">
        <v>7.17</v>
      </c>
      <c r="I3018" s="14">
        <v>6.0</v>
      </c>
      <c r="J3018" s="3">
        <f t="shared" si="47"/>
        <v>13.17</v>
      </c>
    </row>
    <row r="3019" ht="15.75" customHeight="1">
      <c r="A3019" s="3">
        <f t="shared" si="46"/>
        <v>3018</v>
      </c>
      <c r="B3019" s="14">
        <v>2014.0</v>
      </c>
      <c r="C3019" s="14">
        <v>7.0</v>
      </c>
      <c r="D3019" s="14">
        <v>3.0</v>
      </c>
      <c r="E3019" s="14">
        <v>7.0</v>
      </c>
      <c r="F3019" s="14" t="s">
        <v>16</v>
      </c>
      <c r="G3019" s="3" t="s">
        <v>91</v>
      </c>
      <c r="H3019" s="14">
        <v>8.73</v>
      </c>
      <c r="I3019" s="14">
        <v>7.5</v>
      </c>
      <c r="J3019" s="3">
        <f t="shared" si="47"/>
        <v>16.23</v>
      </c>
    </row>
    <row r="3020" ht="15.75" customHeight="1">
      <c r="A3020" s="3">
        <f t="shared" si="46"/>
        <v>3019</v>
      </c>
      <c r="B3020" s="14">
        <v>2014.0</v>
      </c>
      <c r="C3020" s="14">
        <v>7.0</v>
      </c>
      <c r="D3020" s="14">
        <v>3.0</v>
      </c>
      <c r="E3020" s="14">
        <v>8.0</v>
      </c>
      <c r="F3020" s="14" t="s">
        <v>16</v>
      </c>
      <c r="G3020" s="3" t="s">
        <v>26</v>
      </c>
      <c r="H3020" s="14">
        <v>10.0</v>
      </c>
      <c r="I3020" s="14">
        <v>9.93</v>
      </c>
      <c r="J3020" s="3">
        <f t="shared" si="47"/>
        <v>19.93</v>
      </c>
    </row>
    <row r="3021" ht="15.75" customHeight="1">
      <c r="A3021" s="3">
        <f t="shared" si="46"/>
        <v>3020</v>
      </c>
      <c r="B3021" s="14">
        <v>2014.0</v>
      </c>
      <c r="C3021" s="14">
        <v>7.0</v>
      </c>
      <c r="D3021" s="14">
        <v>3.0</v>
      </c>
      <c r="E3021" s="14">
        <v>8.0</v>
      </c>
      <c r="F3021" s="14" t="s">
        <v>16</v>
      </c>
      <c r="G3021" s="3" t="s">
        <v>38</v>
      </c>
      <c r="H3021" s="14">
        <v>9.37</v>
      </c>
      <c r="I3021" s="14">
        <v>9.13</v>
      </c>
      <c r="J3021" s="3">
        <f t="shared" si="47"/>
        <v>18.5</v>
      </c>
    </row>
    <row r="3022" ht="15.75" customHeight="1">
      <c r="A3022" s="3">
        <f t="shared" si="46"/>
        <v>3021</v>
      </c>
      <c r="B3022" s="14">
        <v>2014.0</v>
      </c>
      <c r="C3022" s="14">
        <v>7.0</v>
      </c>
      <c r="D3022" s="14">
        <v>3.0</v>
      </c>
      <c r="E3022" s="14">
        <v>9.0</v>
      </c>
      <c r="F3022" s="14" t="s">
        <v>16</v>
      </c>
      <c r="G3022" s="3" t="s">
        <v>56</v>
      </c>
      <c r="H3022" s="14">
        <v>9.13</v>
      </c>
      <c r="I3022" s="14">
        <v>8.93</v>
      </c>
      <c r="J3022" s="3">
        <f t="shared" si="47"/>
        <v>18.06</v>
      </c>
    </row>
    <row r="3023" ht="15.75" customHeight="1">
      <c r="A3023" s="3">
        <f t="shared" si="46"/>
        <v>3022</v>
      </c>
      <c r="B3023" s="14">
        <v>2014.0</v>
      </c>
      <c r="C3023" s="14">
        <v>7.0</v>
      </c>
      <c r="D3023" s="14">
        <v>3.0</v>
      </c>
      <c r="E3023" s="14">
        <v>9.0</v>
      </c>
      <c r="F3023" s="14" t="s">
        <v>16</v>
      </c>
      <c r="G3023" s="3" t="s">
        <v>60</v>
      </c>
      <c r="H3023" s="14">
        <v>10.0</v>
      </c>
      <c r="I3023" s="14">
        <v>8.17</v>
      </c>
      <c r="J3023" s="3">
        <f t="shared" si="47"/>
        <v>18.17</v>
      </c>
    </row>
    <row r="3024" ht="15.75" customHeight="1">
      <c r="A3024" s="3">
        <f t="shared" si="46"/>
        <v>3023</v>
      </c>
      <c r="B3024" s="14">
        <v>2014.0</v>
      </c>
      <c r="C3024" s="14">
        <v>7.0</v>
      </c>
      <c r="D3024" s="14">
        <v>3.0</v>
      </c>
      <c r="E3024" s="14">
        <v>10.0</v>
      </c>
      <c r="F3024" s="14" t="s">
        <v>16</v>
      </c>
      <c r="G3024" s="3" t="s">
        <v>37</v>
      </c>
      <c r="H3024" s="14">
        <v>9.87</v>
      </c>
      <c r="I3024" s="14">
        <v>9.57</v>
      </c>
      <c r="J3024" s="3">
        <f t="shared" si="47"/>
        <v>19.44</v>
      </c>
    </row>
    <row r="3025" ht="15.75" customHeight="1">
      <c r="A3025" s="3">
        <f t="shared" si="46"/>
        <v>3024</v>
      </c>
      <c r="B3025" s="14">
        <v>2014.0</v>
      </c>
      <c r="C3025" s="14">
        <v>7.0</v>
      </c>
      <c r="D3025" s="14">
        <v>3.0</v>
      </c>
      <c r="E3025" s="14">
        <v>10.0</v>
      </c>
      <c r="F3025" s="14" t="s">
        <v>16</v>
      </c>
      <c r="G3025" s="3" t="s">
        <v>35</v>
      </c>
      <c r="H3025" s="14">
        <v>4.33</v>
      </c>
      <c r="I3025" s="14">
        <v>2.1</v>
      </c>
      <c r="J3025" s="3">
        <f t="shared" si="47"/>
        <v>6.43</v>
      </c>
    </row>
    <row r="3026" ht="15.75" customHeight="1">
      <c r="A3026" s="3">
        <f t="shared" si="46"/>
        <v>3025</v>
      </c>
      <c r="B3026" s="14">
        <v>2014.0</v>
      </c>
      <c r="C3026" s="14">
        <v>7.0</v>
      </c>
      <c r="D3026" s="14">
        <v>3.0</v>
      </c>
      <c r="E3026" s="14">
        <v>11.0</v>
      </c>
      <c r="F3026" s="14" t="s">
        <v>16</v>
      </c>
      <c r="G3026" s="3" t="s">
        <v>57</v>
      </c>
      <c r="H3026" s="14">
        <v>9.43</v>
      </c>
      <c r="I3026" s="14">
        <v>8.93</v>
      </c>
      <c r="J3026" s="3">
        <f t="shared" si="47"/>
        <v>18.36</v>
      </c>
    </row>
    <row r="3027" ht="15.75" customHeight="1">
      <c r="A3027" s="3">
        <f t="shared" si="46"/>
        <v>3026</v>
      </c>
      <c r="B3027" s="14">
        <v>2014.0</v>
      </c>
      <c r="C3027" s="14">
        <v>7.0</v>
      </c>
      <c r="D3027" s="14">
        <v>3.0</v>
      </c>
      <c r="E3027" s="14">
        <v>11.0</v>
      </c>
      <c r="F3027" s="14" t="s">
        <v>16</v>
      </c>
      <c r="G3027" s="3" t="s">
        <v>129</v>
      </c>
      <c r="H3027" s="14">
        <v>3.93</v>
      </c>
      <c r="I3027" s="14">
        <v>1.43</v>
      </c>
      <c r="J3027" s="3">
        <f t="shared" si="47"/>
        <v>5.36</v>
      </c>
    </row>
    <row r="3028" ht="15.75" customHeight="1">
      <c r="A3028" s="3">
        <f t="shared" si="46"/>
        <v>3027</v>
      </c>
      <c r="B3028" s="14">
        <v>2014.0</v>
      </c>
      <c r="C3028" s="14">
        <v>7.0</v>
      </c>
      <c r="D3028" s="14">
        <v>3.0</v>
      </c>
      <c r="E3028" s="14">
        <v>12.0</v>
      </c>
      <c r="F3028" s="14" t="s">
        <v>16</v>
      </c>
      <c r="G3028" s="3" t="s">
        <v>41</v>
      </c>
      <c r="H3028" s="14">
        <v>5.67</v>
      </c>
      <c r="I3028" s="14">
        <v>0.27</v>
      </c>
      <c r="J3028" s="3">
        <f t="shared" si="47"/>
        <v>5.94</v>
      </c>
    </row>
    <row r="3029" ht="15.75" customHeight="1">
      <c r="A3029" s="3">
        <f t="shared" si="46"/>
        <v>3028</v>
      </c>
      <c r="B3029" s="14">
        <v>2014.0</v>
      </c>
      <c r="C3029" s="14">
        <v>7.0</v>
      </c>
      <c r="D3029" s="14">
        <v>3.0</v>
      </c>
      <c r="E3029" s="14">
        <v>12.0</v>
      </c>
      <c r="F3029" s="14" t="s">
        <v>16</v>
      </c>
      <c r="G3029" s="3" t="s">
        <v>126</v>
      </c>
      <c r="H3029" s="14">
        <v>9.5</v>
      </c>
      <c r="I3029" s="14">
        <v>7.0</v>
      </c>
      <c r="J3029" s="3">
        <f t="shared" si="47"/>
        <v>16.5</v>
      </c>
    </row>
    <row r="3030" ht="15.75" customHeight="1">
      <c r="A3030" s="3">
        <f t="shared" si="46"/>
        <v>3029</v>
      </c>
      <c r="B3030" s="14">
        <v>2014.0</v>
      </c>
      <c r="C3030" s="14">
        <v>7.0</v>
      </c>
      <c r="D3030" s="14">
        <v>4.0</v>
      </c>
      <c r="E3030" s="14">
        <v>1.0</v>
      </c>
      <c r="F3030" s="14" t="s">
        <v>16</v>
      </c>
      <c r="G3030" s="3" t="s">
        <v>120</v>
      </c>
      <c r="H3030" s="14">
        <v>3.67</v>
      </c>
      <c r="I3030" s="14">
        <v>3.17</v>
      </c>
      <c r="J3030" s="3">
        <f t="shared" si="47"/>
        <v>6.84</v>
      </c>
    </row>
    <row r="3031" ht="15.75" customHeight="1">
      <c r="A3031" s="3">
        <f t="shared" si="46"/>
        <v>3030</v>
      </c>
      <c r="B3031" s="14">
        <v>2014.0</v>
      </c>
      <c r="C3031" s="14">
        <v>7.0</v>
      </c>
      <c r="D3031" s="14">
        <v>4.0</v>
      </c>
      <c r="E3031" s="14">
        <v>1.0</v>
      </c>
      <c r="F3031" s="14" t="s">
        <v>16</v>
      </c>
      <c r="G3031" s="3" t="s">
        <v>47</v>
      </c>
      <c r="H3031" s="14">
        <v>8.83</v>
      </c>
      <c r="I3031" s="14">
        <v>5.83</v>
      </c>
      <c r="J3031" s="3">
        <f t="shared" si="47"/>
        <v>14.66</v>
      </c>
    </row>
    <row r="3032" ht="15.75" customHeight="1">
      <c r="A3032" s="3">
        <f t="shared" si="46"/>
        <v>3031</v>
      </c>
      <c r="B3032" s="14">
        <v>2014.0</v>
      </c>
      <c r="C3032" s="14">
        <v>7.0</v>
      </c>
      <c r="D3032" s="14">
        <v>4.0</v>
      </c>
      <c r="E3032" s="14">
        <v>1.0</v>
      </c>
      <c r="F3032" s="14" t="s">
        <v>16</v>
      </c>
      <c r="G3032" s="3" t="s">
        <v>27</v>
      </c>
      <c r="H3032" s="14">
        <v>7.5</v>
      </c>
      <c r="I3032" s="14">
        <v>6.23</v>
      </c>
      <c r="J3032" s="3">
        <f t="shared" si="47"/>
        <v>13.73</v>
      </c>
    </row>
    <row r="3033" ht="15.75" customHeight="1">
      <c r="A3033" s="3">
        <f t="shared" si="46"/>
        <v>3032</v>
      </c>
      <c r="B3033" s="14">
        <v>2014.0</v>
      </c>
      <c r="C3033" s="14">
        <v>7.0</v>
      </c>
      <c r="D3033" s="14">
        <v>4.0</v>
      </c>
      <c r="E3033" s="14">
        <v>2.0</v>
      </c>
      <c r="F3033" s="14" t="s">
        <v>16</v>
      </c>
      <c r="G3033" s="3" t="s">
        <v>32</v>
      </c>
      <c r="H3033" s="14">
        <v>8.0</v>
      </c>
      <c r="I3033" s="14">
        <v>7.57</v>
      </c>
      <c r="J3033" s="3">
        <f t="shared" si="47"/>
        <v>15.57</v>
      </c>
    </row>
    <row r="3034" ht="15.75" customHeight="1">
      <c r="A3034" s="3">
        <f t="shared" si="46"/>
        <v>3033</v>
      </c>
      <c r="B3034" s="14">
        <v>2014.0</v>
      </c>
      <c r="C3034" s="14">
        <v>7.0</v>
      </c>
      <c r="D3034" s="14">
        <v>4.0</v>
      </c>
      <c r="E3034" s="14">
        <v>2.0</v>
      </c>
      <c r="F3034" s="14" t="s">
        <v>16</v>
      </c>
      <c r="G3034" s="3" t="s">
        <v>59</v>
      </c>
      <c r="H3034" s="14">
        <v>4.5</v>
      </c>
      <c r="I3034" s="14">
        <v>4.5</v>
      </c>
      <c r="J3034" s="3">
        <f t="shared" si="47"/>
        <v>9</v>
      </c>
    </row>
    <row r="3035" ht="15.75" customHeight="1">
      <c r="A3035" s="3">
        <f t="shared" si="46"/>
        <v>3034</v>
      </c>
      <c r="B3035" s="14">
        <v>2014.0</v>
      </c>
      <c r="C3035" s="14">
        <v>7.0</v>
      </c>
      <c r="D3035" s="14">
        <v>4.0</v>
      </c>
      <c r="E3035" s="14">
        <v>2.0</v>
      </c>
      <c r="F3035" s="14" t="s">
        <v>16</v>
      </c>
      <c r="G3035" s="3" t="s">
        <v>30</v>
      </c>
      <c r="H3035" s="14">
        <v>8.87</v>
      </c>
      <c r="I3035" s="14">
        <v>8.5</v>
      </c>
      <c r="J3035" s="3">
        <f t="shared" si="47"/>
        <v>17.37</v>
      </c>
    </row>
    <row r="3036" ht="15.75" customHeight="1">
      <c r="A3036" s="3">
        <f t="shared" si="46"/>
        <v>3035</v>
      </c>
      <c r="B3036" s="14">
        <v>2014.0</v>
      </c>
      <c r="C3036" s="14">
        <v>7.0</v>
      </c>
      <c r="D3036" s="14">
        <v>4.0</v>
      </c>
      <c r="E3036" s="14">
        <v>3.0</v>
      </c>
      <c r="F3036" s="14" t="s">
        <v>16</v>
      </c>
      <c r="G3036" s="3" t="s">
        <v>91</v>
      </c>
      <c r="H3036" s="14">
        <v>6.5</v>
      </c>
      <c r="I3036" s="14">
        <v>2.17</v>
      </c>
      <c r="J3036" s="3">
        <f t="shared" si="47"/>
        <v>8.67</v>
      </c>
    </row>
    <row r="3037" ht="15.75" customHeight="1">
      <c r="A3037" s="3">
        <f t="shared" si="46"/>
        <v>3036</v>
      </c>
      <c r="B3037" s="14">
        <v>2014.0</v>
      </c>
      <c r="C3037" s="14">
        <v>7.0</v>
      </c>
      <c r="D3037" s="14">
        <v>4.0</v>
      </c>
      <c r="E3037" s="14">
        <v>3.0</v>
      </c>
      <c r="F3037" s="14" t="s">
        <v>16</v>
      </c>
      <c r="G3037" s="3" t="s">
        <v>26</v>
      </c>
      <c r="H3037" s="14">
        <v>9.43</v>
      </c>
      <c r="I3037" s="14">
        <v>8.73</v>
      </c>
      <c r="J3037" s="3">
        <f t="shared" si="47"/>
        <v>18.16</v>
      </c>
    </row>
    <row r="3038" ht="15.75" customHeight="1">
      <c r="A3038" s="3">
        <f t="shared" si="46"/>
        <v>3037</v>
      </c>
      <c r="B3038" s="14">
        <v>2014.0</v>
      </c>
      <c r="C3038" s="14">
        <v>7.0</v>
      </c>
      <c r="D3038" s="14">
        <v>4.0</v>
      </c>
      <c r="E3038" s="14">
        <v>3.0</v>
      </c>
      <c r="F3038" s="14" t="s">
        <v>16</v>
      </c>
      <c r="G3038" s="3" t="s">
        <v>60</v>
      </c>
      <c r="H3038" s="14">
        <v>6.77</v>
      </c>
      <c r="I3038" s="14">
        <v>5.33</v>
      </c>
      <c r="J3038" s="3">
        <f t="shared" si="47"/>
        <v>12.1</v>
      </c>
    </row>
    <row r="3039" ht="15.75" customHeight="1">
      <c r="A3039" s="3">
        <f t="shared" si="46"/>
        <v>3038</v>
      </c>
      <c r="B3039" s="14">
        <v>2014.0</v>
      </c>
      <c r="C3039" s="14">
        <v>7.0</v>
      </c>
      <c r="D3039" s="14">
        <v>4.0</v>
      </c>
      <c r="E3039" s="14">
        <v>4.0</v>
      </c>
      <c r="F3039" s="14" t="s">
        <v>16</v>
      </c>
      <c r="G3039" s="3" t="s">
        <v>37</v>
      </c>
      <c r="H3039" s="14">
        <v>9.77</v>
      </c>
      <c r="I3039" s="14">
        <v>9.67</v>
      </c>
      <c r="J3039" s="3">
        <f t="shared" si="47"/>
        <v>19.44</v>
      </c>
    </row>
    <row r="3040" ht="15.75" customHeight="1">
      <c r="A3040" s="3">
        <f t="shared" si="46"/>
        <v>3039</v>
      </c>
      <c r="B3040" s="14">
        <v>2014.0</v>
      </c>
      <c r="C3040" s="14">
        <v>7.0</v>
      </c>
      <c r="D3040" s="14">
        <v>4.0</v>
      </c>
      <c r="E3040" s="14">
        <v>4.0</v>
      </c>
      <c r="F3040" s="14" t="s">
        <v>16</v>
      </c>
      <c r="G3040" s="3" t="s">
        <v>57</v>
      </c>
      <c r="H3040" s="14">
        <v>8.67</v>
      </c>
      <c r="I3040" s="14">
        <v>8.07</v>
      </c>
      <c r="J3040" s="3">
        <f t="shared" si="47"/>
        <v>16.74</v>
      </c>
    </row>
    <row r="3041" ht="15.75" customHeight="1">
      <c r="A3041" s="3">
        <f t="shared" si="46"/>
        <v>3040</v>
      </c>
      <c r="B3041" s="14">
        <v>2014.0</v>
      </c>
      <c r="C3041" s="14">
        <v>7.0</v>
      </c>
      <c r="D3041" s="14">
        <v>4.0</v>
      </c>
      <c r="E3041" s="14">
        <v>4.0</v>
      </c>
      <c r="F3041" s="14" t="s">
        <v>16</v>
      </c>
      <c r="G3041" s="3" t="s">
        <v>126</v>
      </c>
      <c r="H3041" s="14">
        <v>6.83</v>
      </c>
      <c r="I3041" s="14">
        <v>5.67</v>
      </c>
      <c r="J3041" s="3">
        <f t="shared" si="47"/>
        <v>12.5</v>
      </c>
    </row>
    <row r="3042" ht="15.75" customHeight="1">
      <c r="A3042" s="3">
        <f t="shared" si="46"/>
        <v>3041</v>
      </c>
      <c r="B3042" s="14">
        <v>2014.0</v>
      </c>
      <c r="C3042" s="14">
        <v>7.0</v>
      </c>
      <c r="D3042" s="14">
        <v>5.0</v>
      </c>
      <c r="E3042" s="14">
        <v>1.0</v>
      </c>
      <c r="F3042" s="14" t="s">
        <v>16</v>
      </c>
      <c r="G3042" s="3" t="s">
        <v>27</v>
      </c>
      <c r="H3042" s="14">
        <v>7.83</v>
      </c>
      <c r="I3042" s="14">
        <v>6.83</v>
      </c>
      <c r="J3042" s="3">
        <f t="shared" si="47"/>
        <v>14.66</v>
      </c>
    </row>
    <row r="3043" ht="15.75" customHeight="1">
      <c r="A3043" s="3">
        <f t="shared" si="46"/>
        <v>3042</v>
      </c>
      <c r="B3043" s="14">
        <v>2014.0</v>
      </c>
      <c r="C3043" s="14">
        <v>7.0</v>
      </c>
      <c r="D3043" s="14">
        <v>5.0</v>
      </c>
      <c r="E3043" s="14">
        <v>1.0</v>
      </c>
      <c r="F3043" s="14" t="s">
        <v>16</v>
      </c>
      <c r="G3043" s="3" t="s">
        <v>59</v>
      </c>
      <c r="H3043" s="14">
        <v>7.8</v>
      </c>
      <c r="I3043" s="14">
        <v>7.6</v>
      </c>
      <c r="J3043" s="3">
        <f t="shared" si="47"/>
        <v>15.4</v>
      </c>
    </row>
    <row r="3044" ht="15.75" customHeight="1">
      <c r="A3044" s="3">
        <f t="shared" si="46"/>
        <v>3043</v>
      </c>
      <c r="B3044" s="14">
        <v>2014.0</v>
      </c>
      <c r="C3044" s="14">
        <v>7.0</v>
      </c>
      <c r="D3044" s="14">
        <v>5.0</v>
      </c>
      <c r="E3044" s="14">
        <v>2.0</v>
      </c>
      <c r="F3044" s="14" t="s">
        <v>16</v>
      </c>
      <c r="G3044" s="3" t="s">
        <v>32</v>
      </c>
      <c r="H3044" s="14">
        <v>9.63</v>
      </c>
      <c r="I3044" s="14">
        <v>5.9</v>
      </c>
      <c r="J3044" s="3">
        <f t="shared" si="47"/>
        <v>15.53</v>
      </c>
    </row>
    <row r="3045" ht="15.75" customHeight="1">
      <c r="A3045" s="3">
        <f t="shared" si="46"/>
        <v>3044</v>
      </c>
      <c r="B3045" s="14">
        <v>2014.0</v>
      </c>
      <c r="C3045" s="14">
        <v>7.0</v>
      </c>
      <c r="D3045" s="14">
        <v>5.0</v>
      </c>
      <c r="E3045" s="14">
        <v>2.0</v>
      </c>
      <c r="F3045" s="14" t="s">
        <v>16</v>
      </c>
      <c r="G3045" s="3" t="s">
        <v>120</v>
      </c>
      <c r="H3045" s="14">
        <v>4.33</v>
      </c>
      <c r="I3045" s="14">
        <v>1.83</v>
      </c>
      <c r="J3045" s="3">
        <f t="shared" si="47"/>
        <v>6.16</v>
      </c>
    </row>
    <row r="3046" ht="15.75" customHeight="1">
      <c r="A3046" s="3">
        <f t="shared" si="46"/>
        <v>3045</v>
      </c>
      <c r="B3046" s="14">
        <v>2014.0</v>
      </c>
      <c r="C3046" s="14">
        <v>7.0</v>
      </c>
      <c r="D3046" s="14">
        <v>5.0</v>
      </c>
      <c r="E3046" s="14">
        <v>3.0</v>
      </c>
      <c r="F3046" s="14" t="s">
        <v>16</v>
      </c>
      <c r="G3046" s="3" t="s">
        <v>60</v>
      </c>
      <c r="H3046" s="14">
        <v>8.17</v>
      </c>
      <c r="I3046" s="14">
        <v>6.6</v>
      </c>
      <c r="J3046" s="3">
        <f t="shared" si="47"/>
        <v>14.77</v>
      </c>
    </row>
    <row r="3047" ht="15.75" customHeight="1">
      <c r="A3047" s="3">
        <f t="shared" si="46"/>
        <v>3046</v>
      </c>
      <c r="B3047" s="14">
        <v>2014.0</v>
      </c>
      <c r="C3047" s="14">
        <v>7.0</v>
      </c>
      <c r="D3047" s="14">
        <v>5.0</v>
      </c>
      <c r="E3047" s="14">
        <v>3.0</v>
      </c>
      <c r="F3047" s="14" t="s">
        <v>16</v>
      </c>
      <c r="G3047" s="3" t="s">
        <v>126</v>
      </c>
      <c r="H3047" s="14">
        <v>9.9</v>
      </c>
      <c r="I3047" s="14">
        <v>9.43</v>
      </c>
      <c r="J3047" s="3">
        <f t="shared" si="47"/>
        <v>19.33</v>
      </c>
    </row>
    <row r="3048" ht="15.75" customHeight="1">
      <c r="A3048" s="3">
        <f t="shared" si="46"/>
        <v>3047</v>
      </c>
      <c r="B3048" s="14">
        <v>2014.0</v>
      </c>
      <c r="C3048" s="14">
        <v>7.0</v>
      </c>
      <c r="D3048" s="14">
        <v>5.0</v>
      </c>
      <c r="E3048" s="14">
        <v>4.0</v>
      </c>
      <c r="F3048" s="14" t="s">
        <v>16</v>
      </c>
      <c r="G3048" s="3" t="s">
        <v>57</v>
      </c>
      <c r="H3048" s="14">
        <v>10.0</v>
      </c>
      <c r="I3048" s="14">
        <v>9.87</v>
      </c>
      <c r="J3048" s="3">
        <f t="shared" si="47"/>
        <v>19.87</v>
      </c>
    </row>
    <row r="3049" ht="15.75" customHeight="1">
      <c r="A3049" s="3">
        <f t="shared" si="46"/>
        <v>3048</v>
      </c>
      <c r="B3049" s="14">
        <v>2014.0</v>
      </c>
      <c r="C3049" s="14">
        <v>7.0</v>
      </c>
      <c r="D3049" s="14">
        <v>5.0</v>
      </c>
      <c r="E3049" s="14">
        <v>4.0</v>
      </c>
      <c r="F3049" s="14" t="s">
        <v>16</v>
      </c>
      <c r="G3049" s="3" t="s">
        <v>91</v>
      </c>
      <c r="H3049" s="14">
        <v>7.83</v>
      </c>
      <c r="I3049" s="14">
        <v>5.0</v>
      </c>
      <c r="J3049" s="3">
        <f t="shared" si="47"/>
        <v>12.83</v>
      </c>
    </row>
    <row r="3050" ht="15.75" customHeight="1">
      <c r="A3050" s="3">
        <f t="shared" si="46"/>
        <v>3049</v>
      </c>
      <c r="B3050" s="14">
        <v>2014.0</v>
      </c>
      <c r="C3050" s="14">
        <v>7.0</v>
      </c>
      <c r="D3050" s="14">
        <v>6.0</v>
      </c>
      <c r="E3050" s="14">
        <v>1.0</v>
      </c>
      <c r="F3050" s="14" t="s">
        <v>16</v>
      </c>
      <c r="G3050" s="3" t="s">
        <v>47</v>
      </c>
      <c r="H3050" s="14">
        <v>9.7</v>
      </c>
      <c r="I3050" s="14">
        <v>9.3</v>
      </c>
      <c r="J3050" s="3">
        <f t="shared" si="47"/>
        <v>19</v>
      </c>
    </row>
    <row r="3051" ht="15.75" customHeight="1">
      <c r="A3051" s="3">
        <f t="shared" si="46"/>
        <v>3050</v>
      </c>
      <c r="B3051" s="14">
        <v>2014.0</v>
      </c>
      <c r="C3051" s="14">
        <v>7.0</v>
      </c>
      <c r="D3051" s="14">
        <v>6.0</v>
      </c>
      <c r="E3051" s="14">
        <v>1.0</v>
      </c>
      <c r="F3051" s="14" t="s">
        <v>16</v>
      </c>
      <c r="G3051" s="3" t="s">
        <v>59</v>
      </c>
      <c r="H3051" s="14">
        <v>10.0</v>
      </c>
      <c r="I3051" s="14">
        <v>9.87</v>
      </c>
      <c r="J3051" s="3">
        <f t="shared" si="47"/>
        <v>19.87</v>
      </c>
    </row>
    <row r="3052" ht="15.75" customHeight="1">
      <c r="A3052" s="3">
        <f t="shared" si="46"/>
        <v>3051</v>
      </c>
      <c r="B3052" s="14">
        <v>2014.0</v>
      </c>
      <c r="C3052" s="14">
        <v>7.0</v>
      </c>
      <c r="D3052" s="14">
        <v>6.0</v>
      </c>
      <c r="E3052" s="14">
        <v>2.0</v>
      </c>
      <c r="F3052" s="14" t="s">
        <v>16</v>
      </c>
      <c r="G3052" s="3" t="s">
        <v>30</v>
      </c>
      <c r="H3052" s="14">
        <v>9.57</v>
      </c>
      <c r="I3052" s="14">
        <v>7.7</v>
      </c>
      <c r="J3052" s="3">
        <f t="shared" si="47"/>
        <v>17.27</v>
      </c>
    </row>
    <row r="3053" ht="15.75" customHeight="1">
      <c r="A3053" s="3">
        <f t="shared" si="46"/>
        <v>3052</v>
      </c>
      <c r="B3053" s="14">
        <v>2014.0</v>
      </c>
      <c r="C3053" s="14">
        <v>7.0</v>
      </c>
      <c r="D3053" s="14">
        <v>6.0</v>
      </c>
      <c r="E3053" s="14">
        <v>2.0</v>
      </c>
      <c r="F3053" s="14" t="s">
        <v>16</v>
      </c>
      <c r="G3053" s="3" t="s">
        <v>32</v>
      </c>
      <c r="H3053" s="14">
        <v>8.77</v>
      </c>
      <c r="I3053" s="14">
        <v>6.5</v>
      </c>
      <c r="J3053" s="3">
        <f t="shared" si="47"/>
        <v>15.27</v>
      </c>
    </row>
    <row r="3054" ht="15.75" customHeight="1">
      <c r="A3054" s="3">
        <f t="shared" si="46"/>
        <v>3053</v>
      </c>
      <c r="B3054" s="14">
        <v>2014.0</v>
      </c>
      <c r="C3054" s="14">
        <v>7.0</v>
      </c>
      <c r="D3054" s="14">
        <v>6.0</v>
      </c>
      <c r="E3054" s="14">
        <v>3.0</v>
      </c>
      <c r="F3054" s="14" t="s">
        <v>16</v>
      </c>
      <c r="G3054" s="3" t="s">
        <v>26</v>
      </c>
      <c r="H3054" s="14">
        <v>9.87</v>
      </c>
      <c r="I3054" s="14">
        <v>9.8</v>
      </c>
      <c r="J3054" s="3">
        <f t="shared" si="47"/>
        <v>19.67</v>
      </c>
    </row>
    <row r="3055" ht="15.75" customHeight="1">
      <c r="A3055" s="3">
        <f t="shared" si="46"/>
        <v>3054</v>
      </c>
      <c r="B3055" s="14">
        <v>2014.0</v>
      </c>
      <c r="C3055" s="14">
        <v>7.0</v>
      </c>
      <c r="D3055" s="14">
        <v>6.0</v>
      </c>
      <c r="E3055" s="14">
        <v>3.0</v>
      </c>
      <c r="F3055" s="14" t="s">
        <v>16</v>
      </c>
      <c r="G3055" s="3" t="s">
        <v>126</v>
      </c>
      <c r="H3055" s="14">
        <v>9.43</v>
      </c>
      <c r="I3055" s="14">
        <v>8.33</v>
      </c>
      <c r="J3055" s="3">
        <f t="shared" si="47"/>
        <v>17.76</v>
      </c>
    </row>
    <row r="3056" ht="15.75" customHeight="1">
      <c r="A3056" s="3">
        <f t="shared" si="46"/>
        <v>3055</v>
      </c>
      <c r="B3056" s="14">
        <v>2014.0</v>
      </c>
      <c r="C3056" s="14">
        <v>7.0</v>
      </c>
      <c r="D3056" s="14">
        <v>6.0</v>
      </c>
      <c r="E3056" s="14">
        <v>4.0</v>
      </c>
      <c r="F3056" s="14" t="s">
        <v>16</v>
      </c>
      <c r="G3056" s="3" t="s">
        <v>37</v>
      </c>
      <c r="H3056" s="14">
        <v>10.0</v>
      </c>
      <c r="I3056" s="14">
        <v>9.8</v>
      </c>
      <c r="J3056" s="3">
        <f t="shared" si="47"/>
        <v>19.8</v>
      </c>
    </row>
    <row r="3057" ht="15.75" customHeight="1">
      <c r="A3057" s="3">
        <f t="shared" si="46"/>
        <v>3056</v>
      </c>
      <c r="B3057" s="14">
        <v>2014.0</v>
      </c>
      <c r="C3057" s="14">
        <v>7.0</v>
      </c>
      <c r="D3057" s="14">
        <v>6.0</v>
      </c>
      <c r="E3057" s="14">
        <v>4.0</v>
      </c>
      <c r="F3057" s="14" t="s">
        <v>16</v>
      </c>
      <c r="G3057" s="3" t="s">
        <v>57</v>
      </c>
      <c r="H3057" s="14">
        <v>8.1</v>
      </c>
      <c r="I3057" s="14">
        <v>8.0</v>
      </c>
      <c r="J3057" s="3">
        <f t="shared" si="47"/>
        <v>16.1</v>
      </c>
    </row>
    <row r="3058" ht="15.75" customHeight="1">
      <c r="A3058" s="3">
        <f t="shared" si="46"/>
        <v>3057</v>
      </c>
      <c r="B3058" s="14">
        <v>2014.0</v>
      </c>
      <c r="C3058" s="14">
        <v>7.0</v>
      </c>
      <c r="D3058" s="14">
        <v>7.0</v>
      </c>
      <c r="E3058" s="14">
        <v>1.0</v>
      </c>
      <c r="F3058" s="14" t="s">
        <v>16</v>
      </c>
      <c r="G3058" s="3" t="s">
        <v>59</v>
      </c>
      <c r="H3058" s="14">
        <v>2.5</v>
      </c>
      <c r="I3058" s="14">
        <v>1.67</v>
      </c>
      <c r="J3058" s="3">
        <f t="shared" si="47"/>
        <v>4.17</v>
      </c>
    </row>
    <row r="3059" ht="15.75" customHeight="1">
      <c r="A3059" s="3">
        <f t="shared" si="46"/>
        <v>3058</v>
      </c>
      <c r="B3059" s="14">
        <v>2014.0</v>
      </c>
      <c r="C3059" s="14">
        <v>7.0</v>
      </c>
      <c r="D3059" s="14">
        <v>7.0</v>
      </c>
      <c r="E3059" s="14">
        <v>1.0</v>
      </c>
      <c r="F3059" s="14" t="s">
        <v>16</v>
      </c>
      <c r="G3059" s="3" t="s">
        <v>30</v>
      </c>
      <c r="H3059" s="14">
        <v>9.67</v>
      </c>
      <c r="I3059" s="14">
        <v>9.0</v>
      </c>
      <c r="J3059" s="3">
        <f t="shared" si="47"/>
        <v>18.67</v>
      </c>
    </row>
    <row r="3060" ht="15.75" customHeight="1">
      <c r="A3060" s="3">
        <f t="shared" si="46"/>
        <v>3059</v>
      </c>
      <c r="B3060" s="14">
        <v>2014.0</v>
      </c>
      <c r="C3060" s="14">
        <v>7.0</v>
      </c>
      <c r="D3060" s="14">
        <v>7.0</v>
      </c>
      <c r="E3060" s="14">
        <v>2.0</v>
      </c>
      <c r="F3060" s="14" t="s">
        <v>16</v>
      </c>
      <c r="G3060" s="3" t="s">
        <v>26</v>
      </c>
      <c r="H3060" s="14">
        <v>9.9</v>
      </c>
      <c r="I3060" s="14">
        <v>9.87</v>
      </c>
      <c r="J3060" s="3">
        <f t="shared" si="47"/>
        <v>19.77</v>
      </c>
    </row>
    <row r="3061" ht="15.75" customHeight="1">
      <c r="A3061" s="3">
        <f t="shared" si="46"/>
        <v>3060</v>
      </c>
      <c r="B3061" s="14">
        <v>2014.0</v>
      </c>
      <c r="C3061" s="14">
        <v>7.0</v>
      </c>
      <c r="D3061" s="14">
        <v>7.0</v>
      </c>
      <c r="E3061" s="14">
        <v>2.0</v>
      </c>
      <c r="F3061" s="14" t="s">
        <v>16</v>
      </c>
      <c r="G3061" s="3" t="s">
        <v>37</v>
      </c>
      <c r="H3061" s="14">
        <v>10.0</v>
      </c>
      <c r="I3061" s="14">
        <v>9.77</v>
      </c>
      <c r="J3061" s="3">
        <f t="shared" si="47"/>
        <v>19.77</v>
      </c>
    </row>
    <row r="3062" ht="15.75" customHeight="1">
      <c r="A3062" s="3">
        <f t="shared" si="46"/>
        <v>3061</v>
      </c>
      <c r="B3062" s="14">
        <v>2014.0</v>
      </c>
      <c r="C3062" s="14">
        <v>7.0</v>
      </c>
      <c r="D3062" s="14">
        <v>8.0</v>
      </c>
      <c r="E3062" s="14">
        <v>1.0</v>
      </c>
      <c r="F3062" s="14" t="s">
        <v>16</v>
      </c>
      <c r="G3062" s="3" t="s">
        <v>30</v>
      </c>
      <c r="H3062" s="14">
        <v>9.53</v>
      </c>
      <c r="I3062" s="14">
        <v>9.43</v>
      </c>
      <c r="J3062" s="3">
        <f t="shared" si="47"/>
        <v>18.96</v>
      </c>
    </row>
    <row r="3063" ht="15.75" customHeight="1">
      <c r="A3063" s="3">
        <f t="shared" si="46"/>
        <v>3062</v>
      </c>
      <c r="B3063" s="14">
        <v>2014.0</v>
      </c>
      <c r="C3063" s="14">
        <v>7.0</v>
      </c>
      <c r="D3063" s="14">
        <v>8.0</v>
      </c>
      <c r="E3063" s="14">
        <v>1.0</v>
      </c>
      <c r="F3063" s="14" t="s">
        <v>16</v>
      </c>
      <c r="G3063" s="3" t="s">
        <v>37</v>
      </c>
      <c r="H3063" s="14">
        <v>9.63</v>
      </c>
      <c r="I3063" s="14">
        <v>9.3</v>
      </c>
      <c r="J3063" s="3">
        <f t="shared" si="47"/>
        <v>18.93</v>
      </c>
    </row>
    <row r="3064" ht="15.75" customHeight="1">
      <c r="A3064" s="3">
        <f t="shared" si="46"/>
        <v>3063</v>
      </c>
      <c r="B3064" s="14">
        <v>2014.0</v>
      </c>
      <c r="C3064" s="14">
        <v>8.0</v>
      </c>
      <c r="D3064" s="14">
        <v>1.0</v>
      </c>
      <c r="E3064" s="14">
        <v>1.0</v>
      </c>
      <c r="F3064" s="14" t="s">
        <v>16</v>
      </c>
      <c r="G3064" s="3" t="s">
        <v>62</v>
      </c>
      <c r="H3064" s="14">
        <v>4.67</v>
      </c>
      <c r="I3064" s="14">
        <v>3.0</v>
      </c>
      <c r="J3064" s="3">
        <f t="shared" si="47"/>
        <v>7.67</v>
      </c>
    </row>
    <row r="3065" ht="15.75" customHeight="1">
      <c r="A3065" s="3">
        <f t="shared" si="46"/>
        <v>3064</v>
      </c>
      <c r="B3065" s="14">
        <v>2014.0</v>
      </c>
      <c r="C3065" s="14">
        <v>8.0</v>
      </c>
      <c r="D3065" s="14">
        <v>1.0</v>
      </c>
      <c r="E3065" s="14">
        <v>1.0</v>
      </c>
      <c r="F3065" s="14" t="s">
        <v>16</v>
      </c>
      <c r="G3065" s="3" t="s">
        <v>47</v>
      </c>
      <c r="H3065" s="14">
        <v>8.0</v>
      </c>
      <c r="I3065" s="14">
        <v>5.1</v>
      </c>
      <c r="J3065" s="3">
        <f t="shared" si="47"/>
        <v>13.1</v>
      </c>
    </row>
    <row r="3066" ht="15.75" customHeight="1">
      <c r="A3066" s="3">
        <f t="shared" si="46"/>
        <v>3065</v>
      </c>
      <c r="B3066" s="14">
        <v>2014.0</v>
      </c>
      <c r="C3066" s="14">
        <v>8.0</v>
      </c>
      <c r="D3066" s="14">
        <v>1.0</v>
      </c>
      <c r="E3066" s="14">
        <v>1.0</v>
      </c>
      <c r="F3066" s="14" t="s">
        <v>16</v>
      </c>
      <c r="G3066" s="3" t="s">
        <v>122</v>
      </c>
      <c r="H3066" s="14">
        <v>5.07</v>
      </c>
      <c r="I3066" s="14">
        <v>4.5</v>
      </c>
      <c r="J3066" s="3">
        <f t="shared" si="47"/>
        <v>9.57</v>
      </c>
    </row>
    <row r="3067" ht="15.75" customHeight="1">
      <c r="A3067" s="3">
        <f t="shared" si="46"/>
        <v>3066</v>
      </c>
      <c r="B3067" s="14">
        <v>2014.0</v>
      </c>
      <c r="C3067" s="14">
        <v>8.0</v>
      </c>
      <c r="D3067" s="14">
        <v>1.0</v>
      </c>
      <c r="E3067" s="14">
        <v>2.0</v>
      </c>
      <c r="F3067" s="14" t="s">
        <v>16</v>
      </c>
      <c r="G3067" s="3" t="s">
        <v>41</v>
      </c>
      <c r="H3067" s="14">
        <v>7.17</v>
      </c>
      <c r="I3067" s="14">
        <v>5.23</v>
      </c>
      <c r="J3067" s="3">
        <f t="shared" si="47"/>
        <v>12.4</v>
      </c>
    </row>
    <row r="3068" ht="15.75" customHeight="1">
      <c r="A3068" s="3">
        <f t="shared" si="46"/>
        <v>3067</v>
      </c>
      <c r="B3068" s="14">
        <v>2014.0</v>
      </c>
      <c r="C3068" s="14">
        <v>8.0</v>
      </c>
      <c r="D3068" s="14">
        <v>1.0</v>
      </c>
      <c r="E3068" s="14">
        <v>2.0</v>
      </c>
      <c r="F3068" s="14" t="s">
        <v>16</v>
      </c>
      <c r="G3068" s="3" t="s">
        <v>55</v>
      </c>
      <c r="H3068" s="14">
        <v>5.67</v>
      </c>
      <c r="I3068" s="14">
        <v>5.27</v>
      </c>
      <c r="J3068" s="3">
        <f t="shared" si="47"/>
        <v>10.94</v>
      </c>
    </row>
    <row r="3069" ht="15.75" customHeight="1">
      <c r="A3069" s="3">
        <f t="shared" si="46"/>
        <v>3068</v>
      </c>
      <c r="B3069" s="14">
        <v>2014.0</v>
      </c>
      <c r="C3069" s="14">
        <v>8.0</v>
      </c>
      <c r="D3069" s="14">
        <v>1.0</v>
      </c>
      <c r="E3069" s="14">
        <v>2.0</v>
      </c>
      <c r="F3069" s="14" t="s">
        <v>16</v>
      </c>
      <c r="G3069" s="3" t="s">
        <v>91</v>
      </c>
      <c r="H3069" s="14">
        <v>5.57</v>
      </c>
      <c r="I3069" s="14">
        <v>4.6</v>
      </c>
      <c r="J3069" s="3">
        <f t="shared" si="47"/>
        <v>10.17</v>
      </c>
    </row>
    <row r="3070" ht="15.75" customHeight="1">
      <c r="A3070" s="3">
        <f t="shared" si="46"/>
        <v>3069</v>
      </c>
      <c r="B3070" s="14">
        <v>2014.0</v>
      </c>
      <c r="C3070" s="14">
        <v>8.0</v>
      </c>
      <c r="D3070" s="14">
        <v>1.0</v>
      </c>
      <c r="E3070" s="14">
        <v>3.0</v>
      </c>
      <c r="F3070" s="14" t="s">
        <v>16</v>
      </c>
      <c r="G3070" s="3" t="s">
        <v>27</v>
      </c>
      <c r="H3070" s="14">
        <v>7.6</v>
      </c>
      <c r="I3070" s="14">
        <v>6.6</v>
      </c>
      <c r="J3070" s="3">
        <f t="shared" si="47"/>
        <v>14.2</v>
      </c>
    </row>
    <row r="3071" ht="15.75" customHeight="1">
      <c r="A3071" s="3">
        <f t="shared" si="46"/>
        <v>3070</v>
      </c>
      <c r="B3071" s="14">
        <v>2014.0</v>
      </c>
      <c r="C3071" s="14">
        <v>8.0</v>
      </c>
      <c r="D3071" s="14">
        <v>1.0</v>
      </c>
      <c r="E3071" s="14">
        <v>3.0</v>
      </c>
      <c r="F3071" s="14" t="s">
        <v>16</v>
      </c>
      <c r="G3071" s="3" t="s">
        <v>33</v>
      </c>
      <c r="H3071" s="14">
        <v>8.67</v>
      </c>
      <c r="I3071" s="14">
        <v>5.5</v>
      </c>
      <c r="J3071" s="3">
        <f t="shared" si="47"/>
        <v>14.17</v>
      </c>
    </row>
    <row r="3072" ht="15.75" customHeight="1">
      <c r="A3072" s="3">
        <f t="shared" si="46"/>
        <v>3071</v>
      </c>
      <c r="B3072" s="14">
        <v>2014.0</v>
      </c>
      <c r="C3072" s="14">
        <v>8.0</v>
      </c>
      <c r="D3072" s="14">
        <v>1.0</v>
      </c>
      <c r="E3072" s="14">
        <v>3.0</v>
      </c>
      <c r="F3072" s="14" t="s">
        <v>16</v>
      </c>
      <c r="G3072" s="3" t="s">
        <v>50</v>
      </c>
      <c r="H3072" s="14">
        <v>6.97</v>
      </c>
      <c r="I3072" s="14">
        <v>6.8</v>
      </c>
      <c r="J3072" s="3">
        <f t="shared" si="47"/>
        <v>13.77</v>
      </c>
    </row>
    <row r="3073" ht="15.75" customHeight="1">
      <c r="A3073" s="3">
        <f t="shared" si="46"/>
        <v>3072</v>
      </c>
      <c r="B3073" s="14">
        <v>2014.0</v>
      </c>
      <c r="C3073" s="14">
        <v>8.0</v>
      </c>
      <c r="D3073" s="14">
        <v>1.0</v>
      </c>
      <c r="E3073" s="14">
        <v>4.0</v>
      </c>
      <c r="F3073" s="14" t="s">
        <v>16</v>
      </c>
      <c r="G3073" s="3" t="s">
        <v>39</v>
      </c>
      <c r="H3073" s="14">
        <v>8.17</v>
      </c>
      <c r="I3073" s="14">
        <v>6.6</v>
      </c>
      <c r="J3073" s="3">
        <f t="shared" si="47"/>
        <v>14.77</v>
      </c>
    </row>
    <row r="3074" ht="15.75" customHeight="1">
      <c r="A3074" s="3">
        <f t="shared" si="46"/>
        <v>3073</v>
      </c>
      <c r="B3074" s="14">
        <v>2014.0</v>
      </c>
      <c r="C3074" s="14">
        <v>8.0</v>
      </c>
      <c r="D3074" s="14">
        <v>1.0</v>
      </c>
      <c r="E3074" s="14">
        <v>4.0</v>
      </c>
      <c r="F3074" s="14" t="s">
        <v>16</v>
      </c>
      <c r="G3074" s="3" t="s">
        <v>60</v>
      </c>
      <c r="H3074" s="14">
        <v>7.1</v>
      </c>
      <c r="I3074" s="14">
        <v>4.67</v>
      </c>
      <c r="J3074" s="3">
        <f t="shared" si="47"/>
        <v>11.77</v>
      </c>
    </row>
    <row r="3075" ht="15.75" customHeight="1">
      <c r="A3075" s="3">
        <f t="shared" si="46"/>
        <v>3074</v>
      </c>
      <c r="B3075" s="14">
        <v>2014.0</v>
      </c>
      <c r="C3075" s="14">
        <v>8.0</v>
      </c>
      <c r="D3075" s="14">
        <v>1.0</v>
      </c>
      <c r="E3075" s="14">
        <v>4.0</v>
      </c>
      <c r="F3075" s="14" t="s">
        <v>16</v>
      </c>
      <c r="G3075" s="3" t="s">
        <v>131</v>
      </c>
      <c r="H3075" s="14">
        <v>6.0</v>
      </c>
      <c r="I3075" s="14">
        <v>5.93</v>
      </c>
      <c r="J3075" s="3">
        <f t="shared" si="47"/>
        <v>11.93</v>
      </c>
    </row>
    <row r="3076" ht="15.75" customHeight="1">
      <c r="A3076" s="3">
        <f t="shared" si="46"/>
        <v>3075</v>
      </c>
      <c r="B3076" s="14">
        <v>2014.0</v>
      </c>
      <c r="C3076" s="14">
        <v>8.0</v>
      </c>
      <c r="D3076" s="14">
        <v>1.0</v>
      </c>
      <c r="E3076" s="14">
        <v>5.0</v>
      </c>
      <c r="F3076" s="14" t="s">
        <v>16</v>
      </c>
      <c r="G3076" s="3" t="s">
        <v>37</v>
      </c>
      <c r="H3076" s="14">
        <v>8.0</v>
      </c>
      <c r="I3076" s="14">
        <v>6.8</v>
      </c>
      <c r="J3076" s="3">
        <f t="shared" si="47"/>
        <v>14.8</v>
      </c>
    </row>
    <row r="3077" ht="15.75" customHeight="1">
      <c r="A3077" s="3">
        <f t="shared" si="46"/>
        <v>3076</v>
      </c>
      <c r="B3077" s="14">
        <v>2014.0</v>
      </c>
      <c r="C3077" s="14">
        <v>8.0</v>
      </c>
      <c r="D3077" s="14">
        <v>1.0</v>
      </c>
      <c r="E3077" s="14">
        <v>5.0</v>
      </c>
      <c r="F3077" s="14" t="s">
        <v>16</v>
      </c>
      <c r="G3077" s="3" t="s">
        <v>129</v>
      </c>
      <c r="H3077" s="14">
        <v>6.5</v>
      </c>
      <c r="I3077" s="14">
        <v>3.63</v>
      </c>
      <c r="J3077" s="3">
        <f t="shared" si="47"/>
        <v>10.13</v>
      </c>
    </row>
    <row r="3078" ht="15.75" customHeight="1">
      <c r="A3078" s="3">
        <f t="shared" si="46"/>
        <v>3077</v>
      </c>
      <c r="B3078" s="14">
        <v>2014.0</v>
      </c>
      <c r="C3078" s="14">
        <v>8.0</v>
      </c>
      <c r="D3078" s="14">
        <v>1.0</v>
      </c>
      <c r="E3078" s="14">
        <v>5.0</v>
      </c>
      <c r="F3078" s="14" t="s">
        <v>16</v>
      </c>
      <c r="G3078" s="3" t="s">
        <v>90</v>
      </c>
      <c r="H3078" s="14">
        <v>8.5</v>
      </c>
      <c r="I3078" s="14">
        <v>6.43</v>
      </c>
      <c r="J3078" s="3">
        <f t="shared" si="47"/>
        <v>14.93</v>
      </c>
    </row>
    <row r="3079" ht="15.75" customHeight="1">
      <c r="A3079" s="3">
        <f t="shared" si="46"/>
        <v>3078</v>
      </c>
      <c r="B3079" s="14">
        <v>2014.0</v>
      </c>
      <c r="C3079" s="14">
        <v>8.0</v>
      </c>
      <c r="D3079" s="14">
        <v>1.0</v>
      </c>
      <c r="E3079" s="14">
        <v>6.0</v>
      </c>
      <c r="F3079" s="14" t="s">
        <v>16</v>
      </c>
      <c r="G3079" s="3" t="s">
        <v>30</v>
      </c>
      <c r="H3079" s="14">
        <v>7.07</v>
      </c>
      <c r="I3079" s="14">
        <v>6.67</v>
      </c>
      <c r="J3079" s="3">
        <f t="shared" si="47"/>
        <v>13.74</v>
      </c>
    </row>
    <row r="3080" ht="15.75" customHeight="1">
      <c r="A3080" s="3">
        <f t="shared" si="46"/>
        <v>3079</v>
      </c>
      <c r="B3080" s="14">
        <v>2014.0</v>
      </c>
      <c r="C3080" s="14">
        <v>8.0</v>
      </c>
      <c r="D3080" s="14">
        <v>1.0</v>
      </c>
      <c r="E3080" s="14">
        <v>6.0</v>
      </c>
      <c r="F3080" s="14" t="s">
        <v>16</v>
      </c>
      <c r="G3080" s="3" t="s">
        <v>29</v>
      </c>
      <c r="H3080" s="14">
        <v>6.73</v>
      </c>
      <c r="I3080" s="14">
        <v>4.83</v>
      </c>
      <c r="J3080" s="3">
        <f t="shared" si="47"/>
        <v>11.56</v>
      </c>
    </row>
    <row r="3081" ht="15.75" customHeight="1">
      <c r="A3081" s="3">
        <f t="shared" si="46"/>
        <v>3080</v>
      </c>
      <c r="B3081" s="14">
        <v>2014.0</v>
      </c>
      <c r="C3081" s="14">
        <v>8.0</v>
      </c>
      <c r="D3081" s="14">
        <v>1.0</v>
      </c>
      <c r="E3081" s="14">
        <v>6.0</v>
      </c>
      <c r="F3081" s="14" t="s">
        <v>16</v>
      </c>
      <c r="G3081" s="3" t="s">
        <v>133</v>
      </c>
      <c r="H3081" s="14">
        <v>7.73</v>
      </c>
      <c r="I3081" s="14">
        <v>6.17</v>
      </c>
      <c r="J3081" s="3">
        <f t="shared" si="47"/>
        <v>13.9</v>
      </c>
    </row>
    <row r="3082" ht="15.75" customHeight="1">
      <c r="A3082" s="3">
        <f t="shared" si="46"/>
        <v>3081</v>
      </c>
      <c r="B3082" s="14">
        <v>2014.0</v>
      </c>
      <c r="C3082" s="14">
        <v>8.0</v>
      </c>
      <c r="D3082" s="14">
        <v>1.0</v>
      </c>
      <c r="E3082" s="14">
        <v>7.0</v>
      </c>
      <c r="F3082" s="14" t="s">
        <v>16</v>
      </c>
      <c r="G3082" s="3" t="s">
        <v>42</v>
      </c>
      <c r="H3082" s="14">
        <v>8.67</v>
      </c>
      <c r="I3082" s="14">
        <v>8.1</v>
      </c>
      <c r="J3082" s="3">
        <f t="shared" si="47"/>
        <v>16.77</v>
      </c>
    </row>
    <row r="3083" ht="15.75" customHeight="1">
      <c r="A3083" s="3">
        <f t="shared" si="46"/>
        <v>3082</v>
      </c>
      <c r="B3083" s="14">
        <v>2014.0</v>
      </c>
      <c r="C3083" s="14">
        <v>8.0</v>
      </c>
      <c r="D3083" s="14">
        <v>1.0</v>
      </c>
      <c r="E3083" s="14">
        <v>7.0</v>
      </c>
      <c r="F3083" s="14" t="s">
        <v>16</v>
      </c>
      <c r="G3083" s="3" t="s">
        <v>38</v>
      </c>
      <c r="H3083" s="14">
        <v>6.33</v>
      </c>
      <c r="I3083" s="14">
        <v>3.17</v>
      </c>
      <c r="J3083" s="3">
        <f t="shared" si="47"/>
        <v>9.5</v>
      </c>
    </row>
    <row r="3084" ht="15.75" customHeight="1">
      <c r="A3084" s="3">
        <f t="shared" si="46"/>
        <v>3083</v>
      </c>
      <c r="B3084" s="14">
        <v>2014.0</v>
      </c>
      <c r="C3084" s="14">
        <v>8.0</v>
      </c>
      <c r="D3084" s="14">
        <v>1.0</v>
      </c>
      <c r="E3084" s="14">
        <v>7.0</v>
      </c>
      <c r="F3084" s="14" t="s">
        <v>16</v>
      </c>
      <c r="G3084" s="3" t="s">
        <v>107</v>
      </c>
      <c r="H3084" s="14">
        <v>7.23</v>
      </c>
      <c r="I3084" s="14">
        <v>6.87</v>
      </c>
      <c r="J3084" s="3">
        <f t="shared" si="47"/>
        <v>14.1</v>
      </c>
    </row>
    <row r="3085" ht="15.75" customHeight="1">
      <c r="A3085" s="3">
        <f t="shared" si="46"/>
        <v>3084</v>
      </c>
      <c r="B3085" s="14">
        <v>2014.0</v>
      </c>
      <c r="C3085" s="14">
        <v>8.0</v>
      </c>
      <c r="D3085" s="14">
        <v>1.0</v>
      </c>
      <c r="E3085" s="14">
        <v>8.0</v>
      </c>
      <c r="F3085" s="14" t="s">
        <v>16</v>
      </c>
      <c r="G3085" s="3" t="s">
        <v>32</v>
      </c>
      <c r="H3085" s="14">
        <v>7.47</v>
      </c>
      <c r="I3085" s="14">
        <v>6.5</v>
      </c>
      <c r="J3085" s="3">
        <f t="shared" si="47"/>
        <v>13.97</v>
      </c>
    </row>
    <row r="3086" ht="15.75" customHeight="1">
      <c r="A3086" s="3">
        <f t="shared" si="46"/>
        <v>3085</v>
      </c>
      <c r="B3086" s="14">
        <v>2014.0</v>
      </c>
      <c r="C3086" s="14">
        <v>8.0</v>
      </c>
      <c r="D3086" s="14">
        <v>1.0</v>
      </c>
      <c r="E3086" s="14">
        <v>8.0</v>
      </c>
      <c r="F3086" s="14" t="s">
        <v>16</v>
      </c>
      <c r="G3086" s="3" t="s">
        <v>123</v>
      </c>
      <c r="H3086" s="14">
        <v>8.0</v>
      </c>
      <c r="I3086" s="14">
        <v>7.43</v>
      </c>
      <c r="J3086" s="3">
        <f t="shared" si="47"/>
        <v>15.43</v>
      </c>
    </row>
    <row r="3087" ht="15.75" customHeight="1">
      <c r="A3087" s="3">
        <f t="shared" si="46"/>
        <v>3086</v>
      </c>
      <c r="B3087" s="14">
        <v>2014.0</v>
      </c>
      <c r="C3087" s="14">
        <v>8.0</v>
      </c>
      <c r="D3087" s="14">
        <v>1.0</v>
      </c>
      <c r="E3087" s="14">
        <v>8.0</v>
      </c>
      <c r="F3087" s="14" t="s">
        <v>16</v>
      </c>
      <c r="G3087" s="3" t="s">
        <v>35</v>
      </c>
      <c r="H3087" s="14">
        <v>8.4</v>
      </c>
      <c r="I3087" s="14">
        <v>6.1</v>
      </c>
      <c r="J3087" s="3">
        <f t="shared" si="47"/>
        <v>14.5</v>
      </c>
    </row>
    <row r="3088" ht="15.75" customHeight="1">
      <c r="A3088" s="3">
        <f t="shared" si="46"/>
        <v>3087</v>
      </c>
      <c r="B3088" s="14">
        <v>2014.0</v>
      </c>
      <c r="C3088" s="14">
        <v>8.0</v>
      </c>
      <c r="D3088" s="14">
        <v>1.0</v>
      </c>
      <c r="E3088" s="14">
        <v>9.0</v>
      </c>
      <c r="F3088" s="14" t="s">
        <v>16</v>
      </c>
      <c r="G3088" s="3" t="s">
        <v>56</v>
      </c>
      <c r="H3088" s="14">
        <v>8.6</v>
      </c>
      <c r="I3088" s="14">
        <v>8.1</v>
      </c>
      <c r="J3088" s="3">
        <f t="shared" si="47"/>
        <v>16.7</v>
      </c>
    </row>
    <row r="3089" ht="15.75" customHeight="1">
      <c r="A3089" s="3">
        <f t="shared" si="46"/>
        <v>3088</v>
      </c>
      <c r="B3089" s="14">
        <v>2014.0</v>
      </c>
      <c r="C3089" s="14">
        <v>8.0</v>
      </c>
      <c r="D3089" s="14">
        <v>1.0</v>
      </c>
      <c r="E3089" s="14">
        <v>9.0</v>
      </c>
      <c r="F3089" s="14" t="s">
        <v>16</v>
      </c>
      <c r="G3089" s="3" t="s">
        <v>125</v>
      </c>
      <c r="H3089" s="14">
        <v>8.3</v>
      </c>
      <c r="I3089" s="14">
        <v>7.93</v>
      </c>
      <c r="J3089" s="3">
        <f t="shared" si="47"/>
        <v>16.23</v>
      </c>
    </row>
    <row r="3090" ht="15.75" customHeight="1">
      <c r="A3090" s="3">
        <f t="shared" si="46"/>
        <v>3089</v>
      </c>
      <c r="B3090" s="14">
        <v>2014.0</v>
      </c>
      <c r="C3090" s="14">
        <v>8.0</v>
      </c>
      <c r="D3090" s="14">
        <v>1.0</v>
      </c>
      <c r="E3090" s="14">
        <v>9.0</v>
      </c>
      <c r="F3090" s="14" t="s">
        <v>16</v>
      </c>
      <c r="G3090" s="3" t="s">
        <v>126</v>
      </c>
      <c r="H3090" s="14">
        <v>6.83</v>
      </c>
      <c r="I3090" s="14">
        <v>6.8</v>
      </c>
      <c r="J3090" s="3">
        <f t="shared" si="47"/>
        <v>13.63</v>
      </c>
    </row>
    <row r="3091" ht="15.75" customHeight="1">
      <c r="A3091" s="3">
        <f t="shared" si="46"/>
        <v>3090</v>
      </c>
      <c r="B3091" s="14">
        <v>2014.0</v>
      </c>
      <c r="C3091" s="14">
        <v>8.0</v>
      </c>
      <c r="D3091" s="14">
        <v>1.0</v>
      </c>
      <c r="E3091" s="14">
        <v>10.0</v>
      </c>
      <c r="F3091" s="14" t="s">
        <v>16</v>
      </c>
      <c r="G3091" s="3" t="s">
        <v>57</v>
      </c>
      <c r="H3091" s="14">
        <v>9.43</v>
      </c>
      <c r="I3091" s="14">
        <v>8.0</v>
      </c>
      <c r="J3091" s="3">
        <f t="shared" si="47"/>
        <v>17.43</v>
      </c>
    </row>
    <row r="3092" ht="15.75" customHeight="1">
      <c r="A3092" s="3">
        <f t="shared" si="46"/>
        <v>3091</v>
      </c>
      <c r="B3092" s="14">
        <v>2014.0</v>
      </c>
      <c r="C3092" s="14">
        <v>8.0</v>
      </c>
      <c r="D3092" s="14">
        <v>1.0</v>
      </c>
      <c r="E3092" s="14">
        <v>10.0</v>
      </c>
      <c r="F3092" s="14" t="s">
        <v>16</v>
      </c>
      <c r="G3092" s="3" t="s">
        <v>31</v>
      </c>
      <c r="H3092" s="14">
        <v>5.77</v>
      </c>
      <c r="I3092" s="14">
        <v>3.5</v>
      </c>
      <c r="J3092" s="3">
        <f t="shared" si="47"/>
        <v>9.27</v>
      </c>
    </row>
    <row r="3093" ht="15.75" customHeight="1">
      <c r="A3093" s="3">
        <f t="shared" si="46"/>
        <v>3092</v>
      </c>
      <c r="B3093" s="14">
        <v>2014.0</v>
      </c>
      <c r="C3093" s="14">
        <v>8.0</v>
      </c>
      <c r="D3093" s="14">
        <v>1.0</v>
      </c>
      <c r="E3093" s="14">
        <v>10.0</v>
      </c>
      <c r="F3093" s="14" t="s">
        <v>16</v>
      </c>
      <c r="G3093" s="3" t="s">
        <v>76</v>
      </c>
      <c r="H3093" s="14">
        <v>7.77</v>
      </c>
      <c r="I3093" s="14">
        <v>5.67</v>
      </c>
      <c r="J3093" s="3">
        <f t="shared" si="47"/>
        <v>13.44</v>
      </c>
    </row>
    <row r="3094" ht="15.75" customHeight="1">
      <c r="A3094" s="3">
        <f t="shared" si="46"/>
        <v>3093</v>
      </c>
      <c r="B3094" s="14">
        <v>2014.0</v>
      </c>
      <c r="C3094" s="14">
        <v>8.0</v>
      </c>
      <c r="D3094" s="14">
        <v>1.0</v>
      </c>
      <c r="E3094" s="14">
        <v>11.0</v>
      </c>
      <c r="F3094" s="14" t="s">
        <v>16</v>
      </c>
      <c r="G3094" s="3" t="s">
        <v>45</v>
      </c>
      <c r="H3094" s="14">
        <v>6.83</v>
      </c>
      <c r="I3094" s="14">
        <v>6.67</v>
      </c>
      <c r="J3094" s="3">
        <f t="shared" si="47"/>
        <v>13.5</v>
      </c>
    </row>
    <row r="3095" ht="15.75" customHeight="1">
      <c r="A3095" s="3">
        <f t="shared" si="46"/>
        <v>3094</v>
      </c>
      <c r="B3095" s="14">
        <v>2014.0</v>
      </c>
      <c r="C3095" s="14">
        <v>8.0</v>
      </c>
      <c r="D3095" s="14">
        <v>1.0</v>
      </c>
      <c r="E3095" s="14">
        <v>11.0</v>
      </c>
      <c r="F3095" s="14" t="s">
        <v>16</v>
      </c>
      <c r="G3095" s="3" t="s">
        <v>28</v>
      </c>
      <c r="H3095" s="14">
        <v>8.23</v>
      </c>
      <c r="I3095" s="14">
        <v>7.83</v>
      </c>
      <c r="J3095" s="3">
        <f t="shared" si="47"/>
        <v>16.06</v>
      </c>
    </row>
    <row r="3096" ht="15.75" customHeight="1">
      <c r="A3096" s="3">
        <f t="shared" si="46"/>
        <v>3095</v>
      </c>
      <c r="B3096" s="14">
        <v>2014.0</v>
      </c>
      <c r="C3096" s="14">
        <v>8.0</v>
      </c>
      <c r="D3096" s="14">
        <v>1.0</v>
      </c>
      <c r="E3096" s="14">
        <v>11.0</v>
      </c>
      <c r="F3096" s="14" t="s">
        <v>16</v>
      </c>
      <c r="G3096" s="3" t="s">
        <v>120</v>
      </c>
      <c r="H3096" s="14">
        <v>8.5</v>
      </c>
      <c r="I3096" s="14">
        <v>6.23</v>
      </c>
      <c r="J3096" s="3">
        <f t="shared" si="47"/>
        <v>14.73</v>
      </c>
    </row>
    <row r="3097" ht="15.75" customHeight="1">
      <c r="A3097" s="3">
        <f t="shared" si="46"/>
        <v>3096</v>
      </c>
      <c r="B3097" s="14">
        <v>2014.0</v>
      </c>
      <c r="C3097" s="14">
        <v>8.0</v>
      </c>
      <c r="D3097" s="14">
        <v>1.0</v>
      </c>
      <c r="E3097" s="14">
        <v>12.0</v>
      </c>
      <c r="F3097" s="14" t="s">
        <v>16</v>
      </c>
      <c r="G3097" s="3" t="s">
        <v>26</v>
      </c>
      <c r="H3097" s="14">
        <v>8.77</v>
      </c>
      <c r="I3097" s="14">
        <v>6.5</v>
      </c>
      <c r="J3097" s="3">
        <f t="shared" si="47"/>
        <v>15.27</v>
      </c>
    </row>
    <row r="3098" ht="15.75" customHeight="1">
      <c r="A3098" s="3">
        <f t="shared" si="46"/>
        <v>3097</v>
      </c>
      <c r="B3098" s="14">
        <v>2014.0</v>
      </c>
      <c r="C3098" s="14">
        <v>8.0</v>
      </c>
      <c r="D3098" s="14">
        <v>1.0</v>
      </c>
      <c r="E3098" s="14">
        <v>12.0</v>
      </c>
      <c r="F3098" s="14" t="s">
        <v>16</v>
      </c>
      <c r="G3098" s="3" t="s">
        <v>124</v>
      </c>
      <c r="H3098" s="14">
        <v>7.0</v>
      </c>
      <c r="I3098" s="14">
        <v>6.1</v>
      </c>
      <c r="J3098" s="3">
        <f t="shared" si="47"/>
        <v>13.1</v>
      </c>
    </row>
    <row r="3099" ht="15.75" customHeight="1">
      <c r="A3099" s="3">
        <f t="shared" si="46"/>
        <v>3098</v>
      </c>
      <c r="B3099" s="14">
        <v>2014.0</v>
      </c>
      <c r="C3099" s="14">
        <v>8.0</v>
      </c>
      <c r="D3099" s="14">
        <v>1.0</v>
      </c>
      <c r="E3099" s="14">
        <v>12.0</v>
      </c>
      <c r="F3099" s="14" t="s">
        <v>16</v>
      </c>
      <c r="G3099" s="3" t="s">
        <v>59</v>
      </c>
      <c r="H3099" s="14">
        <v>7.87</v>
      </c>
      <c r="I3099" s="14">
        <v>4.93</v>
      </c>
      <c r="J3099" s="3">
        <f t="shared" si="47"/>
        <v>12.8</v>
      </c>
    </row>
    <row r="3100" ht="15.75" customHeight="1">
      <c r="A3100" s="3">
        <f t="shared" si="46"/>
        <v>3099</v>
      </c>
      <c r="B3100" s="14">
        <v>2014.0</v>
      </c>
      <c r="C3100" s="14">
        <v>8.0</v>
      </c>
      <c r="D3100" s="14">
        <v>2.0</v>
      </c>
      <c r="E3100" s="14">
        <v>1.0</v>
      </c>
      <c r="F3100" s="14" t="s">
        <v>16</v>
      </c>
      <c r="G3100" s="3" t="s">
        <v>30</v>
      </c>
      <c r="H3100" s="14">
        <v>7.43</v>
      </c>
      <c r="I3100" s="14">
        <v>6.4</v>
      </c>
      <c r="J3100" s="3">
        <f t="shared" si="47"/>
        <v>13.83</v>
      </c>
    </row>
    <row r="3101" ht="15.75" customHeight="1">
      <c r="A3101" s="3">
        <f t="shared" si="46"/>
        <v>3100</v>
      </c>
      <c r="B3101" s="14">
        <v>2014.0</v>
      </c>
      <c r="C3101" s="14">
        <v>8.0</v>
      </c>
      <c r="D3101" s="14">
        <v>2.0</v>
      </c>
      <c r="E3101" s="14">
        <v>1.0</v>
      </c>
      <c r="F3101" s="14" t="s">
        <v>16</v>
      </c>
      <c r="G3101" s="3" t="s">
        <v>131</v>
      </c>
      <c r="H3101" s="14">
        <v>5.17</v>
      </c>
      <c r="I3101" s="14">
        <v>4.77</v>
      </c>
      <c r="J3101" s="3">
        <f t="shared" si="47"/>
        <v>9.94</v>
      </c>
    </row>
    <row r="3102" ht="15.75" customHeight="1">
      <c r="A3102" s="3">
        <f t="shared" si="46"/>
        <v>3101</v>
      </c>
      <c r="B3102" s="14">
        <v>2014.0</v>
      </c>
      <c r="C3102" s="14">
        <v>8.0</v>
      </c>
      <c r="D3102" s="14">
        <v>2.0</v>
      </c>
      <c r="E3102" s="14">
        <v>2.0</v>
      </c>
      <c r="F3102" s="14" t="s">
        <v>16</v>
      </c>
      <c r="G3102" s="3" t="s">
        <v>37</v>
      </c>
      <c r="H3102" s="14">
        <v>8.5</v>
      </c>
      <c r="I3102" s="14">
        <v>7.43</v>
      </c>
      <c r="J3102" s="3">
        <f t="shared" si="47"/>
        <v>15.93</v>
      </c>
    </row>
    <row r="3103" ht="15.75" customHeight="1">
      <c r="A3103" s="3">
        <f t="shared" si="46"/>
        <v>3102</v>
      </c>
      <c r="B3103" s="14">
        <v>2014.0</v>
      </c>
      <c r="C3103" s="14">
        <v>8.0</v>
      </c>
      <c r="D3103" s="14">
        <v>2.0</v>
      </c>
      <c r="E3103" s="14">
        <v>2.0</v>
      </c>
      <c r="F3103" s="14" t="s">
        <v>16</v>
      </c>
      <c r="G3103" s="3" t="s">
        <v>50</v>
      </c>
      <c r="H3103" s="14">
        <v>5.83</v>
      </c>
      <c r="I3103" s="14">
        <v>4.33</v>
      </c>
      <c r="J3103" s="3">
        <f t="shared" si="47"/>
        <v>10.16</v>
      </c>
    </row>
    <row r="3104" ht="15.75" customHeight="1">
      <c r="A3104" s="3">
        <f t="shared" si="46"/>
        <v>3103</v>
      </c>
      <c r="B3104" s="14">
        <v>2014.0</v>
      </c>
      <c r="C3104" s="14">
        <v>8.0</v>
      </c>
      <c r="D3104" s="14">
        <v>2.0</v>
      </c>
      <c r="E3104" s="14">
        <v>3.0</v>
      </c>
      <c r="F3104" s="14" t="s">
        <v>16</v>
      </c>
      <c r="G3104" s="3" t="s">
        <v>62</v>
      </c>
      <c r="H3104" s="14">
        <v>6.43</v>
      </c>
      <c r="I3104" s="14">
        <v>6.23</v>
      </c>
      <c r="J3104" s="3">
        <f t="shared" si="47"/>
        <v>12.66</v>
      </c>
    </row>
    <row r="3105" ht="15.75" customHeight="1">
      <c r="A3105" s="3">
        <f t="shared" si="46"/>
        <v>3104</v>
      </c>
      <c r="B3105" s="14">
        <v>2014.0</v>
      </c>
      <c r="C3105" s="14">
        <v>8.0</v>
      </c>
      <c r="D3105" s="14">
        <v>2.0</v>
      </c>
      <c r="E3105" s="14">
        <v>3.0</v>
      </c>
      <c r="F3105" s="14" t="s">
        <v>16</v>
      </c>
      <c r="G3105" s="3" t="s">
        <v>91</v>
      </c>
      <c r="H3105" s="14">
        <v>5.27</v>
      </c>
      <c r="I3105" s="14">
        <v>2.6</v>
      </c>
      <c r="J3105" s="3">
        <f t="shared" si="47"/>
        <v>7.87</v>
      </c>
    </row>
    <row r="3106" ht="15.75" customHeight="1">
      <c r="A3106" s="3">
        <f t="shared" si="46"/>
        <v>3105</v>
      </c>
      <c r="B3106" s="14">
        <v>2014.0</v>
      </c>
      <c r="C3106" s="14">
        <v>8.0</v>
      </c>
      <c r="D3106" s="14">
        <v>2.0</v>
      </c>
      <c r="E3106" s="14">
        <v>4.0</v>
      </c>
      <c r="F3106" s="14" t="s">
        <v>16</v>
      </c>
      <c r="G3106" s="3" t="s">
        <v>32</v>
      </c>
      <c r="H3106" s="14">
        <v>7.0</v>
      </c>
      <c r="I3106" s="14">
        <v>5.73</v>
      </c>
      <c r="J3106" s="3">
        <f t="shared" si="47"/>
        <v>12.73</v>
      </c>
    </row>
    <row r="3107" ht="15.75" customHeight="1">
      <c r="A3107" s="3">
        <f t="shared" si="46"/>
        <v>3106</v>
      </c>
      <c r="B3107" s="14">
        <v>2014.0</v>
      </c>
      <c r="C3107" s="14">
        <v>8.0</v>
      </c>
      <c r="D3107" s="14">
        <v>2.0</v>
      </c>
      <c r="E3107" s="14">
        <v>4.0</v>
      </c>
      <c r="F3107" s="14" t="s">
        <v>16</v>
      </c>
      <c r="G3107" s="3" t="s">
        <v>122</v>
      </c>
      <c r="H3107" s="14">
        <v>6.57</v>
      </c>
      <c r="I3107" s="14">
        <v>5.17</v>
      </c>
      <c r="J3107" s="3">
        <f t="shared" si="47"/>
        <v>11.74</v>
      </c>
    </row>
    <row r="3108" ht="15.75" customHeight="1">
      <c r="A3108" s="3">
        <f t="shared" si="46"/>
        <v>3107</v>
      </c>
      <c r="B3108" s="14">
        <v>2014.0</v>
      </c>
      <c r="C3108" s="14">
        <v>8.0</v>
      </c>
      <c r="D3108" s="14">
        <v>2.0</v>
      </c>
      <c r="E3108" s="14">
        <v>5.0</v>
      </c>
      <c r="F3108" s="14" t="s">
        <v>16</v>
      </c>
      <c r="G3108" s="3" t="s">
        <v>45</v>
      </c>
      <c r="H3108" s="14">
        <v>5.07</v>
      </c>
      <c r="I3108" s="14">
        <v>5.0</v>
      </c>
      <c r="J3108" s="3">
        <f t="shared" si="47"/>
        <v>10.07</v>
      </c>
    </row>
    <row r="3109" ht="15.75" customHeight="1">
      <c r="A3109" s="3">
        <f t="shared" si="46"/>
        <v>3108</v>
      </c>
      <c r="B3109" s="14">
        <v>2014.0</v>
      </c>
      <c r="C3109" s="14">
        <v>8.0</v>
      </c>
      <c r="D3109" s="14">
        <v>2.0</v>
      </c>
      <c r="E3109" s="14">
        <v>5.0</v>
      </c>
      <c r="F3109" s="14" t="s">
        <v>16</v>
      </c>
      <c r="G3109" s="3" t="s">
        <v>107</v>
      </c>
      <c r="H3109" s="14">
        <v>5.43</v>
      </c>
      <c r="I3109" s="14">
        <v>5.0</v>
      </c>
      <c r="J3109" s="3">
        <f t="shared" si="47"/>
        <v>10.43</v>
      </c>
    </row>
    <row r="3110" ht="15.75" customHeight="1">
      <c r="A3110" s="3">
        <f t="shared" si="46"/>
        <v>3109</v>
      </c>
      <c r="B3110" s="14">
        <v>2014.0</v>
      </c>
      <c r="C3110" s="14">
        <v>8.0</v>
      </c>
      <c r="D3110" s="14">
        <v>2.0</v>
      </c>
      <c r="E3110" s="14">
        <v>6.0</v>
      </c>
      <c r="F3110" s="14" t="s">
        <v>16</v>
      </c>
      <c r="G3110" s="3" t="s">
        <v>59</v>
      </c>
      <c r="H3110" s="14">
        <v>7.17</v>
      </c>
      <c r="I3110" s="14">
        <v>6.77</v>
      </c>
      <c r="J3110" s="3">
        <f t="shared" si="47"/>
        <v>13.94</v>
      </c>
    </row>
    <row r="3111" ht="15.75" customHeight="1">
      <c r="A3111" s="3">
        <f t="shared" si="46"/>
        <v>3110</v>
      </c>
      <c r="B3111" s="14">
        <v>2014.0</v>
      </c>
      <c r="C3111" s="14">
        <v>8.0</v>
      </c>
      <c r="D3111" s="14">
        <v>2.0</v>
      </c>
      <c r="E3111" s="14">
        <v>6.0</v>
      </c>
      <c r="F3111" s="14" t="s">
        <v>16</v>
      </c>
      <c r="G3111" s="3" t="s">
        <v>35</v>
      </c>
      <c r="H3111" s="14">
        <v>9.0</v>
      </c>
      <c r="I3111" s="14">
        <v>8.5</v>
      </c>
      <c r="J3111" s="3">
        <f t="shared" si="47"/>
        <v>17.5</v>
      </c>
    </row>
    <row r="3112" ht="15.75" customHeight="1">
      <c r="A3112" s="3">
        <f t="shared" si="46"/>
        <v>3111</v>
      </c>
      <c r="B3112" s="14">
        <v>2014.0</v>
      </c>
      <c r="C3112" s="14">
        <v>8.0</v>
      </c>
      <c r="D3112" s="14">
        <v>2.0</v>
      </c>
      <c r="E3112" s="14">
        <v>7.0</v>
      </c>
      <c r="F3112" s="14" t="s">
        <v>16</v>
      </c>
      <c r="G3112" s="3" t="s">
        <v>31</v>
      </c>
      <c r="H3112" s="14">
        <v>6.83</v>
      </c>
      <c r="I3112" s="14">
        <v>6.4</v>
      </c>
      <c r="J3112" s="3">
        <f t="shared" si="47"/>
        <v>13.23</v>
      </c>
    </row>
    <row r="3113" ht="15.75" customHeight="1">
      <c r="A3113" s="3">
        <f t="shared" si="46"/>
        <v>3112</v>
      </c>
      <c r="B3113" s="14">
        <v>2014.0</v>
      </c>
      <c r="C3113" s="14">
        <v>8.0</v>
      </c>
      <c r="D3113" s="14">
        <v>2.0</v>
      </c>
      <c r="E3113" s="14">
        <v>7.0</v>
      </c>
      <c r="F3113" s="14" t="s">
        <v>16</v>
      </c>
      <c r="G3113" s="3" t="s">
        <v>126</v>
      </c>
      <c r="H3113" s="14">
        <v>5.17</v>
      </c>
      <c r="I3113" s="14">
        <v>5.0</v>
      </c>
      <c r="J3113" s="3">
        <f t="shared" si="47"/>
        <v>10.17</v>
      </c>
    </row>
    <row r="3114" ht="15.75" customHeight="1">
      <c r="A3114" s="3">
        <f t="shared" si="46"/>
        <v>3113</v>
      </c>
      <c r="B3114" s="14">
        <v>2014.0</v>
      </c>
      <c r="C3114" s="14">
        <v>8.0</v>
      </c>
      <c r="D3114" s="14">
        <v>2.0</v>
      </c>
      <c r="E3114" s="14">
        <v>8.0</v>
      </c>
      <c r="F3114" s="14" t="s">
        <v>16</v>
      </c>
      <c r="G3114" s="3" t="s">
        <v>125</v>
      </c>
      <c r="H3114" s="14">
        <v>7.83</v>
      </c>
      <c r="I3114" s="14">
        <v>7.6</v>
      </c>
      <c r="J3114" s="3">
        <f t="shared" si="47"/>
        <v>15.43</v>
      </c>
    </row>
    <row r="3115" ht="15.75" customHeight="1">
      <c r="A3115" s="3">
        <f t="shared" si="46"/>
        <v>3114</v>
      </c>
      <c r="B3115" s="14">
        <v>2014.0</v>
      </c>
      <c r="C3115" s="14">
        <v>8.0</v>
      </c>
      <c r="D3115" s="14">
        <v>2.0</v>
      </c>
      <c r="E3115" s="14">
        <v>8.0</v>
      </c>
      <c r="F3115" s="14" t="s">
        <v>16</v>
      </c>
      <c r="G3115" s="3" t="s">
        <v>76</v>
      </c>
      <c r="H3115" s="14">
        <v>7.83</v>
      </c>
      <c r="I3115" s="14">
        <v>6.67</v>
      </c>
      <c r="J3115" s="3">
        <f t="shared" si="47"/>
        <v>14.5</v>
      </c>
    </row>
    <row r="3116" ht="15.75" customHeight="1">
      <c r="A3116" s="3">
        <f t="shared" si="46"/>
        <v>3115</v>
      </c>
      <c r="B3116" s="14">
        <v>2014.0</v>
      </c>
      <c r="C3116" s="14">
        <v>8.0</v>
      </c>
      <c r="D3116" s="14">
        <v>2.0</v>
      </c>
      <c r="E3116" s="14">
        <v>9.0</v>
      </c>
      <c r="F3116" s="14" t="s">
        <v>16</v>
      </c>
      <c r="G3116" s="3" t="s">
        <v>38</v>
      </c>
      <c r="H3116" s="14">
        <v>7.67</v>
      </c>
      <c r="I3116" s="14">
        <v>5.07</v>
      </c>
      <c r="J3116" s="3">
        <f t="shared" si="47"/>
        <v>12.74</v>
      </c>
    </row>
    <row r="3117" ht="15.75" customHeight="1">
      <c r="A3117" s="3">
        <f t="shared" si="46"/>
        <v>3116</v>
      </c>
      <c r="B3117" s="14">
        <v>2014.0</v>
      </c>
      <c r="C3117" s="14">
        <v>8.0</v>
      </c>
      <c r="D3117" s="14">
        <v>2.0</v>
      </c>
      <c r="E3117" s="14">
        <v>9.0</v>
      </c>
      <c r="F3117" s="14" t="s">
        <v>16</v>
      </c>
      <c r="G3117" s="3" t="s">
        <v>120</v>
      </c>
      <c r="H3117" s="14">
        <v>8.6</v>
      </c>
      <c r="I3117" s="14">
        <v>8.33</v>
      </c>
      <c r="J3117" s="3">
        <f t="shared" si="47"/>
        <v>16.93</v>
      </c>
    </row>
    <row r="3118" ht="15.75" customHeight="1">
      <c r="A3118" s="3">
        <f t="shared" si="46"/>
        <v>3117</v>
      </c>
      <c r="B3118" s="14">
        <v>2014.0</v>
      </c>
      <c r="C3118" s="14">
        <v>8.0</v>
      </c>
      <c r="D3118" s="14">
        <v>2.0</v>
      </c>
      <c r="E3118" s="14">
        <v>10.0</v>
      </c>
      <c r="F3118" s="14" t="s">
        <v>16</v>
      </c>
      <c r="G3118" s="3" t="s">
        <v>55</v>
      </c>
      <c r="H3118" s="14">
        <v>8.77</v>
      </c>
      <c r="I3118" s="14">
        <v>8.17</v>
      </c>
      <c r="J3118" s="3">
        <f t="shared" si="47"/>
        <v>16.94</v>
      </c>
    </row>
    <row r="3119" ht="15.75" customHeight="1">
      <c r="A3119" s="3">
        <f t="shared" si="46"/>
        <v>3118</v>
      </c>
      <c r="B3119" s="14">
        <v>2014.0</v>
      </c>
      <c r="C3119" s="14">
        <v>8.0</v>
      </c>
      <c r="D3119" s="14">
        <v>2.0</v>
      </c>
      <c r="E3119" s="14">
        <v>10.0</v>
      </c>
      <c r="F3119" s="14" t="s">
        <v>16</v>
      </c>
      <c r="G3119" s="3" t="s">
        <v>124</v>
      </c>
      <c r="H3119" s="14">
        <v>7.5</v>
      </c>
      <c r="I3119" s="14">
        <v>4.83</v>
      </c>
      <c r="J3119" s="3">
        <f t="shared" si="47"/>
        <v>12.33</v>
      </c>
    </row>
    <row r="3120" ht="15.75" customHeight="1">
      <c r="A3120" s="3">
        <f t="shared" si="46"/>
        <v>3119</v>
      </c>
      <c r="B3120" s="14">
        <v>2014.0</v>
      </c>
      <c r="C3120" s="14">
        <v>8.0</v>
      </c>
      <c r="D3120" s="14">
        <v>2.0</v>
      </c>
      <c r="E3120" s="14">
        <v>11.0</v>
      </c>
      <c r="F3120" s="14" t="s">
        <v>16</v>
      </c>
      <c r="G3120" s="3" t="s">
        <v>33</v>
      </c>
      <c r="H3120" s="14">
        <v>9.83</v>
      </c>
      <c r="I3120" s="14">
        <v>6.1</v>
      </c>
      <c r="J3120" s="3">
        <f t="shared" si="47"/>
        <v>15.93</v>
      </c>
    </row>
    <row r="3121" ht="15.75" customHeight="1">
      <c r="A3121" s="3">
        <f t="shared" si="46"/>
        <v>3120</v>
      </c>
      <c r="B3121" s="14">
        <v>2014.0</v>
      </c>
      <c r="C3121" s="14">
        <v>8.0</v>
      </c>
      <c r="D3121" s="14">
        <v>2.0</v>
      </c>
      <c r="E3121" s="14">
        <v>11.0</v>
      </c>
      <c r="F3121" s="14" t="s">
        <v>16</v>
      </c>
      <c r="G3121" s="3" t="s">
        <v>29</v>
      </c>
      <c r="H3121" s="14">
        <v>9.17</v>
      </c>
      <c r="I3121" s="14">
        <v>6.23</v>
      </c>
      <c r="J3121" s="3">
        <f t="shared" si="47"/>
        <v>15.4</v>
      </c>
    </row>
    <row r="3122" ht="15.75" customHeight="1">
      <c r="A3122" s="3">
        <f t="shared" si="46"/>
        <v>3121</v>
      </c>
      <c r="B3122" s="14">
        <v>2014.0</v>
      </c>
      <c r="C3122" s="14">
        <v>8.0</v>
      </c>
      <c r="D3122" s="14">
        <v>2.0</v>
      </c>
      <c r="E3122" s="14">
        <v>12.0</v>
      </c>
      <c r="F3122" s="14" t="s">
        <v>16</v>
      </c>
      <c r="G3122" s="3" t="s">
        <v>60</v>
      </c>
      <c r="H3122" s="14">
        <v>7.17</v>
      </c>
      <c r="I3122" s="14">
        <v>3.5</v>
      </c>
      <c r="J3122" s="3">
        <f t="shared" si="47"/>
        <v>10.67</v>
      </c>
    </row>
    <row r="3123" ht="15.75" customHeight="1">
      <c r="A3123" s="3">
        <f t="shared" si="46"/>
        <v>3122</v>
      </c>
      <c r="B3123" s="14">
        <v>2014.0</v>
      </c>
      <c r="C3123" s="14">
        <v>8.0</v>
      </c>
      <c r="D3123" s="14">
        <v>2.0</v>
      </c>
      <c r="E3123" s="14">
        <v>12.0</v>
      </c>
      <c r="F3123" s="14" t="s">
        <v>16</v>
      </c>
      <c r="G3123" s="3" t="s">
        <v>129</v>
      </c>
      <c r="H3123" s="14">
        <v>7.93</v>
      </c>
      <c r="I3123" s="14">
        <v>0.9</v>
      </c>
      <c r="J3123" s="3">
        <f t="shared" si="47"/>
        <v>8.83</v>
      </c>
    </row>
    <row r="3124" ht="15.75" customHeight="1">
      <c r="A3124" s="3">
        <f t="shared" si="46"/>
        <v>3123</v>
      </c>
      <c r="B3124" s="14">
        <v>2014.0</v>
      </c>
      <c r="C3124" s="14">
        <v>8.0</v>
      </c>
      <c r="D3124" s="14">
        <v>3.0</v>
      </c>
      <c r="E3124" s="14">
        <v>1.0</v>
      </c>
      <c r="F3124" s="14" t="s">
        <v>16</v>
      </c>
      <c r="G3124" s="3" t="s">
        <v>27</v>
      </c>
      <c r="H3124" s="14">
        <v>8.17</v>
      </c>
      <c r="I3124" s="14">
        <v>6.5</v>
      </c>
      <c r="J3124" s="3">
        <f t="shared" si="47"/>
        <v>14.67</v>
      </c>
    </row>
    <row r="3125" ht="15.75" customHeight="1">
      <c r="A3125" s="3">
        <f t="shared" si="46"/>
        <v>3124</v>
      </c>
      <c r="B3125" s="14">
        <v>2014.0</v>
      </c>
      <c r="C3125" s="14">
        <v>8.0</v>
      </c>
      <c r="D3125" s="14">
        <v>3.0</v>
      </c>
      <c r="E3125" s="14">
        <v>1.0</v>
      </c>
      <c r="F3125" s="14" t="s">
        <v>16</v>
      </c>
      <c r="G3125" s="3" t="s">
        <v>35</v>
      </c>
      <c r="H3125" s="14">
        <v>5.77</v>
      </c>
      <c r="I3125" s="14">
        <v>5.67</v>
      </c>
      <c r="J3125" s="3">
        <f t="shared" si="47"/>
        <v>11.44</v>
      </c>
    </row>
    <row r="3126" ht="15.75" customHeight="1">
      <c r="A3126" s="3">
        <f t="shared" si="46"/>
        <v>3125</v>
      </c>
      <c r="B3126" s="14">
        <v>2014.0</v>
      </c>
      <c r="C3126" s="14">
        <v>8.0</v>
      </c>
      <c r="D3126" s="14">
        <v>3.0</v>
      </c>
      <c r="E3126" s="14">
        <v>2.0</v>
      </c>
      <c r="F3126" s="14" t="s">
        <v>16</v>
      </c>
      <c r="G3126" s="3" t="s">
        <v>56</v>
      </c>
      <c r="H3126" s="14">
        <v>8.1</v>
      </c>
      <c r="I3126" s="14">
        <v>7.5</v>
      </c>
      <c r="J3126" s="3">
        <f t="shared" si="47"/>
        <v>15.6</v>
      </c>
    </row>
    <row r="3127" ht="15.75" customHeight="1">
      <c r="A3127" s="3">
        <f t="shared" si="46"/>
        <v>3126</v>
      </c>
      <c r="B3127" s="14">
        <v>2014.0</v>
      </c>
      <c r="C3127" s="14">
        <v>8.0</v>
      </c>
      <c r="D3127" s="14">
        <v>3.0</v>
      </c>
      <c r="E3127" s="14">
        <v>2.0</v>
      </c>
      <c r="F3127" s="14" t="s">
        <v>16</v>
      </c>
      <c r="G3127" s="3" t="s">
        <v>47</v>
      </c>
      <c r="H3127" s="14">
        <v>9.43</v>
      </c>
      <c r="I3127" s="14">
        <v>6.87</v>
      </c>
      <c r="J3127" s="3">
        <f t="shared" si="47"/>
        <v>16.3</v>
      </c>
    </row>
    <row r="3128" ht="15.75" customHeight="1">
      <c r="A3128" s="3">
        <f t="shared" si="46"/>
        <v>3127</v>
      </c>
      <c r="B3128" s="14">
        <v>2014.0</v>
      </c>
      <c r="C3128" s="14">
        <v>8.0</v>
      </c>
      <c r="D3128" s="14">
        <v>3.0</v>
      </c>
      <c r="E3128" s="14">
        <v>3.0</v>
      </c>
      <c r="F3128" s="14" t="s">
        <v>16</v>
      </c>
      <c r="G3128" s="3" t="s">
        <v>41</v>
      </c>
      <c r="H3128" s="14">
        <v>6.83</v>
      </c>
      <c r="I3128" s="14">
        <v>6.77</v>
      </c>
      <c r="J3128" s="3">
        <f t="shared" si="47"/>
        <v>13.6</v>
      </c>
    </row>
    <row r="3129" ht="15.75" customHeight="1">
      <c r="A3129" s="3">
        <f t="shared" si="46"/>
        <v>3128</v>
      </c>
      <c r="B3129" s="14">
        <v>2014.0</v>
      </c>
      <c r="C3129" s="14">
        <v>8.0</v>
      </c>
      <c r="D3129" s="14">
        <v>3.0</v>
      </c>
      <c r="E3129" s="14">
        <v>3.0</v>
      </c>
      <c r="F3129" s="14" t="s">
        <v>16</v>
      </c>
      <c r="G3129" s="3" t="s">
        <v>120</v>
      </c>
      <c r="H3129" s="14">
        <v>7.83</v>
      </c>
      <c r="I3129" s="14">
        <v>3.0</v>
      </c>
      <c r="J3129" s="3">
        <f t="shared" si="47"/>
        <v>10.83</v>
      </c>
    </row>
    <row r="3130" ht="15.75" customHeight="1">
      <c r="A3130" s="3">
        <f t="shared" si="46"/>
        <v>3129</v>
      </c>
      <c r="B3130" s="14">
        <v>2014.0</v>
      </c>
      <c r="C3130" s="14">
        <v>8.0</v>
      </c>
      <c r="D3130" s="14">
        <v>3.0</v>
      </c>
      <c r="E3130" s="14">
        <v>4.0</v>
      </c>
      <c r="F3130" s="14" t="s">
        <v>16</v>
      </c>
      <c r="G3130" s="3" t="s">
        <v>32</v>
      </c>
      <c r="H3130" s="14">
        <v>5.5</v>
      </c>
      <c r="I3130" s="14">
        <v>5.43</v>
      </c>
      <c r="J3130" s="3">
        <f t="shared" si="47"/>
        <v>10.93</v>
      </c>
    </row>
    <row r="3131" ht="15.75" customHeight="1">
      <c r="A3131" s="3">
        <f t="shared" si="46"/>
        <v>3130</v>
      </c>
      <c r="B3131" s="14">
        <v>2014.0</v>
      </c>
      <c r="C3131" s="14">
        <v>8.0</v>
      </c>
      <c r="D3131" s="14">
        <v>3.0</v>
      </c>
      <c r="E3131" s="14">
        <v>4.0</v>
      </c>
      <c r="F3131" s="14" t="s">
        <v>16</v>
      </c>
      <c r="G3131" s="3" t="s">
        <v>55</v>
      </c>
      <c r="H3131" s="14">
        <v>6.83</v>
      </c>
      <c r="I3131" s="14">
        <v>4.33</v>
      </c>
      <c r="J3131" s="3">
        <f t="shared" si="47"/>
        <v>11.16</v>
      </c>
    </row>
    <row r="3132" ht="15.75" customHeight="1">
      <c r="A3132" s="3">
        <f t="shared" si="46"/>
        <v>3131</v>
      </c>
      <c r="B3132" s="14">
        <v>2014.0</v>
      </c>
      <c r="C3132" s="14">
        <v>8.0</v>
      </c>
      <c r="D3132" s="14">
        <v>3.0</v>
      </c>
      <c r="E3132" s="14">
        <v>5.0</v>
      </c>
      <c r="F3132" s="14" t="s">
        <v>16</v>
      </c>
      <c r="G3132" s="3" t="s">
        <v>28</v>
      </c>
      <c r="H3132" s="14">
        <v>6.67</v>
      </c>
      <c r="I3132" s="14">
        <v>5.5</v>
      </c>
      <c r="J3132" s="3">
        <f t="shared" si="47"/>
        <v>12.17</v>
      </c>
    </row>
    <row r="3133" ht="15.75" customHeight="1">
      <c r="A3133" s="3">
        <f t="shared" si="46"/>
        <v>3132</v>
      </c>
      <c r="B3133" s="14">
        <v>2014.0</v>
      </c>
      <c r="C3133" s="14">
        <v>8.0</v>
      </c>
      <c r="D3133" s="14">
        <v>3.0</v>
      </c>
      <c r="E3133" s="14">
        <v>5.0</v>
      </c>
      <c r="F3133" s="14" t="s">
        <v>16</v>
      </c>
      <c r="G3133" s="3" t="s">
        <v>31</v>
      </c>
      <c r="H3133" s="14">
        <v>6.1</v>
      </c>
      <c r="I3133" s="14">
        <v>3.83</v>
      </c>
      <c r="J3133" s="3">
        <f t="shared" si="47"/>
        <v>9.93</v>
      </c>
    </row>
    <row r="3134" ht="15.75" customHeight="1">
      <c r="A3134" s="3">
        <f t="shared" si="46"/>
        <v>3133</v>
      </c>
      <c r="B3134" s="14">
        <v>2014.0</v>
      </c>
      <c r="C3134" s="14">
        <v>8.0</v>
      </c>
      <c r="D3134" s="14">
        <v>3.0</v>
      </c>
      <c r="E3134" s="14">
        <v>6.0</v>
      </c>
      <c r="F3134" s="14" t="s">
        <v>16</v>
      </c>
      <c r="G3134" s="3" t="s">
        <v>30</v>
      </c>
      <c r="H3134" s="14">
        <v>6.83</v>
      </c>
      <c r="I3134" s="14">
        <v>6.47</v>
      </c>
      <c r="J3134" s="3">
        <f t="shared" si="47"/>
        <v>13.3</v>
      </c>
    </row>
    <row r="3135" ht="15.75" customHeight="1">
      <c r="A3135" s="3">
        <f t="shared" si="46"/>
        <v>3134</v>
      </c>
      <c r="B3135" s="14">
        <v>2014.0</v>
      </c>
      <c r="C3135" s="14">
        <v>8.0</v>
      </c>
      <c r="D3135" s="14">
        <v>3.0</v>
      </c>
      <c r="E3135" s="14">
        <v>6.0</v>
      </c>
      <c r="F3135" s="14" t="s">
        <v>16</v>
      </c>
      <c r="G3135" s="3" t="s">
        <v>133</v>
      </c>
      <c r="H3135" s="14">
        <v>5.1</v>
      </c>
      <c r="I3135" s="14">
        <v>3.67</v>
      </c>
      <c r="J3135" s="3">
        <f t="shared" si="47"/>
        <v>8.77</v>
      </c>
    </row>
    <row r="3136" ht="15.75" customHeight="1">
      <c r="A3136" s="3">
        <f t="shared" si="46"/>
        <v>3135</v>
      </c>
      <c r="B3136" s="14">
        <v>2014.0</v>
      </c>
      <c r="C3136" s="14">
        <v>8.0</v>
      </c>
      <c r="D3136" s="14">
        <v>3.0</v>
      </c>
      <c r="E3136" s="14">
        <v>7.0</v>
      </c>
      <c r="F3136" s="14" t="s">
        <v>16</v>
      </c>
      <c r="G3136" s="3" t="s">
        <v>37</v>
      </c>
      <c r="H3136" s="14">
        <v>7.67</v>
      </c>
      <c r="I3136" s="14">
        <v>6.5</v>
      </c>
      <c r="J3136" s="3">
        <f t="shared" si="47"/>
        <v>14.17</v>
      </c>
    </row>
    <row r="3137" ht="15.75" customHeight="1">
      <c r="A3137" s="3">
        <f t="shared" si="46"/>
        <v>3136</v>
      </c>
      <c r="B3137" s="14">
        <v>2014.0</v>
      </c>
      <c r="C3137" s="14">
        <v>8.0</v>
      </c>
      <c r="D3137" s="14">
        <v>3.0</v>
      </c>
      <c r="E3137" s="14">
        <v>7.0</v>
      </c>
      <c r="F3137" s="14" t="s">
        <v>16</v>
      </c>
      <c r="G3137" s="3" t="s">
        <v>90</v>
      </c>
      <c r="H3137" s="14">
        <v>7.07</v>
      </c>
      <c r="I3137" s="14">
        <v>6.77</v>
      </c>
      <c r="J3137" s="3">
        <f t="shared" si="47"/>
        <v>13.84</v>
      </c>
    </row>
    <row r="3138" ht="15.75" customHeight="1">
      <c r="A3138" s="3">
        <f t="shared" si="46"/>
        <v>3137</v>
      </c>
      <c r="B3138" s="14">
        <v>2014.0</v>
      </c>
      <c r="C3138" s="14">
        <v>8.0</v>
      </c>
      <c r="D3138" s="14">
        <v>3.0</v>
      </c>
      <c r="E3138" s="14">
        <v>8.0</v>
      </c>
      <c r="F3138" s="14" t="s">
        <v>16</v>
      </c>
      <c r="G3138" s="3" t="s">
        <v>26</v>
      </c>
      <c r="H3138" s="14">
        <v>8.9</v>
      </c>
      <c r="I3138" s="14">
        <v>7.67</v>
      </c>
      <c r="J3138" s="3">
        <f t="shared" si="47"/>
        <v>16.57</v>
      </c>
    </row>
    <row r="3139" ht="15.75" customHeight="1">
      <c r="A3139" s="3">
        <f t="shared" si="46"/>
        <v>3138</v>
      </c>
      <c r="B3139" s="14">
        <v>2014.0</v>
      </c>
      <c r="C3139" s="14">
        <v>8.0</v>
      </c>
      <c r="D3139" s="14">
        <v>3.0</v>
      </c>
      <c r="E3139" s="14">
        <v>8.0</v>
      </c>
      <c r="F3139" s="14" t="s">
        <v>16</v>
      </c>
      <c r="G3139" s="3" t="s">
        <v>125</v>
      </c>
      <c r="H3139" s="14">
        <v>6.83</v>
      </c>
      <c r="I3139" s="14">
        <v>5.0</v>
      </c>
      <c r="J3139" s="3">
        <f t="shared" si="47"/>
        <v>11.83</v>
      </c>
    </row>
    <row r="3140" ht="15.75" customHeight="1">
      <c r="A3140" s="3">
        <f t="shared" si="46"/>
        <v>3139</v>
      </c>
      <c r="B3140" s="14">
        <v>2014.0</v>
      </c>
      <c r="C3140" s="14">
        <v>8.0</v>
      </c>
      <c r="D3140" s="14">
        <v>3.0</v>
      </c>
      <c r="E3140" s="14">
        <v>9.0</v>
      </c>
      <c r="F3140" s="14" t="s">
        <v>16</v>
      </c>
      <c r="G3140" s="3" t="s">
        <v>42</v>
      </c>
      <c r="H3140" s="14">
        <v>8.77</v>
      </c>
      <c r="I3140" s="14">
        <v>7.9</v>
      </c>
      <c r="J3140" s="3">
        <f t="shared" si="47"/>
        <v>16.67</v>
      </c>
    </row>
    <row r="3141" ht="15.75" customHeight="1">
      <c r="A3141" s="3">
        <f t="shared" si="46"/>
        <v>3140</v>
      </c>
      <c r="B3141" s="14">
        <v>2014.0</v>
      </c>
      <c r="C3141" s="14">
        <v>8.0</v>
      </c>
      <c r="D3141" s="14">
        <v>3.0</v>
      </c>
      <c r="E3141" s="14">
        <v>9.0</v>
      </c>
      <c r="F3141" s="14" t="s">
        <v>16</v>
      </c>
      <c r="G3141" s="3" t="s">
        <v>33</v>
      </c>
      <c r="H3141" s="14">
        <v>8.77</v>
      </c>
      <c r="I3141" s="14">
        <v>7.9</v>
      </c>
      <c r="J3141" s="3">
        <f t="shared" si="47"/>
        <v>16.67</v>
      </c>
    </row>
    <row r="3142" ht="15.75" customHeight="1">
      <c r="A3142" s="3">
        <f t="shared" si="46"/>
        <v>3141</v>
      </c>
      <c r="B3142" s="14">
        <v>2014.0</v>
      </c>
      <c r="C3142" s="14">
        <v>8.0</v>
      </c>
      <c r="D3142" s="14">
        <v>3.0</v>
      </c>
      <c r="E3142" s="14">
        <v>10.0</v>
      </c>
      <c r="F3142" s="14" t="s">
        <v>16</v>
      </c>
      <c r="G3142" s="3" t="s">
        <v>62</v>
      </c>
      <c r="H3142" s="14">
        <v>8.7</v>
      </c>
      <c r="I3142" s="14">
        <v>6.0</v>
      </c>
      <c r="J3142" s="3">
        <f t="shared" si="47"/>
        <v>14.7</v>
      </c>
    </row>
    <row r="3143" ht="15.75" customHeight="1">
      <c r="A3143" s="3">
        <f t="shared" si="46"/>
        <v>3142</v>
      </c>
      <c r="B3143" s="14">
        <v>2014.0</v>
      </c>
      <c r="C3143" s="14">
        <v>8.0</v>
      </c>
      <c r="D3143" s="14">
        <v>3.0</v>
      </c>
      <c r="E3143" s="14">
        <v>10.0</v>
      </c>
      <c r="F3143" s="14" t="s">
        <v>16</v>
      </c>
      <c r="G3143" s="3" t="s">
        <v>60</v>
      </c>
      <c r="H3143" s="14">
        <v>7.83</v>
      </c>
      <c r="I3143" s="14">
        <v>6.27</v>
      </c>
      <c r="J3143" s="3">
        <f t="shared" si="47"/>
        <v>14.1</v>
      </c>
    </row>
    <row r="3144" ht="15.75" customHeight="1">
      <c r="A3144" s="3">
        <f t="shared" si="46"/>
        <v>3143</v>
      </c>
      <c r="B3144" s="14">
        <v>2014.0</v>
      </c>
      <c r="C3144" s="14">
        <v>8.0</v>
      </c>
      <c r="D3144" s="14">
        <v>3.0</v>
      </c>
      <c r="E3144" s="14">
        <v>11.0</v>
      </c>
      <c r="F3144" s="14" t="s">
        <v>16</v>
      </c>
      <c r="G3144" s="3" t="s">
        <v>57</v>
      </c>
      <c r="H3144" s="14">
        <v>7.87</v>
      </c>
      <c r="I3144" s="14">
        <v>7.5</v>
      </c>
      <c r="J3144" s="3">
        <f t="shared" si="47"/>
        <v>15.37</v>
      </c>
    </row>
    <row r="3145" ht="15.75" customHeight="1">
      <c r="A3145" s="3">
        <f t="shared" si="46"/>
        <v>3144</v>
      </c>
      <c r="B3145" s="14">
        <v>2014.0</v>
      </c>
      <c r="C3145" s="14">
        <v>8.0</v>
      </c>
      <c r="D3145" s="14">
        <v>3.0</v>
      </c>
      <c r="E3145" s="14">
        <v>11.0</v>
      </c>
      <c r="F3145" s="14" t="s">
        <v>16</v>
      </c>
      <c r="G3145" s="3" t="s">
        <v>123</v>
      </c>
      <c r="H3145" s="14">
        <v>6.93</v>
      </c>
      <c r="I3145" s="14">
        <v>6.5</v>
      </c>
      <c r="J3145" s="3">
        <f t="shared" si="47"/>
        <v>13.43</v>
      </c>
    </row>
    <row r="3146" ht="15.75" customHeight="1">
      <c r="A3146" s="3">
        <f t="shared" si="46"/>
        <v>3145</v>
      </c>
      <c r="B3146" s="14">
        <v>2014.0</v>
      </c>
      <c r="C3146" s="14">
        <v>8.0</v>
      </c>
      <c r="D3146" s="14">
        <v>3.0</v>
      </c>
      <c r="E3146" s="14">
        <v>12.0</v>
      </c>
      <c r="F3146" s="14" t="s">
        <v>16</v>
      </c>
      <c r="G3146" s="3" t="s">
        <v>39</v>
      </c>
      <c r="H3146" s="14">
        <v>8.5</v>
      </c>
      <c r="I3146" s="3">
        <v>7.53</v>
      </c>
      <c r="J3146" s="3">
        <f t="shared" si="47"/>
        <v>16.03</v>
      </c>
    </row>
    <row r="3147" ht="15.75" customHeight="1">
      <c r="A3147" s="3">
        <f t="shared" si="46"/>
        <v>3146</v>
      </c>
      <c r="B3147" s="14">
        <v>2014.0</v>
      </c>
      <c r="C3147" s="14">
        <v>8.0</v>
      </c>
      <c r="D3147" s="14">
        <v>3.0</v>
      </c>
      <c r="E3147" s="14">
        <v>12.0</v>
      </c>
      <c r="F3147" s="14" t="s">
        <v>16</v>
      </c>
      <c r="G3147" s="3" t="s">
        <v>107</v>
      </c>
      <c r="H3147" s="3">
        <v>7.5</v>
      </c>
      <c r="I3147" s="14">
        <v>6.2</v>
      </c>
      <c r="J3147" s="3">
        <f t="shared" si="47"/>
        <v>13.7</v>
      </c>
    </row>
    <row r="3148" ht="15.75" customHeight="1">
      <c r="A3148" s="3">
        <f t="shared" si="46"/>
        <v>3147</v>
      </c>
      <c r="B3148" s="14">
        <v>2014.0</v>
      </c>
      <c r="C3148" s="14">
        <v>8.0</v>
      </c>
      <c r="D3148" s="14">
        <v>4.0</v>
      </c>
      <c r="E3148" s="14">
        <v>1.0</v>
      </c>
      <c r="F3148" s="14" t="s">
        <v>16</v>
      </c>
      <c r="G3148" s="3" t="s">
        <v>27</v>
      </c>
      <c r="H3148" s="14">
        <v>8.87</v>
      </c>
      <c r="I3148" s="14">
        <v>6.83</v>
      </c>
      <c r="J3148" s="3">
        <f t="shared" si="47"/>
        <v>15.7</v>
      </c>
    </row>
    <row r="3149" ht="15.75" customHeight="1">
      <c r="A3149" s="3">
        <f t="shared" si="46"/>
        <v>3148</v>
      </c>
      <c r="B3149" s="14">
        <v>2014.0</v>
      </c>
      <c r="C3149" s="14">
        <v>8.0</v>
      </c>
      <c r="D3149" s="14">
        <v>4.0</v>
      </c>
      <c r="E3149" s="14">
        <v>1.0</v>
      </c>
      <c r="F3149" s="14" t="s">
        <v>16</v>
      </c>
      <c r="G3149" s="3" t="s">
        <v>47</v>
      </c>
      <c r="H3149" s="14">
        <v>5.67</v>
      </c>
      <c r="I3149" s="14">
        <v>5.47</v>
      </c>
      <c r="J3149" s="3">
        <f t="shared" si="47"/>
        <v>11.14</v>
      </c>
    </row>
    <row r="3150" ht="15.75" customHeight="1">
      <c r="A3150" s="3">
        <f t="shared" si="46"/>
        <v>3149</v>
      </c>
      <c r="B3150" s="14">
        <v>2014.0</v>
      </c>
      <c r="C3150" s="14">
        <v>8.0</v>
      </c>
      <c r="D3150" s="14">
        <v>4.0</v>
      </c>
      <c r="E3150" s="14">
        <v>1.0</v>
      </c>
      <c r="F3150" s="14" t="s">
        <v>16</v>
      </c>
      <c r="G3150" s="3" t="s">
        <v>41</v>
      </c>
      <c r="H3150" s="14">
        <v>9.07</v>
      </c>
      <c r="I3150" s="14">
        <v>6.83</v>
      </c>
      <c r="J3150" s="3">
        <f t="shared" si="47"/>
        <v>15.9</v>
      </c>
    </row>
    <row r="3151" ht="15.75" customHeight="1">
      <c r="A3151" s="3">
        <f t="shared" si="46"/>
        <v>3150</v>
      </c>
      <c r="B3151" s="14">
        <v>2014.0</v>
      </c>
      <c r="C3151" s="14">
        <v>8.0</v>
      </c>
      <c r="D3151" s="14">
        <v>4.0</v>
      </c>
      <c r="E3151" s="14">
        <v>2.0</v>
      </c>
      <c r="F3151" s="14" t="s">
        <v>16</v>
      </c>
      <c r="G3151" s="3" t="s">
        <v>55</v>
      </c>
      <c r="H3151" s="14">
        <v>9.1</v>
      </c>
      <c r="I3151" s="14">
        <v>5.9</v>
      </c>
      <c r="J3151" s="3">
        <f t="shared" si="47"/>
        <v>15</v>
      </c>
    </row>
    <row r="3152" ht="15.75" customHeight="1">
      <c r="A3152" s="3">
        <f t="shared" si="46"/>
        <v>3151</v>
      </c>
      <c r="B3152" s="14">
        <v>2014.0</v>
      </c>
      <c r="C3152" s="14">
        <v>8.0</v>
      </c>
      <c r="D3152" s="14">
        <v>4.0</v>
      </c>
      <c r="E3152" s="14">
        <v>2.0</v>
      </c>
      <c r="F3152" s="14" t="s">
        <v>16</v>
      </c>
      <c r="G3152" s="3" t="s">
        <v>28</v>
      </c>
      <c r="H3152" s="14">
        <v>6.7</v>
      </c>
      <c r="I3152" s="14">
        <v>6.33</v>
      </c>
      <c r="J3152" s="3">
        <f t="shared" si="47"/>
        <v>13.03</v>
      </c>
    </row>
    <row r="3153" ht="15.75" customHeight="1">
      <c r="A3153" s="3">
        <f t="shared" si="46"/>
        <v>3152</v>
      </c>
      <c r="B3153" s="14">
        <v>2014.0</v>
      </c>
      <c r="C3153" s="14">
        <v>8.0</v>
      </c>
      <c r="D3153" s="14">
        <v>4.0</v>
      </c>
      <c r="E3153" s="14">
        <v>2.0</v>
      </c>
      <c r="F3153" s="14" t="s">
        <v>16</v>
      </c>
      <c r="G3153" s="3" t="s">
        <v>30</v>
      </c>
      <c r="H3153" s="14">
        <v>9.63</v>
      </c>
      <c r="I3153" s="14">
        <v>6.83</v>
      </c>
      <c r="J3153" s="3">
        <f t="shared" si="47"/>
        <v>16.46</v>
      </c>
    </row>
    <row r="3154" ht="15.75" customHeight="1">
      <c r="A3154" s="3">
        <f t="shared" si="46"/>
        <v>3153</v>
      </c>
      <c r="B3154" s="14">
        <v>2014.0</v>
      </c>
      <c r="C3154" s="14">
        <v>8.0</v>
      </c>
      <c r="D3154" s="14">
        <v>4.0</v>
      </c>
      <c r="E3154" s="14">
        <v>3.0</v>
      </c>
      <c r="F3154" s="14" t="s">
        <v>16</v>
      </c>
      <c r="G3154" s="3" t="s">
        <v>37</v>
      </c>
      <c r="H3154" s="14">
        <v>7.0</v>
      </c>
      <c r="I3154" s="14">
        <v>4.83</v>
      </c>
      <c r="J3154" s="3">
        <f t="shared" si="47"/>
        <v>11.83</v>
      </c>
    </row>
    <row r="3155" ht="15.75" customHeight="1">
      <c r="A3155" s="3">
        <f t="shared" si="46"/>
        <v>3154</v>
      </c>
      <c r="B3155" s="14">
        <v>2014.0</v>
      </c>
      <c r="C3155" s="14">
        <v>8.0</v>
      </c>
      <c r="D3155" s="14">
        <v>4.0</v>
      </c>
      <c r="E3155" s="14">
        <v>3.0</v>
      </c>
      <c r="F3155" s="14" t="s">
        <v>16</v>
      </c>
      <c r="G3155" s="3" t="s">
        <v>26</v>
      </c>
      <c r="H3155" s="14">
        <v>9.93</v>
      </c>
      <c r="I3155" s="14">
        <v>9.8</v>
      </c>
      <c r="J3155" s="3">
        <f t="shared" si="47"/>
        <v>19.73</v>
      </c>
    </row>
    <row r="3156" ht="15.75" customHeight="1">
      <c r="A3156" s="3">
        <f t="shared" si="46"/>
        <v>3155</v>
      </c>
      <c r="B3156" s="14">
        <v>2014.0</v>
      </c>
      <c r="C3156" s="14">
        <v>8.0</v>
      </c>
      <c r="D3156" s="14">
        <v>4.0</v>
      </c>
      <c r="E3156" s="14">
        <v>3.0</v>
      </c>
      <c r="F3156" s="14" t="s">
        <v>16</v>
      </c>
      <c r="G3156" s="3" t="s">
        <v>42</v>
      </c>
      <c r="H3156" s="14">
        <v>9.07</v>
      </c>
      <c r="I3156" s="14">
        <v>8.77</v>
      </c>
      <c r="J3156" s="3">
        <f t="shared" si="47"/>
        <v>17.84</v>
      </c>
    </row>
    <row r="3157" ht="15.75" customHeight="1">
      <c r="A3157" s="3">
        <f t="shared" si="46"/>
        <v>3156</v>
      </c>
      <c r="B3157" s="14">
        <v>2014.0</v>
      </c>
      <c r="C3157" s="14">
        <v>8.0</v>
      </c>
      <c r="D3157" s="14">
        <v>4.0</v>
      </c>
      <c r="E3157" s="14">
        <v>4.0</v>
      </c>
      <c r="F3157" s="14" t="s">
        <v>16</v>
      </c>
      <c r="G3157" s="3" t="s">
        <v>62</v>
      </c>
      <c r="H3157" s="14">
        <v>8.17</v>
      </c>
      <c r="I3157" s="14">
        <v>6.27</v>
      </c>
      <c r="J3157" s="3">
        <f t="shared" si="47"/>
        <v>14.44</v>
      </c>
    </row>
    <row r="3158" ht="15.75" customHeight="1">
      <c r="A3158" s="3">
        <f t="shared" si="46"/>
        <v>3157</v>
      </c>
      <c r="B3158" s="14">
        <v>2014.0</v>
      </c>
      <c r="C3158" s="14">
        <v>8.0</v>
      </c>
      <c r="D3158" s="14">
        <v>4.0</v>
      </c>
      <c r="E3158" s="14">
        <v>4.0</v>
      </c>
      <c r="F3158" s="14" t="s">
        <v>16</v>
      </c>
      <c r="G3158" s="3" t="s">
        <v>57</v>
      </c>
      <c r="H3158" s="14">
        <v>7.07</v>
      </c>
      <c r="I3158" s="14">
        <v>6.83</v>
      </c>
      <c r="J3158" s="3">
        <f t="shared" si="47"/>
        <v>13.9</v>
      </c>
    </row>
    <row r="3159" ht="15.75" customHeight="1">
      <c r="A3159" s="3">
        <f t="shared" si="46"/>
        <v>3158</v>
      </c>
      <c r="B3159" s="14">
        <v>2014.0</v>
      </c>
      <c r="C3159" s="14">
        <v>8.0</v>
      </c>
      <c r="D3159" s="14">
        <v>4.0</v>
      </c>
      <c r="E3159" s="14">
        <v>4.0</v>
      </c>
      <c r="F3159" s="14" t="s">
        <v>16</v>
      </c>
      <c r="G3159" s="3" t="s">
        <v>39</v>
      </c>
      <c r="H3159" s="14">
        <v>8.27</v>
      </c>
      <c r="I3159" s="14">
        <v>6.3</v>
      </c>
      <c r="J3159" s="3">
        <f t="shared" si="47"/>
        <v>14.57</v>
      </c>
    </row>
    <row r="3160" ht="15.75" customHeight="1">
      <c r="A3160" s="3">
        <f t="shared" si="46"/>
        <v>3159</v>
      </c>
      <c r="B3160" s="14">
        <v>2014.0</v>
      </c>
      <c r="C3160" s="14">
        <v>8.0</v>
      </c>
      <c r="D3160" s="14">
        <v>5.0</v>
      </c>
      <c r="E3160" s="14">
        <v>1.0</v>
      </c>
      <c r="F3160" s="14" t="s">
        <v>16</v>
      </c>
      <c r="G3160" s="3" t="s">
        <v>27</v>
      </c>
      <c r="H3160" s="14">
        <v>8.07</v>
      </c>
      <c r="I3160" s="14">
        <v>7.0</v>
      </c>
      <c r="J3160" s="3">
        <f t="shared" si="47"/>
        <v>15.07</v>
      </c>
    </row>
    <row r="3161" ht="15.75" customHeight="1">
      <c r="A3161" s="3">
        <f t="shared" si="46"/>
        <v>3160</v>
      </c>
      <c r="B3161" s="14">
        <v>2014.0</v>
      </c>
      <c r="C3161" s="14">
        <v>8.0</v>
      </c>
      <c r="D3161" s="14">
        <v>5.0</v>
      </c>
      <c r="E3161" s="14">
        <v>1.0</v>
      </c>
      <c r="F3161" s="14" t="s">
        <v>16</v>
      </c>
      <c r="G3161" s="3" t="s">
        <v>28</v>
      </c>
      <c r="H3161" s="14">
        <v>8.17</v>
      </c>
      <c r="I3161" s="14">
        <v>7.57</v>
      </c>
      <c r="J3161" s="3">
        <f t="shared" si="47"/>
        <v>15.74</v>
      </c>
    </row>
    <row r="3162" ht="15.75" customHeight="1">
      <c r="A3162" s="3">
        <f t="shared" si="46"/>
        <v>3161</v>
      </c>
      <c r="B3162" s="14">
        <v>2014.0</v>
      </c>
      <c r="C3162" s="14">
        <v>8.0</v>
      </c>
      <c r="D3162" s="14">
        <v>5.0</v>
      </c>
      <c r="E3162" s="14">
        <v>2.0</v>
      </c>
      <c r="F3162" s="14" t="s">
        <v>16</v>
      </c>
      <c r="G3162" s="3" t="s">
        <v>55</v>
      </c>
      <c r="H3162" s="14">
        <v>8.77</v>
      </c>
      <c r="I3162" s="14">
        <v>1.5</v>
      </c>
      <c r="J3162" s="3">
        <f t="shared" si="47"/>
        <v>10.27</v>
      </c>
    </row>
    <row r="3163" ht="15.75" customHeight="1">
      <c r="A3163" s="3">
        <f t="shared" si="46"/>
        <v>3162</v>
      </c>
      <c r="B3163" s="14">
        <v>2014.0</v>
      </c>
      <c r="C3163" s="14">
        <v>8.0</v>
      </c>
      <c r="D3163" s="14">
        <v>5.0</v>
      </c>
      <c r="E3163" s="14">
        <v>2.0</v>
      </c>
      <c r="F3163" s="14" t="s">
        <v>16</v>
      </c>
      <c r="G3163" s="3" t="s">
        <v>47</v>
      </c>
      <c r="H3163" s="14">
        <v>8.5</v>
      </c>
      <c r="I3163" s="14">
        <v>7.0</v>
      </c>
      <c r="J3163" s="3">
        <f t="shared" si="47"/>
        <v>15.5</v>
      </c>
    </row>
    <row r="3164" ht="15.75" customHeight="1">
      <c r="A3164" s="3">
        <f t="shared" si="46"/>
        <v>3163</v>
      </c>
      <c r="B3164" s="14">
        <v>2014.0</v>
      </c>
      <c r="C3164" s="14">
        <v>8.0</v>
      </c>
      <c r="D3164" s="14">
        <v>5.0</v>
      </c>
      <c r="E3164" s="14">
        <v>3.0</v>
      </c>
      <c r="F3164" s="14" t="s">
        <v>16</v>
      </c>
      <c r="G3164" s="3" t="s">
        <v>42</v>
      </c>
      <c r="H3164" s="14">
        <v>9.07</v>
      </c>
      <c r="I3164" s="14">
        <v>8.93</v>
      </c>
      <c r="J3164" s="3">
        <f t="shared" si="47"/>
        <v>18</v>
      </c>
    </row>
    <row r="3165" ht="15.75" customHeight="1">
      <c r="A3165" s="3">
        <f t="shared" si="46"/>
        <v>3164</v>
      </c>
      <c r="B3165" s="14">
        <v>2014.0</v>
      </c>
      <c r="C3165" s="14">
        <v>8.0</v>
      </c>
      <c r="D3165" s="14">
        <v>5.0</v>
      </c>
      <c r="E3165" s="14">
        <v>3.0</v>
      </c>
      <c r="F3165" s="14" t="s">
        <v>16</v>
      </c>
      <c r="G3165" s="3" t="s">
        <v>57</v>
      </c>
      <c r="H3165" s="14">
        <v>6.67</v>
      </c>
      <c r="I3165" s="14">
        <v>5.67</v>
      </c>
      <c r="J3165" s="3">
        <f t="shared" si="47"/>
        <v>12.34</v>
      </c>
    </row>
    <row r="3166" ht="15.75" customHeight="1">
      <c r="A3166" s="3">
        <f t="shared" si="46"/>
        <v>3165</v>
      </c>
      <c r="B3166" s="14">
        <v>2014.0</v>
      </c>
      <c r="C3166" s="14">
        <v>8.0</v>
      </c>
      <c r="D3166" s="14">
        <v>5.0</v>
      </c>
      <c r="E3166" s="14">
        <v>4.0</v>
      </c>
      <c r="F3166" s="14" t="s">
        <v>16</v>
      </c>
      <c r="G3166" s="3" t="s">
        <v>62</v>
      </c>
      <c r="H3166" s="14">
        <v>7.93</v>
      </c>
      <c r="I3166" s="14">
        <v>7.9</v>
      </c>
      <c r="J3166" s="3">
        <f t="shared" si="47"/>
        <v>15.83</v>
      </c>
    </row>
    <row r="3167" ht="15.75" customHeight="1">
      <c r="A3167" s="3">
        <f t="shared" si="46"/>
        <v>3166</v>
      </c>
      <c r="B3167" s="14">
        <v>2014.0</v>
      </c>
      <c r="C3167" s="14">
        <v>8.0</v>
      </c>
      <c r="D3167" s="14">
        <v>5.0</v>
      </c>
      <c r="E3167" s="14">
        <v>4.0</v>
      </c>
      <c r="F3167" s="14" t="s">
        <v>16</v>
      </c>
      <c r="G3167" s="3" t="s">
        <v>37</v>
      </c>
      <c r="H3167" s="14">
        <v>8.6</v>
      </c>
      <c r="I3167" s="14">
        <v>7.27</v>
      </c>
      <c r="J3167" s="3">
        <f t="shared" si="47"/>
        <v>15.87</v>
      </c>
    </row>
    <row r="3168" ht="15.75" customHeight="1">
      <c r="A3168" s="3">
        <f t="shared" si="46"/>
        <v>3167</v>
      </c>
      <c r="B3168" s="14">
        <v>2014.0</v>
      </c>
      <c r="C3168" s="14">
        <v>8.0</v>
      </c>
      <c r="D3168" s="14">
        <v>6.0</v>
      </c>
      <c r="E3168" s="14">
        <v>1.0</v>
      </c>
      <c r="F3168" s="14" t="s">
        <v>16</v>
      </c>
      <c r="G3168" s="3" t="s">
        <v>41</v>
      </c>
      <c r="H3168" s="14">
        <v>8.7</v>
      </c>
      <c r="I3168" s="14">
        <v>4.83</v>
      </c>
      <c r="J3168" s="3">
        <f t="shared" si="47"/>
        <v>13.53</v>
      </c>
    </row>
    <row r="3169" ht="15.75" customHeight="1">
      <c r="A3169" s="3">
        <f t="shared" si="46"/>
        <v>3168</v>
      </c>
      <c r="B3169" s="14">
        <v>2014.0</v>
      </c>
      <c r="C3169" s="14">
        <v>8.0</v>
      </c>
      <c r="D3169" s="14">
        <v>6.0</v>
      </c>
      <c r="E3169" s="14">
        <v>1.0</v>
      </c>
      <c r="F3169" s="14" t="s">
        <v>16</v>
      </c>
      <c r="G3169" s="3" t="s">
        <v>28</v>
      </c>
      <c r="H3169" s="14">
        <v>8.17</v>
      </c>
      <c r="I3169" s="14">
        <v>7.7</v>
      </c>
      <c r="J3169" s="3">
        <f t="shared" si="47"/>
        <v>15.87</v>
      </c>
    </row>
    <row r="3170" ht="15.75" customHeight="1">
      <c r="A3170" s="3">
        <f t="shared" si="46"/>
        <v>3169</v>
      </c>
      <c r="B3170" s="14">
        <v>2014.0</v>
      </c>
      <c r="C3170" s="14">
        <v>8.0</v>
      </c>
      <c r="D3170" s="14">
        <v>6.0</v>
      </c>
      <c r="E3170" s="14">
        <v>2.0</v>
      </c>
      <c r="F3170" s="14" t="s">
        <v>16</v>
      </c>
      <c r="G3170" s="3" t="s">
        <v>30</v>
      </c>
      <c r="H3170" s="14">
        <v>8.27</v>
      </c>
      <c r="I3170" s="14">
        <v>6.5</v>
      </c>
      <c r="J3170" s="3">
        <f t="shared" si="47"/>
        <v>14.77</v>
      </c>
    </row>
    <row r="3171" ht="15.75" customHeight="1">
      <c r="A3171" s="3">
        <f t="shared" si="46"/>
        <v>3170</v>
      </c>
      <c r="B3171" s="14">
        <v>2014.0</v>
      </c>
      <c r="C3171" s="14">
        <v>8.0</v>
      </c>
      <c r="D3171" s="14">
        <v>6.0</v>
      </c>
      <c r="E3171" s="14">
        <v>2.0</v>
      </c>
      <c r="F3171" s="14" t="s">
        <v>16</v>
      </c>
      <c r="G3171" s="3" t="s">
        <v>47</v>
      </c>
      <c r="H3171" s="14">
        <v>9.43</v>
      </c>
      <c r="I3171" s="14">
        <v>8.0</v>
      </c>
      <c r="J3171" s="3">
        <f t="shared" si="47"/>
        <v>17.43</v>
      </c>
    </row>
    <row r="3172" ht="15.75" customHeight="1">
      <c r="A3172" s="3">
        <f t="shared" si="46"/>
        <v>3171</v>
      </c>
      <c r="B3172" s="14">
        <v>2014.0</v>
      </c>
      <c r="C3172" s="14">
        <v>8.0</v>
      </c>
      <c r="D3172" s="14">
        <v>6.0</v>
      </c>
      <c r="E3172" s="14">
        <v>3.0</v>
      </c>
      <c r="F3172" s="14" t="s">
        <v>16</v>
      </c>
      <c r="G3172" s="3" t="s">
        <v>26</v>
      </c>
      <c r="H3172" s="14">
        <v>9.17</v>
      </c>
      <c r="I3172" s="14">
        <v>8.2</v>
      </c>
      <c r="J3172" s="3">
        <f t="shared" si="47"/>
        <v>17.37</v>
      </c>
    </row>
    <row r="3173" ht="15.75" customHeight="1">
      <c r="A3173" s="3">
        <f t="shared" si="46"/>
        <v>3172</v>
      </c>
      <c r="B3173" s="14">
        <v>2014.0</v>
      </c>
      <c r="C3173" s="14">
        <v>8.0</v>
      </c>
      <c r="D3173" s="14">
        <v>6.0</v>
      </c>
      <c r="E3173" s="14">
        <v>3.0</v>
      </c>
      <c r="F3173" s="14" t="s">
        <v>16</v>
      </c>
      <c r="G3173" s="3" t="s">
        <v>42</v>
      </c>
      <c r="H3173" s="14">
        <v>7.83</v>
      </c>
      <c r="I3173" s="14">
        <v>1.43</v>
      </c>
      <c r="J3173" s="3">
        <f t="shared" si="47"/>
        <v>9.26</v>
      </c>
    </row>
    <row r="3174" ht="15.75" customHeight="1">
      <c r="A3174" s="3">
        <f t="shared" si="46"/>
        <v>3173</v>
      </c>
      <c r="B3174" s="14">
        <v>2014.0</v>
      </c>
      <c r="C3174" s="14">
        <v>8.0</v>
      </c>
      <c r="D3174" s="14">
        <v>6.0</v>
      </c>
      <c r="E3174" s="14">
        <v>4.0</v>
      </c>
      <c r="F3174" s="14" t="s">
        <v>16</v>
      </c>
      <c r="G3174" s="3" t="s">
        <v>39</v>
      </c>
      <c r="H3174" s="14">
        <v>6.1</v>
      </c>
      <c r="I3174" s="14">
        <v>5.23</v>
      </c>
      <c r="J3174" s="3">
        <f t="shared" si="47"/>
        <v>11.33</v>
      </c>
    </row>
    <row r="3175" ht="15.75" customHeight="1">
      <c r="A3175" s="3">
        <f t="shared" si="46"/>
        <v>3174</v>
      </c>
      <c r="B3175" s="14">
        <v>2014.0</v>
      </c>
      <c r="C3175" s="14">
        <v>8.0</v>
      </c>
      <c r="D3175" s="14">
        <v>6.0</v>
      </c>
      <c r="E3175" s="14">
        <v>4.0</v>
      </c>
      <c r="F3175" s="14" t="s">
        <v>16</v>
      </c>
      <c r="G3175" s="3" t="s">
        <v>37</v>
      </c>
      <c r="H3175" s="14">
        <v>9.37</v>
      </c>
      <c r="I3175" s="14">
        <v>6.5</v>
      </c>
      <c r="J3175" s="3">
        <f t="shared" si="47"/>
        <v>15.87</v>
      </c>
    </row>
    <row r="3176" ht="15.75" customHeight="1">
      <c r="A3176" s="3">
        <f t="shared" si="46"/>
        <v>3175</v>
      </c>
      <c r="B3176" s="14">
        <v>2014.0</v>
      </c>
      <c r="C3176" s="14">
        <v>8.0</v>
      </c>
      <c r="D3176" s="14">
        <v>7.0</v>
      </c>
      <c r="E3176" s="14">
        <v>1.0</v>
      </c>
      <c r="F3176" s="14" t="s">
        <v>16</v>
      </c>
      <c r="G3176" s="3" t="s">
        <v>28</v>
      </c>
      <c r="H3176" s="14">
        <v>7.27</v>
      </c>
      <c r="I3176" s="14">
        <v>6.83</v>
      </c>
      <c r="J3176" s="3">
        <f t="shared" si="47"/>
        <v>14.1</v>
      </c>
    </row>
    <row r="3177" ht="15.75" customHeight="1">
      <c r="A3177" s="3">
        <f t="shared" si="46"/>
        <v>3176</v>
      </c>
      <c r="B3177" s="14">
        <v>2014.0</v>
      </c>
      <c r="C3177" s="14">
        <v>8.0</v>
      </c>
      <c r="D3177" s="14">
        <v>7.0</v>
      </c>
      <c r="E3177" s="14">
        <v>1.0</v>
      </c>
      <c r="F3177" s="14" t="s">
        <v>16</v>
      </c>
      <c r="G3177" s="3" t="s">
        <v>47</v>
      </c>
      <c r="H3177" s="14">
        <v>6.67</v>
      </c>
      <c r="I3177" s="14">
        <v>6.63</v>
      </c>
      <c r="J3177" s="3">
        <f t="shared" si="47"/>
        <v>13.3</v>
      </c>
    </row>
    <row r="3178" ht="15.75" customHeight="1">
      <c r="A3178" s="3">
        <f t="shared" si="46"/>
        <v>3177</v>
      </c>
      <c r="B3178" s="14">
        <v>2014.0</v>
      </c>
      <c r="C3178" s="14">
        <v>8.0</v>
      </c>
      <c r="D3178" s="14">
        <v>7.0</v>
      </c>
      <c r="E3178" s="14">
        <v>2.0</v>
      </c>
      <c r="F3178" s="14" t="s">
        <v>16</v>
      </c>
      <c r="G3178" s="3" t="s">
        <v>26</v>
      </c>
      <c r="H3178" s="14">
        <v>7.6</v>
      </c>
      <c r="I3178" s="14">
        <v>7.5</v>
      </c>
      <c r="J3178" s="3">
        <f t="shared" si="47"/>
        <v>15.1</v>
      </c>
    </row>
    <row r="3179" ht="15.75" customHeight="1">
      <c r="A3179" s="3">
        <f t="shared" si="46"/>
        <v>3178</v>
      </c>
      <c r="B3179" s="14">
        <v>2014.0</v>
      </c>
      <c r="C3179" s="14">
        <v>8.0</v>
      </c>
      <c r="D3179" s="14">
        <v>7.0</v>
      </c>
      <c r="E3179" s="14">
        <v>2.0</v>
      </c>
      <c r="F3179" s="14" t="s">
        <v>16</v>
      </c>
      <c r="G3179" s="3" t="s">
        <v>37</v>
      </c>
      <c r="H3179" s="14">
        <v>8.43</v>
      </c>
      <c r="I3179" s="14">
        <v>5.67</v>
      </c>
      <c r="J3179" s="3">
        <f t="shared" si="47"/>
        <v>14.1</v>
      </c>
    </row>
    <row r="3180" ht="15.75" customHeight="1">
      <c r="A3180" s="3">
        <f t="shared" si="46"/>
        <v>3179</v>
      </c>
      <c r="B3180" s="14">
        <v>2014.0</v>
      </c>
      <c r="C3180" s="14">
        <v>8.0</v>
      </c>
      <c r="D3180" s="14">
        <v>8.0</v>
      </c>
      <c r="E3180" s="14">
        <v>1.0</v>
      </c>
      <c r="F3180" s="14" t="s">
        <v>16</v>
      </c>
      <c r="G3180" s="3" t="s">
        <v>28</v>
      </c>
      <c r="H3180" s="14">
        <v>9.33</v>
      </c>
      <c r="I3180" s="14">
        <v>7.17</v>
      </c>
      <c r="J3180" s="3">
        <f t="shared" si="47"/>
        <v>16.5</v>
      </c>
    </row>
    <row r="3181" ht="15.75" customHeight="1">
      <c r="A3181" s="3">
        <f t="shared" si="46"/>
        <v>3180</v>
      </c>
      <c r="B3181" s="14">
        <v>2014.0</v>
      </c>
      <c r="C3181" s="14">
        <v>8.0</v>
      </c>
      <c r="D3181" s="14">
        <v>8.0</v>
      </c>
      <c r="E3181" s="14">
        <v>1.0</v>
      </c>
      <c r="F3181" s="14" t="s">
        <v>16</v>
      </c>
      <c r="G3181" s="3" t="s">
        <v>26</v>
      </c>
      <c r="H3181" s="14">
        <v>8.6</v>
      </c>
      <c r="I3181" s="14">
        <v>7.27</v>
      </c>
      <c r="J3181" s="3">
        <f t="shared" si="47"/>
        <v>15.87</v>
      </c>
    </row>
    <row r="3182" ht="15.75" customHeight="1">
      <c r="A3182" s="3">
        <f t="shared" si="46"/>
        <v>3181</v>
      </c>
      <c r="B3182" s="14">
        <v>2014.0</v>
      </c>
      <c r="C3182" s="14">
        <v>9.0</v>
      </c>
      <c r="D3182" s="14">
        <v>1.0</v>
      </c>
      <c r="E3182" s="14">
        <v>1.0</v>
      </c>
      <c r="F3182" s="14" t="s">
        <v>16</v>
      </c>
      <c r="G3182" s="3" t="s">
        <v>62</v>
      </c>
      <c r="H3182" s="14">
        <v>8.13</v>
      </c>
      <c r="I3182" s="14">
        <v>7.03</v>
      </c>
      <c r="J3182" s="3">
        <f t="shared" si="47"/>
        <v>15.16</v>
      </c>
    </row>
    <row r="3183" ht="15.75" customHeight="1">
      <c r="A3183" s="3">
        <f t="shared" si="46"/>
        <v>3182</v>
      </c>
      <c r="B3183" s="14">
        <v>2014.0</v>
      </c>
      <c r="C3183" s="14">
        <v>9.0</v>
      </c>
      <c r="D3183" s="14">
        <v>1.0</v>
      </c>
      <c r="E3183" s="14">
        <v>1.0</v>
      </c>
      <c r="F3183" s="14" t="s">
        <v>16</v>
      </c>
      <c r="G3183" s="3" t="s">
        <v>123</v>
      </c>
      <c r="H3183" s="14">
        <v>7.27</v>
      </c>
      <c r="I3183" s="14">
        <v>6.83</v>
      </c>
      <c r="J3183" s="3">
        <f t="shared" si="47"/>
        <v>14.1</v>
      </c>
    </row>
    <row r="3184" ht="15.75" customHeight="1">
      <c r="A3184" s="3">
        <f t="shared" si="46"/>
        <v>3183</v>
      </c>
      <c r="B3184" s="14">
        <v>2014.0</v>
      </c>
      <c r="C3184" s="14">
        <v>9.0</v>
      </c>
      <c r="D3184" s="14">
        <v>1.0</v>
      </c>
      <c r="E3184" s="14">
        <v>1.0</v>
      </c>
      <c r="F3184" s="14" t="s">
        <v>16</v>
      </c>
      <c r="G3184" s="3" t="s">
        <v>122</v>
      </c>
      <c r="H3184" s="14">
        <v>8.17</v>
      </c>
      <c r="I3184" s="14">
        <v>6.8</v>
      </c>
      <c r="J3184" s="3">
        <f t="shared" si="47"/>
        <v>14.97</v>
      </c>
    </row>
    <row r="3185" ht="15.75" customHeight="1">
      <c r="A3185" s="3">
        <f t="shared" si="46"/>
        <v>3184</v>
      </c>
      <c r="B3185" s="14">
        <v>2014.0</v>
      </c>
      <c r="C3185" s="14">
        <v>9.0</v>
      </c>
      <c r="D3185" s="14">
        <v>1.0</v>
      </c>
      <c r="E3185" s="14">
        <v>2.0</v>
      </c>
      <c r="F3185" s="14" t="s">
        <v>16</v>
      </c>
      <c r="G3185" s="3" t="s">
        <v>27</v>
      </c>
      <c r="H3185" s="14">
        <v>8.5</v>
      </c>
      <c r="I3185" s="14">
        <v>7.83</v>
      </c>
      <c r="J3185" s="3">
        <f t="shared" si="47"/>
        <v>16.33</v>
      </c>
    </row>
    <row r="3186" ht="15.75" customHeight="1">
      <c r="A3186" s="3">
        <f t="shared" si="46"/>
        <v>3185</v>
      </c>
      <c r="B3186" s="14">
        <v>2014.0</v>
      </c>
      <c r="C3186" s="14">
        <v>9.0</v>
      </c>
      <c r="D3186" s="14">
        <v>1.0</v>
      </c>
      <c r="E3186" s="14">
        <v>2.0</v>
      </c>
      <c r="F3186" s="14" t="s">
        <v>16</v>
      </c>
      <c r="G3186" s="3" t="s">
        <v>38</v>
      </c>
      <c r="H3186" s="14">
        <v>8.67</v>
      </c>
      <c r="I3186" s="14">
        <v>3.13</v>
      </c>
      <c r="J3186" s="3">
        <f t="shared" si="47"/>
        <v>11.8</v>
      </c>
    </row>
    <row r="3187" ht="15.75" customHeight="1">
      <c r="A3187" s="3">
        <f t="shared" si="46"/>
        <v>3186</v>
      </c>
      <c r="B3187" s="14">
        <v>2014.0</v>
      </c>
      <c r="C3187" s="14">
        <v>9.0</v>
      </c>
      <c r="D3187" s="14">
        <v>1.0</v>
      </c>
      <c r="E3187" s="14">
        <v>2.0</v>
      </c>
      <c r="F3187" s="14" t="s">
        <v>16</v>
      </c>
      <c r="G3187" s="3" t="s">
        <v>91</v>
      </c>
      <c r="H3187" s="14">
        <v>5.43</v>
      </c>
      <c r="I3187" s="14">
        <v>4.5</v>
      </c>
      <c r="J3187" s="3">
        <f t="shared" si="47"/>
        <v>9.93</v>
      </c>
    </row>
    <row r="3188" ht="15.75" customHeight="1">
      <c r="A3188" s="3">
        <f t="shared" si="46"/>
        <v>3187</v>
      </c>
      <c r="B3188" s="14">
        <v>2014.0</v>
      </c>
      <c r="C3188" s="14">
        <v>9.0</v>
      </c>
      <c r="D3188" s="14">
        <v>1.0</v>
      </c>
      <c r="E3188" s="14">
        <v>3.0</v>
      </c>
      <c r="F3188" s="14" t="s">
        <v>16</v>
      </c>
      <c r="G3188" s="3" t="s">
        <v>41</v>
      </c>
      <c r="H3188" s="14">
        <v>7.67</v>
      </c>
      <c r="I3188" s="14">
        <v>5.33</v>
      </c>
      <c r="J3188" s="3">
        <f t="shared" si="47"/>
        <v>13</v>
      </c>
    </row>
    <row r="3189" ht="15.75" customHeight="1">
      <c r="A3189" s="3">
        <f t="shared" si="46"/>
        <v>3188</v>
      </c>
      <c r="B3189" s="14">
        <v>2014.0</v>
      </c>
      <c r="C3189" s="14">
        <v>9.0</v>
      </c>
      <c r="D3189" s="14">
        <v>1.0</v>
      </c>
      <c r="E3189" s="14">
        <v>3.0</v>
      </c>
      <c r="F3189" s="14" t="s">
        <v>16</v>
      </c>
      <c r="G3189" s="3" t="s">
        <v>33</v>
      </c>
      <c r="H3189" s="14">
        <v>6.77</v>
      </c>
      <c r="I3189" s="14">
        <v>6.17</v>
      </c>
      <c r="J3189" s="3">
        <f t="shared" si="47"/>
        <v>12.94</v>
      </c>
    </row>
    <row r="3190" ht="15.75" customHeight="1">
      <c r="A3190" s="3">
        <f t="shared" si="46"/>
        <v>3189</v>
      </c>
      <c r="B3190" s="14">
        <v>2014.0</v>
      </c>
      <c r="C3190" s="14">
        <v>9.0</v>
      </c>
      <c r="D3190" s="14">
        <v>1.0</v>
      </c>
      <c r="E3190" s="14">
        <v>3.0</v>
      </c>
      <c r="F3190" s="14" t="s">
        <v>16</v>
      </c>
      <c r="G3190" s="3" t="s">
        <v>50</v>
      </c>
      <c r="H3190" s="14">
        <v>8.4</v>
      </c>
      <c r="I3190" s="14">
        <v>8.33</v>
      </c>
      <c r="J3190" s="3">
        <f t="shared" si="47"/>
        <v>16.73</v>
      </c>
    </row>
    <row r="3191" ht="15.75" customHeight="1">
      <c r="A3191" s="3">
        <f t="shared" si="46"/>
        <v>3190</v>
      </c>
      <c r="B3191" s="14">
        <v>2014.0</v>
      </c>
      <c r="C3191" s="14">
        <v>9.0</v>
      </c>
      <c r="D3191" s="14">
        <v>1.0</v>
      </c>
      <c r="E3191" s="14">
        <v>4.0</v>
      </c>
      <c r="F3191" s="14" t="s">
        <v>16</v>
      </c>
      <c r="G3191" s="3" t="s">
        <v>39</v>
      </c>
      <c r="H3191" s="14">
        <v>8.83</v>
      </c>
      <c r="I3191" s="14">
        <v>6.67</v>
      </c>
      <c r="J3191" s="3">
        <f t="shared" si="47"/>
        <v>15.5</v>
      </c>
    </row>
    <row r="3192" ht="15.75" customHeight="1">
      <c r="A3192" s="3">
        <f t="shared" si="46"/>
        <v>3191</v>
      </c>
      <c r="B3192" s="14">
        <v>2014.0</v>
      </c>
      <c r="C3192" s="14">
        <v>9.0</v>
      </c>
      <c r="D3192" s="14">
        <v>1.0</v>
      </c>
      <c r="E3192" s="14">
        <v>4.0</v>
      </c>
      <c r="F3192" s="14" t="s">
        <v>16</v>
      </c>
      <c r="G3192" s="3" t="s">
        <v>60</v>
      </c>
      <c r="H3192" s="14">
        <v>5.17</v>
      </c>
      <c r="I3192" s="14">
        <v>0.0</v>
      </c>
      <c r="J3192" s="3">
        <f t="shared" si="47"/>
        <v>5.17</v>
      </c>
    </row>
    <row r="3193" ht="15.75" customHeight="1">
      <c r="A3193" s="3">
        <f t="shared" si="46"/>
        <v>3192</v>
      </c>
      <c r="B3193" s="14">
        <v>2014.0</v>
      </c>
      <c r="C3193" s="14">
        <v>9.0</v>
      </c>
      <c r="D3193" s="14">
        <v>1.0</v>
      </c>
      <c r="E3193" s="14">
        <v>4.0</v>
      </c>
      <c r="F3193" s="14" t="s">
        <v>16</v>
      </c>
      <c r="G3193" s="3" t="s">
        <v>131</v>
      </c>
      <c r="H3193" s="14">
        <v>6.83</v>
      </c>
      <c r="I3193" s="14">
        <v>4.0</v>
      </c>
      <c r="J3193" s="3">
        <f t="shared" si="47"/>
        <v>10.83</v>
      </c>
    </row>
    <row r="3194" ht="15.75" customHeight="1">
      <c r="A3194" s="3">
        <f t="shared" si="46"/>
        <v>3193</v>
      </c>
      <c r="B3194" s="14">
        <v>2014.0</v>
      </c>
      <c r="C3194" s="14">
        <v>9.0</v>
      </c>
      <c r="D3194" s="14">
        <v>1.0</v>
      </c>
      <c r="E3194" s="14">
        <v>5.0</v>
      </c>
      <c r="F3194" s="14" t="s">
        <v>16</v>
      </c>
      <c r="G3194" s="3" t="s">
        <v>37</v>
      </c>
      <c r="H3194" s="14">
        <v>9.0</v>
      </c>
      <c r="I3194" s="14">
        <v>5.5</v>
      </c>
      <c r="J3194" s="3">
        <f t="shared" si="47"/>
        <v>14.5</v>
      </c>
    </row>
    <row r="3195" ht="15.75" customHeight="1">
      <c r="A3195" s="3">
        <f t="shared" si="46"/>
        <v>3194</v>
      </c>
      <c r="B3195" s="14">
        <v>2014.0</v>
      </c>
      <c r="C3195" s="14">
        <v>9.0</v>
      </c>
      <c r="D3195" s="14">
        <v>1.0</v>
      </c>
      <c r="E3195" s="14">
        <v>5.0</v>
      </c>
      <c r="F3195" s="14" t="s">
        <v>16</v>
      </c>
      <c r="G3195" s="3" t="s">
        <v>129</v>
      </c>
      <c r="H3195" s="14">
        <v>8.0</v>
      </c>
      <c r="I3195" s="14">
        <v>6.67</v>
      </c>
      <c r="J3195" s="3">
        <f t="shared" si="47"/>
        <v>14.67</v>
      </c>
    </row>
    <row r="3196" ht="15.75" customHeight="1">
      <c r="A3196" s="3">
        <f t="shared" si="46"/>
        <v>3195</v>
      </c>
      <c r="B3196" s="14">
        <v>2014.0</v>
      </c>
      <c r="C3196" s="14">
        <v>9.0</v>
      </c>
      <c r="D3196" s="14">
        <v>1.0</v>
      </c>
      <c r="E3196" s="14">
        <v>5.0</v>
      </c>
      <c r="F3196" s="14" t="s">
        <v>16</v>
      </c>
      <c r="G3196" s="3" t="s">
        <v>44</v>
      </c>
      <c r="H3196" s="14">
        <v>7.0</v>
      </c>
      <c r="I3196" s="14">
        <v>4.5</v>
      </c>
      <c r="J3196" s="3">
        <f t="shared" si="47"/>
        <v>11.5</v>
      </c>
    </row>
    <row r="3197" ht="15.75" customHeight="1">
      <c r="A3197" s="3">
        <f t="shared" si="46"/>
        <v>3196</v>
      </c>
      <c r="B3197" s="14">
        <v>2014.0</v>
      </c>
      <c r="C3197" s="14">
        <v>9.0</v>
      </c>
      <c r="D3197" s="14">
        <v>1.0</v>
      </c>
      <c r="E3197" s="14">
        <v>6.0</v>
      </c>
      <c r="F3197" s="14" t="s">
        <v>16</v>
      </c>
      <c r="G3197" s="3" t="s">
        <v>30</v>
      </c>
      <c r="H3197" s="14">
        <v>7.77</v>
      </c>
      <c r="I3197" s="14">
        <v>7.4</v>
      </c>
      <c r="J3197" s="3">
        <f t="shared" si="47"/>
        <v>15.17</v>
      </c>
    </row>
    <row r="3198" ht="15.75" customHeight="1">
      <c r="A3198" s="3">
        <f t="shared" si="46"/>
        <v>3197</v>
      </c>
      <c r="B3198" s="14">
        <v>2014.0</v>
      </c>
      <c r="C3198" s="14">
        <v>9.0</v>
      </c>
      <c r="D3198" s="14">
        <v>1.0</v>
      </c>
      <c r="E3198" s="14">
        <v>6.0</v>
      </c>
      <c r="F3198" s="14" t="s">
        <v>16</v>
      </c>
      <c r="G3198" s="3" t="s">
        <v>120</v>
      </c>
      <c r="H3198" s="14">
        <v>7.0</v>
      </c>
      <c r="I3198" s="14">
        <v>6.43</v>
      </c>
      <c r="J3198" s="3">
        <f t="shared" si="47"/>
        <v>13.43</v>
      </c>
    </row>
    <row r="3199" ht="15.75" customHeight="1">
      <c r="A3199" s="3">
        <f t="shared" si="46"/>
        <v>3198</v>
      </c>
      <c r="B3199" s="14">
        <v>2014.0</v>
      </c>
      <c r="C3199" s="14">
        <v>9.0</v>
      </c>
      <c r="D3199" s="14">
        <v>1.0</v>
      </c>
      <c r="E3199" s="14">
        <v>6.0</v>
      </c>
      <c r="F3199" s="14" t="s">
        <v>16</v>
      </c>
      <c r="G3199" s="3" t="s">
        <v>100</v>
      </c>
      <c r="H3199" s="14">
        <v>7.93</v>
      </c>
      <c r="I3199" s="14">
        <v>6.63</v>
      </c>
      <c r="J3199" s="3">
        <f t="shared" si="47"/>
        <v>14.56</v>
      </c>
    </row>
    <row r="3200" ht="15.75" customHeight="1">
      <c r="A3200" s="3">
        <f t="shared" si="46"/>
        <v>3199</v>
      </c>
      <c r="B3200" s="14">
        <v>2014.0</v>
      </c>
      <c r="C3200" s="14">
        <v>9.0</v>
      </c>
      <c r="D3200" s="14">
        <v>1.0</v>
      </c>
      <c r="E3200" s="14">
        <v>7.0</v>
      </c>
      <c r="F3200" s="14" t="s">
        <v>16</v>
      </c>
      <c r="G3200" s="3" t="s">
        <v>42</v>
      </c>
      <c r="H3200" s="14">
        <v>9.03</v>
      </c>
      <c r="I3200" s="14">
        <v>6.87</v>
      </c>
      <c r="J3200" s="3">
        <f t="shared" si="47"/>
        <v>15.9</v>
      </c>
    </row>
    <row r="3201" ht="15.75" customHeight="1">
      <c r="A3201" s="3">
        <f t="shared" si="46"/>
        <v>3200</v>
      </c>
      <c r="B3201" s="14">
        <v>2014.0</v>
      </c>
      <c r="C3201" s="14">
        <v>9.0</v>
      </c>
      <c r="D3201" s="14">
        <v>1.0</v>
      </c>
      <c r="E3201" s="14">
        <v>7.0</v>
      </c>
      <c r="F3201" s="14" t="s">
        <v>16</v>
      </c>
      <c r="G3201" s="3" t="s">
        <v>125</v>
      </c>
      <c r="H3201" s="14">
        <v>7.33</v>
      </c>
      <c r="I3201" s="14">
        <v>6.43</v>
      </c>
      <c r="J3201" s="3">
        <f t="shared" si="47"/>
        <v>13.76</v>
      </c>
    </row>
    <row r="3202" ht="15.75" customHeight="1">
      <c r="A3202" s="3">
        <f t="shared" si="46"/>
        <v>3201</v>
      </c>
      <c r="B3202" s="14">
        <v>2014.0</v>
      </c>
      <c r="C3202" s="14">
        <v>9.0</v>
      </c>
      <c r="D3202" s="14">
        <v>1.0</v>
      </c>
      <c r="E3202" s="14">
        <v>7.0</v>
      </c>
      <c r="F3202" s="14" t="s">
        <v>16</v>
      </c>
      <c r="G3202" s="3" t="s">
        <v>107</v>
      </c>
      <c r="H3202" s="14">
        <v>4.43</v>
      </c>
      <c r="I3202" s="14">
        <v>4.0</v>
      </c>
      <c r="J3202" s="3">
        <f t="shared" si="47"/>
        <v>8.43</v>
      </c>
    </row>
    <row r="3203" ht="15.75" customHeight="1">
      <c r="A3203" s="3">
        <f t="shared" si="46"/>
        <v>3202</v>
      </c>
      <c r="B3203" s="14">
        <v>2014.0</v>
      </c>
      <c r="C3203" s="14">
        <v>9.0</v>
      </c>
      <c r="D3203" s="14">
        <v>1.0</v>
      </c>
      <c r="E3203" s="14">
        <v>8.0</v>
      </c>
      <c r="F3203" s="14" t="s">
        <v>16</v>
      </c>
      <c r="G3203" s="3" t="s">
        <v>26</v>
      </c>
      <c r="H3203" s="14">
        <v>8.83</v>
      </c>
      <c r="I3203" s="14">
        <v>3.9</v>
      </c>
      <c r="J3203" s="3">
        <f t="shared" si="47"/>
        <v>12.73</v>
      </c>
    </row>
    <row r="3204" ht="15.75" customHeight="1">
      <c r="A3204" s="3">
        <f t="shared" si="46"/>
        <v>3203</v>
      </c>
      <c r="B3204" s="14">
        <v>2014.0</v>
      </c>
      <c r="C3204" s="14">
        <v>9.0</v>
      </c>
      <c r="D3204" s="14">
        <v>1.0</v>
      </c>
      <c r="E3204" s="14">
        <v>8.0</v>
      </c>
      <c r="F3204" s="14" t="s">
        <v>16</v>
      </c>
      <c r="G3204" s="3" t="s">
        <v>31</v>
      </c>
      <c r="H3204" s="14">
        <v>8.5</v>
      </c>
      <c r="I3204" s="14">
        <v>8.27</v>
      </c>
      <c r="J3204" s="3">
        <f t="shared" si="47"/>
        <v>16.77</v>
      </c>
    </row>
    <row r="3205" ht="15.75" customHeight="1">
      <c r="A3205" s="3">
        <f t="shared" si="46"/>
        <v>3204</v>
      </c>
      <c r="B3205" s="14">
        <v>2014.0</v>
      </c>
      <c r="C3205" s="14">
        <v>9.0</v>
      </c>
      <c r="D3205" s="14">
        <v>1.0</v>
      </c>
      <c r="E3205" s="14">
        <v>8.0</v>
      </c>
      <c r="F3205" s="14" t="s">
        <v>16</v>
      </c>
      <c r="G3205" s="3" t="s">
        <v>35</v>
      </c>
      <c r="H3205" s="14">
        <v>7.93</v>
      </c>
      <c r="I3205" s="14">
        <v>6.07</v>
      </c>
      <c r="J3205" s="3">
        <f t="shared" si="47"/>
        <v>14</v>
      </c>
    </row>
    <row r="3206" ht="15.75" customHeight="1">
      <c r="A3206" s="3">
        <f t="shared" si="46"/>
        <v>3205</v>
      </c>
      <c r="B3206" s="14">
        <v>2014.0</v>
      </c>
      <c r="C3206" s="14">
        <v>9.0</v>
      </c>
      <c r="D3206" s="14">
        <v>1.0</v>
      </c>
      <c r="E3206" s="14">
        <v>9.0</v>
      </c>
      <c r="F3206" s="14" t="s">
        <v>16</v>
      </c>
      <c r="G3206" s="3" t="s">
        <v>32</v>
      </c>
      <c r="H3206" s="14">
        <v>7.7</v>
      </c>
      <c r="I3206" s="14">
        <v>6.33</v>
      </c>
      <c r="J3206" s="3">
        <f t="shared" si="47"/>
        <v>14.03</v>
      </c>
    </row>
    <row r="3207" ht="15.75" customHeight="1">
      <c r="A3207" s="3">
        <f t="shared" si="46"/>
        <v>3206</v>
      </c>
      <c r="B3207" s="14">
        <v>2014.0</v>
      </c>
      <c r="C3207" s="14">
        <v>9.0</v>
      </c>
      <c r="D3207" s="14">
        <v>1.0</v>
      </c>
      <c r="E3207" s="14">
        <v>9.0</v>
      </c>
      <c r="F3207" s="14" t="s">
        <v>16</v>
      </c>
      <c r="G3207" s="3" t="s">
        <v>55</v>
      </c>
      <c r="H3207" s="14">
        <v>7.83</v>
      </c>
      <c r="I3207" s="14">
        <v>7.33</v>
      </c>
      <c r="J3207" s="3">
        <f t="shared" si="47"/>
        <v>15.16</v>
      </c>
    </row>
    <row r="3208" ht="15.75" customHeight="1">
      <c r="A3208" s="3">
        <f t="shared" si="46"/>
        <v>3207</v>
      </c>
      <c r="B3208" s="14">
        <v>2014.0</v>
      </c>
      <c r="C3208" s="14">
        <v>9.0</v>
      </c>
      <c r="D3208" s="14">
        <v>1.0</v>
      </c>
      <c r="E3208" s="14">
        <v>9.0</v>
      </c>
      <c r="F3208" s="14" t="s">
        <v>16</v>
      </c>
      <c r="G3208" s="3" t="s">
        <v>126</v>
      </c>
      <c r="H3208" s="14">
        <v>6.67</v>
      </c>
      <c r="I3208" s="14">
        <v>4.23</v>
      </c>
      <c r="J3208" s="3">
        <f t="shared" si="47"/>
        <v>10.9</v>
      </c>
    </row>
    <row r="3209" ht="15.75" customHeight="1">
      <c r="A3209" s="3">
        <f t="shared" si="46"/>
        <v>3208</v>
      </c>
      <c r="B3209" s="14">
        <v>2014.0</v>
      </c>
      <c r="C3209" s="14">
        <v>9.0</v>
      </c>
      <c r="D3209" s="14">
        <v>1.0</v>
      </c>
      <c r="E3209" s="14">
        <v>10.0</v>
      </c>
      <c r="F3209" s="14" t="s">
        <v>16</v>
      </c>
      <c r="G3209" s="3" t="s">
        <v>56</v>
      </c>
      <c r="H3209" s="14">
        <v>7.13</v>
      </c>
      <c r="I3209" s="14">
        <v>4.93</v>
      </c>
      <c r="J3209" s="3">
        <f t="shared" si="47"/>
        <v>12.06</v>
      </c>
    </row>
    <row r="3210" ht="15.75" customHeight="1">
      <c r="A3210" s="3">
        <f t="shared" si="46"/>
        <v>3209</v>
      </c>
      <c r="B3210" s="14">
        <v>2014.0</v>
      </c>
      <c r="C3210" s="14">
        <v>9.0</v>
      </c>
      <c r="D3210" s="14">
        <v>1.0</v>
      </c>
      <c r="E3210" s="14">
        <v>10.0</v>
      </c>
      <c r="F3210" s="14" t="s">
        <v>16</v>
      </c>
      <c r="G3210" s="3" t="s">
        <v>47</v>
      </c>
      <c r="H3210" s="14">
        <v>7.33</v>
      </c>
      <c r="I3210" s="14">
        <v>7.27</v>
      </c>
      <c r="J3210" s="3">
        <f t="shared" si="47"/>
        <v>14.6</v>
      </c>
    </row>
    <row r="3211" ht="15.75" customHeight="1">
      <c r="A3211" s="3">
        <f t="shared" si="46"/>
        <v>3210</v>
      </c>
      <c r="B3211" s="14">
        <v>2014.0</v>
      </c>
      <c r="C3211" s="14">
        <v>9.0</v>
      </c>
      <c r="D3211" s="14">
        <v>1.0</v>
      </c>
      <c r="E3211" s="14">
        <v>10.0</v>
      </c>
      <c r="F3211" s="14" t="s">
        <v>16</v>
      </c>
      <c r="G3211" s="3" t="s">
        <v>76</v>
      </c>
      <c r="H3211" s="14">
        <v>8.17</v>
      </c>
      <c r="I3211" s="14">
        <v>5.67</v>
      </c>
      <c r="J3211" s="3">
        <f t="shared" si="47"/>
        <v>13.84</v>
      </c>
    </row>
    <row r="3212" ht="15.75" customHeight="1">
      <c r="A3212" s="3">
        <f t="shared" si="46"/>
        <v>3211</v>
      </c>
      <c r="B3212" s="14">
        <v>2014.0</v>
      </c>
      <c r="C3212" s="14">
        <v>9.0</v>
      </c>
      <c r="D3212" s="14">
        <v>1.0</v>
      </c>
      <c r="E3212" s="14">
        <v>11.0</v>
      </c>
      <c r="F3212" s="14" t="s">
        <v>16</v>
      </c>
      <c r="G3212" s="3" t="s">
        <v>28</v>
      </c>
      <c r="H3212" s="14">
        <v>7.33</v>
      </c>
      <c r="I3212" s="14">
        <v>5.1</v>
      </c>
      <c r="J3212" s="3">
        <f t="shared" si="47"/>
        <v>12.43</v>
      </c>
    </row>
    <row r="3213" ht="15.75" customHeight="1">
      <c r="A3213" s="3">
        <f t="shared" si="46"/>
        <v>3212</v>
      </c>
      <c r="B3213" s="14">
        <v>2014.0</v>
      </c>
      <c r="C3213" s="14">
        <v>9.0</v>
      </c>
      <c r="D3213" s="14">
        <v>1.0</v>
      </c>
      <c r="E3213" s="14">
        <v>11.0</v>
      </c>
      <c r="F3213" s="14" t="s">
        <v>16</v>
      </c>
      <c r="G3213" s="3" t="s">
        <v>59</v>
      </c>
      <c r="H3213" s="14">
        <v>6.83</v>
      </c>
      <c r="I3213" s="14">
        <v>5.17</v>
      </c>
      <c r="J3213" s="3">
        <f t="shared" si="47"/>
        <v>12</v>
      </c>
    </row>
    <row r="3214" ht="15.75" customHeight="1">
      <c r="A3214" s="3">
        <f t="shared" si="46"/>
        <v>3213</v>
      </c>
      <c r="B3214" s="14">
        <v>2014.0</v>
      </c>
      <c r="C3214" s="14">
        <v>9.0</v>
      </c>
      <c r="D3214" s="14">
        <v>1.0</v>
      </c>
      <c r="E3214" s="14">
        <v>11.0</v>
      </c>
      <c r="F3214" s="14" t="s">
        <v>16</v>
      </c>
      <c r="G3214" s="3" t="s">
        <v>124</v>
      </c>
      <c r="H3214" s="14">
        <v>7.77</v>
      </c>
      <c r="I3214" s="14">
        <v>3.37</v>
      </c>
      <c r="J3214" s="3">
        <f t="shared" si="47"/>
        <v>11.14</v>
      </c>
    </row>
    <row r="3215" ht="15.75" customHeight="1">
      <c r="A3215" s="3">
        <f t="shared" si="46"/>
        <v>3214</v>
      </c>
      <c r="B3215" s="14">
        <v>2014.0</v>
      </c>
      <c r="C3215" s="14">
        <v>9.0</v>
      </c>
      <c r="D3215" s="14">
        <v>1.0</v>
      </c>
      <c r="E3215" s="14">
        <v>12.0</v>
      </c>
      <c r="F3215" s="14" t="s">
        <v>16</v>
      </c>
      <c r="G3215" s="3" t="s">
        <v>57</v>
      </c>
      <c r="H3215" s="14">
        <v>7.0</v>
      </c>
      <c r="I3215" s="14">
        <v>3.43</v>
      </c>
      <c r="J3215" s="3">
        <f t="shared" si="47"/>
        <v>10.43</v>
      </c>
    </row>
    <row r="3216" ht="15.75" customHeight="1">
      <c r="A3216" s="3">
        <f t="shared" si="46"/>
        <v>3215</v>
      </c>
      <c r="B3216" s="14">
        <v>2014.0</v>
      </c>
      <c r="C3216" s="14">
        <v>9.0</v>
      </c>
      <c r="D3216" s="14">
        <v>1.0</v>
      </c>
      <c r="E3216" s="14">
        <v>12.0</v>
      </c>
      <c r="F3216" s="14" t="s">
        <v>16</v>
      </c>
      <c r="G3216" s="3" t="s">
        <v>45</v>
      </c>
      <c r="H3216" s="14">
        <v>7.9</v>
      </c>
      <c r="I3216" s="14">
        <v>7.33</v>
      </c>
      <c r="J3216" s="3">
        <f t="shared" si="47"/>
        <v>15.23</v>
      </c>
    </row>
    <row r="3217" ht="15.75" customHeight="1">
      <c r="A3217" s="3">
        <f t="shared" si="46"/>
        <v>3216</v>
      </c>
      <c r="B3217" s="14">
        <v>2014.0</v>
      </c>
      <c r="C3217" s="14">
        <v>9.0</v>
      </c>
      <c r="D3217" s="14">
        <v>1.0</v>
      </c>
      <c r="E3217" s="14">
        <v>12.0</v>
      </c>
      <c r="F3217" s="14" t="s">
        <v>16</v>
      </c>
      <c r="G3217" s="3" t="s">
        <v>29</v>
      </c>
      <c r="H3217" s="14">
        <v>6.0</v>
      </c>
      <c r="I3217" s="14">
        <v>6.0</v>
      </c>
      <c r="J3217" s="3">
        <f t="shared" si="47"/>
        <v>12</v>
      </c>
    </row>
    <row r="3218" ht="15.75" customHeight="1">
      <c r="A3218" s="3">
        <f t="shared" si="46"/>
        <v>3217</v>
      </c>
      <c r="B3218" s="14">
        <v>2014.0</v>
      </c>
      <c r="C3218" s="14">
        <v>9.0</v>
      </c>
      <c r="D3218" s="14">
        <v>2.0</v>
      </c>
      <c r="E3218" s="14">
        <v>1.0</v>
      </c>
      <c r="F3218" s="14" t="s">
        <v>16</v>
      </c>
      <c r="G3218" s="3" t="s">
        <v>37</v>
      </c>
      <c r="H3218" s="14">
        <v>8.27</v>
      </c>
      <c r="I3218" s="14">
        <v>8.0</v>
      </c>
      <c r="J3218" s="3">
        <f t="shared" si="47"/>
        <v>16.27</v>
      </c>
    </row>
    <row r="3219" ht="15.75" customHeight="1">
      <c r="A3219" s="3">
        <f t="shared" si="46"/>
        <v>3218</v>
      </c>
      <c r="B3219" s="14">
        <v>2014.0</v>
      </c>
      <c r="C3219" s="14">
        <v>9.0</v>
      </c>
      <c r="D3219" s="14">
        <v>2.0</v>
      </c>
      <c r="E3219" s="14">
        <v>1.0</v>
      </c>
      <c r="F3219" s="14" t="s">
        <v>16</v>
      </c>
      <c r="G3219" s="3" t="s">
        <v>100</v>
      </c>
      <c r="H3219" s="14">
        <v>6.67</v>
      </c>
      <c r="I3219" s="14">
        <v>5.17</v>
      </c>
      <c r="J3219" s="3">
        <f t="shared" si="47"/>
        <v>11.84</v>
      </c>
    </row>
    <row r="3220" ht="15.75" customHeight="1">
      <c r="A3220" s="3">
        <f t="shared" si="46"/>
        <v>3219</v>
      </c>
      <c r="B3220" s="14">
        <v>2014.0</v>
      </c>
      <c r="C3220" s="14">
        <v>9.0</v>
      </c>
      <c r="D3220" s="14">
        <v>2.0</v>
      </c>
      <c r="E3220" s="14">
        <v>2.0</v>
      </c>
      <c r="F3220" s="14" t="s">
        <v>16</v>
      </c>
      <c r="G3220" s="3" t="s">
        <v>41</v>
      </c>
      <c r="H3220" s="14">
        <v>9.2</v>
      </c>
      <c r="I3220" s="14">
        <v>7.5</v>
      </c>
      <c r="J3220" s="3">
        <f t="shared" si="47"/>
        <v>16.7</v>
      </c>
    </row>
    <row r="3221" ht="15.75" customHeight="1">
      <c r="A3221" s="3">
        <f t="shared" si="46"/>
        <v>3220</v>
      </c>
      <c r="B3221" s="14">
        <v>2014.0</v>
      </c>
      <c r="C3221" s="14">
        <v>9.0</v>
      </c>
      <c r="D3221" s="14">
        <v>2.0</v>
      </c>
      <c r="E3221" s="14">
        <v>2.0</v>
      </c>
      <c r="F3221" s="14" t="s">
        <v>16</v>
      </c>
      <c r="G3221" s="3" t="s">
        <v>44</v>
      </c>
      <c r="H3221" s="14">
        <v>5.93</v>
      </c>
      <c r="I3221" s="14">
        <v>3.5</v>
      </c>
      <c r="J3221" s="3">
        <f t="shared" si="47"/>
        <v>9.43</v>
      </c>
    </row>
    <row r="3222" ht="15.75" customHeight="1">
      <c r="A3222" s="3">
        <f t="shared" si="46"/>
        <v>3221</v>
      </c>
      <c r="B3222" s="14">
        <v>2014.0</v>
      </c>
      <c r="C3222" s="14">
        <v>9.0</v>
      </c>
      <c r="D3222" s="14">
        <v>2.0</v>
      </c>
      <c r="E3222" s="14">
        <v>3.0</v>
      </c>
      <c r="F3222" s="14" t="s">
        <v>16</v>
      </c>
      <c r="G3222" s="3" t="s">
        <v>26</v>
      </c>
      <c r="H3222" s="14">
        <v>8.33</v>
      </c>
      <c r="I3222" s="14">
        <v>7.5</v>
      </c>
      <c r="J3222" s="3">
        <f t="shared" si="47"/>
        <v>15.83</v>
      </c>
    </row>
    <row r="3223" ht="15.75" customHeight="1">
      <c r="A3223" s="3">
        <f t="shared" si="46"/>
        <v>3222</v>
      </c>
      <c r="B3223" s="14">
        <v>2014.0</v>
      </c>
      <c r="C3223" s="14">
        <v>9.0</v>
      </c>
      <c r="D3223" s="14">
        <v>2.0</v>
      </c>
      <c r="E3223" s="14">
        <v>3.0</v>
      </c>
      <c r="F3223" s="14" t="s">
        <v>16</v>
      </c>
      <c r="G3223" s="3" t="s">
        <v>131</v>
      </c>
      <c r="H3223" s="14">
        <v>7.97</v>
      </c>
      <c r="I3223" s="14">
        <v>6.0</v>
      </c>
      <c r="J3223" s="3">
        <f t="shared" si="47"/>
        <v>13.97</v>
      </c>
    </row>
    <row r="3224" ht="15.75" customHeight="1">
      <c r="A3224" s="3">
        <f t="shared" si="46"/>
        <v>3223</v>
      </c>
      <c r="B3224" s="14">
        <v>2014.0</v>
      </c>
      <c r="C3224" s="14">
        <v>9.0</v>
      </c>
      <c r="D3224" s="14">
        <v>2.0</v>
      </c>
      <c r="E3224" s="14">
        <v>4.0</v>
      </c>
      <c r="F3224" s="14" t="s">
        <v>16</v>
      </c>
      <c r="G3224" s="3" t="s">
        <v>32</v>
      </c>
      <c r="H3224" s="14">
        <v>7.33</v>
      </c>
      <c r="I3224" s="14">
        <v>6.77</v>
      </c>
      <c r="J3224" s="3">
        <f t="shared" si="47"/>
        <v>14.1</v>
      </c>
    </row>
    <row r="3225" ht="15.75" customHeight="1">
      <c r="A3225" s="3">
        <f t="shared" si="46"/>
        <v>3224</v>
      </c>
      <c r="B3225" s="14">
        <v>2014.0</v>
      </c>
      <c r="C3225" s="14">
        <v>9.0</v>
      </c>
      <c r="D3225" s="14">
        <v>2.0</v>
      </c>
      <c r="E3225" s="14">
        <v>4.0</v>
      </c>
      <c r="F3225" s="14" t="s">
        <v>16</v>
      </c>
      <c r="G3225" s="3" t="s">
        <v>91</v>
      </c>
      <c r="H3225" s="14">
        <v>5.67</v>
      </c>
      <c r="I3225" s="14">
        <v>4.3</v>
      </c>
      <c r="J3225" s="3">
        <f t="shared" si="47"/>
        <v>9.97</v>
      </c>
    </row>
    <row r="3226" ht="15.75" customHeight="1">
      <c r="A3226" s="3">
        <f t="shared" si="46"/>
        <v>3225</v>
      </c>
      <c r="B3226" s="14">
        <v>2014.0</v>
      </c>
      <c r="C3226" s="14">
        <v>9.0</v>
      </c>
      <c r="D3226" s="14">
        <v>2.0</v>
      </c>
      <c r="E3226" s="14">
        <v>5.0</v>
      </c>
      <c r="F3226" s="14" t="s">
        <v>16</v>
      </c>
      <c r="G3226" s="3" t="s">
        <v>56</v>
      </c>
      <c r="H3226" s="14">
        <v>6.33</v>
      </c>
      <c r="I3226" s="14">
        <v>5.67</v>
      </c>
      <c r="J3226" s="3">
        <f t="shared" si="47"/>
        <v>12</v>
      </c>
    </row>
    <row r="3227" ht="15.75" customHeight="1">
      <c r="A3227" s="3">
        <f t="shared" si="46"/>
        <v>3226</v>
      </c>
      <c r="B3227" s="14">
        <v>2014.0</v>
      </c>
      <c r="C3227" s="14">
        <v>9.0</v>
      </c>
      <c r="D3227" s="14">
        <v>2.0</v>
      </c>
      <c r="E3227" s="14">
        <v>5.0</v>
      </c>
      <c r="F3227" s="14" t="s">
        <v>16</v>
      </c>
      <c r="G3227" s="3" t="s">
        <v>122</v>
      </c>
      <c r="H3227" s="14">
        <v>8.57</v>
      </c>
      <c r="I3227" s="14">
        <v>7.17</v>
      </c>
      <c r="J3227" s="3">
        <f t="shared" si="47"/>
        <v>15.74</v>
      </c>
    </row>
    <row r="3228" ht="15.75" customHeight="1">
      <c r="A3228" s="3">
        <f t="shared" si="46"/>
        <v>3227</v>
      </c>
      <c r="B3228" s="14">
        <v>2014.0</v>
      </c>
      <c r="C3228" s="14">
        <v>9.0</v>
      </c>
      <c r="D3228" s="14">
        <v>2.0</v>
      </c>
      <c r="E3228" s="14">
        <v>6.0</v>
      </c>
      <c r="F3228" s="14" t="s">
        <v>16</v>
      </c>
      <c r="G3228" s="3" t="s">
        <v>57</v>
      </c>
      <c r="H3228" s="14">
        <v>7.9</v>
      </c>
      <c r="I3228" s="14">
        <v>7.17</v>
      </c>
      <c r="J3228" s="3">
        <f t="shared" si="47"/>
        <v>15.07</v>
      </c>
    </row>
    <row r="3229" ht="15.75" customHeight="1">
      <c r="A3229" s="3">
        <f t="shared" si="46"/>
        <v>3228</v>
      </c>
      <c r="B3229" s="14">
        <v>2014.0</v>
      </c>
      <c r="C3229" s="14">
        <v>9.0</v>
      </c>
      <c r="D3229" s="14">
        <v>2.0</v>
      </c>
      <c r="E3229" s="14">
        <v>6.0</v>
      </c>
      <c r="F3229" s="14" t="s">
        <v>16</v>
      </c>
      <c r="G3229" s="3" t="s">
        <v>107</v>
      </c>
      <c r="H3229" s="14">
        <v>4.67</v>
      </c>
      <c r="I3229" s="14">
        <v>4.53</v>
      </c>
      <c r="J3229" s="3">
        <f t="shared" si="47"/>
        <v>9.2</v>
      </c>
    </row>
    <row r="3230" ht="15.75" customHeight="1">
      <c r="A3230" s="3">
        <f t="shared" si="46"/>
        <v>3229</v>
      </c>
      <c r="B3230" s="14">
        <v>2014.0</v>
      </c>
      <c r="C3230" s="14">
        <v>9.0</v>
      </c>
      <c r="D3230" s="14">
        <v>2.0</v>
      </c>
      <c r="E3230" s="14">
        <v>7.0</v>
      </c>
      <c r="F3230" s="14" t="s">
        <v>16</v>
      </c>
      <c r="G3230" s="3" t="s">
        <v>59</v>
      </c>
      <c r="H3230" s="14">
        <v>8.13</v>
      </c>
      <c r="I3230" s="14">
        <v>7.77</v>
      </c>
      <c r="J3230" s="3">
        <f t="shared" si="47"/>
        <v>15.9</v>
      </c>
    </row>
    <row r="3231" ht="15.75" customHeight="1">
      <c r="A3231" s="3">
        <f t="shared" si="46"/>
        <v>3230</v>
      </c>
      <c r="B3231" s="14">
        <v>2014.0</v>
      </c>
      <c r="C3231" s="14">
        <v>9.0</v>
      </c>
      <c r="D3231" s="14">
        <v>2.0</v>
      </c>
      <c r="E3231" s="14">
        <v>7.0</v>
      </c>
      <c r="F3231" s="14" t="s">
        <v>16</v>
      </c>
      <c r="G3231" s="3" t="s">
        <v>35</v>
      </c>
      <c r="H3231" s="14">
        <v>8.2</v>
      </c>
      <c r="I3231" s="14">
        <v>7.93</v>
      </c>
      <c r="J3231" s="3">
        <f t="shared" si="47"/>
        <v>16.13</v>
      </c>
    </row>
    <row r="3232" ht="15.75" customHeight="1">
      <c r="A3232" s="3">
        <f t="shared" si="46"/>
        <v>3231</v>
      </c>
      <c r="B3232" s="14">
        <v>2014.0</v>
      </c>
      <c r="C3232" s="14">
        <v>9.0</v>
      </c>
      <c r="D3232" s="14">
        <v>2.0</v>
      </c>
      <c r="E3232" s="14">
        <v>8.0</v>
      </c>
      <c r="F3232" s="14" t="s">
        <v>16</v>
      </c>
      <c r="G3232" s="3" t="s">
        <v>125</v>
      </c>
      <c r="H3232" s="14">
        <v>5.77</v>
      </c>
      <c r="I3232" s="14">
        <v>5.0</v>
      </c>
      <c r="J3232" s="3">
        <f t="shared" si="47"/>
        <v>10.77</v>
      </c>
    </row>
    <row r="3233" ht="15.75" customHeight="1">
      <c r="A3233" s="3">
        <f t="shared" si="46"/>
        <v>3232</v>
      </c>
      <c r="B3233" s="14">
        <v>2014.0</v>
      </c>
      <c r="C3233" s="14">
        <v>9.0</v>
      </c>
      <c r="D3233" s="14">
        <v>2.0</v>
      </c>
      <c r="E3233" s="14">
        <v>8.0</v>
      </c>
      <c r="F3233" s="14" t="s">
        <v>16</v>
      </c>
      <c r="G3233" s="3" t="s">
        <v>126</v>
      </c>
      <c r="H3233" s="14">
        <v>7.93</v>
      </c>
      <c r="I3233" s="14">
        <v>6.0</v>
      </c>
      <c r="J3233" s="3">
        <f t="shared" si="47"/>
        <v>13.93</v>
      </c>
    </row>
    <row r="3234" ht="15.75" customHeight="1">
      <c r="A3234" s="3">
        <f t="shared" si="46"/>
        <v>3233</v>
      </c>
      <c r="B3234" s="14">
        <v>2014.0</v>
      </c>
      <c r="C3234" s="14">
        <v>9.0</v>
      </c>
      <c r="D3234" s="14">
        <v>2.0</v>
      </c>
      <c r="E3234" s="14">
        <v>9.0</v>
      </c>
      <c r="F3234" s="14" t="s">
        <v>16</v>
      </c>
      <c r="G3234" s="3" t="s">
        <v>123</v>
      </c>
      <c r="H3234" s="14">
        <v>7.83</v>
      </c>
      <c r="I3234" s="14">
        <v>6.2</v>
      </c>
      <c r="J3234" s="3">
        <f t="shared" si="47"/>
        <v>14.03</v>
      </c>
    </row>
    <row r="3235" ht="15.75" customHeight="1">
      <c r="A3235" s="3">
        <f t="shared" si="46"/>
        <v>3234</v>
      </c>
      <c r="B3235" s="14">
        <v>2014.0</v>
      </c>
      <c r="C3235" s="14">
        <v>9.0</v>
      </c>
      <c r="D3235" s="14">
        <v>2.0</v>
      </c>
      <c r="E3235" s="14">
        <v>9.0</v>
      </c>
      <c r="F3235" s="14" t="s">
        <v>16</v>
      </c>
      <c r="G3235" s="3" t="s">
        <v>76</v>
      </c>
      <c r="H3235" s="14">
        <v>7.0</v>
      </c>
      <c r="I3235" s="14">
        <v>6.6</v>
      </c>
      <c r="J3235" s="3">
        <f t="shared" si="47"/>
        <v>13.6</v>
      </c>
    </row>
    <row r="3236" ht="15.75" customHeight="1">
      <c r="A3236" s="3">
        <f t="shared" si="46"/>
        <v>3235</v>
      </c>
      <c r="B3236" s="14">
        <v>2014.0</v>
      </c>
      <c r="C3236" s="14">
        <v>9.0</v>
      </c>
      <c r="D3236" s="14">
        <v>2.0</v>
      </c>
      <c r="E3236" s="14">
        <v>10.0</v>
      </c>
      <c r="F3236" s="14" t="s">
        <v>16</v>
      </c>
      <c r="G3236" s="3" t="s">
        <v>38</v>
      </c>
      <c r="H3236" s="14">
        <v>7.0</v>
      </c>
      <c r="I3236" s="14">
        <v>5.6</v>
      </c>
      <c r="J3236" s="3">
        <f t="shared" si="47"/>
        <v>12.6</v>
      </c>
    </row>
    <row r="3237" ht="15.75" customHeight="1">
      <c r="A3237" s="3">
        <f t="shared" si="46"/>
        <v>3236</v>
      </c>
      <c r="B3237" s="14">
        <v>2014.0</v>
      </c>
      <c r="C3237" s="14">
        <v>9.0</v>
      </c>
      <c r="D3237" s="14">
        <v>2.0</v>
      </c>
      <c r="E3237" s="14">
        <v>10.0</v>
      </c>
      <c r="F3237" s="14" t="s">
        <v>16</v>
      </c>
      <c r="G3237" s="3" t="s">
        <v>124</v>
      </c>
      <c r="H3237" s="14">
        <v>5.83</v>
      </c>
      <c r="I3237" s="14">
        <v>4.67</v>
      </c>
      <c r="J3237" s="3">
        <f t="shared" si="47"/>
        <v>10.5</v>
      </c>
    </row>
    <row r="3238" ht="15.75" customHeight="1">
      <c r="A3238" s="3">
        <f t="shared" si="46"/>
        <v>3237</v>
      </c>
      <c r="B3238" s="14">
        <v>2014.0</v>
      </c>
      <c r="C3238" s="14">
        <v>9.0</v>
      </c>
      <c r="D3238" s="14">
        <v>2.0</v>
      </c>
      <c r="E3238" s="14">
        <v>11.0</v>
      </c>
      <c r="F3238" s="14" t="s">
        <v>16</v>
      </c>
      <c r="G3238" s="3" t="s">
        <v>33</v>
      </c>
      <c r="H3238" s="14">
        <v>8.5</v>
      </c>
      <c r="I3238" s="14">
        <v>7.5</v>
      </c>
      <c r="J3238" s="3">
        <f t="shared" si="47"/>
        <v>16</v>
      </c>
    </row>
    <row r="3239" ht="15.75" customHeight="1">
      <c r="A3239" s="3">
        <f t="shared" si="46"/>
        <v>3238</v>
      </c>
      <c r="B3239" s="14">
        <v>2014.0</v>
      </c>
      <c r="C3239" s="14">
        <v>9.0</v>
      </c>
      <c r="D3239" s="14">
        <v>2.0</v>
      </c>
      <c r="E3239" s="14">
        <v>11.0</v>
      </c>
      <c r="F3239" s="14" t="s">
        <v>16</v>
      </c>
      <c r="G3239" s="3" t="s">
        <v>29</v>
      </c>
      <c r="H3239" s="14">
        <v>8.1</v>
      </c>
      <c r="I3239" s="14">
        <v>7.67</v>
      </c>
      <c r="J3239" s="3">
        <f t="shared" si="47"/>
        <v>15.77</v>
      </c>
    </row>
    <row r="3240" ht="15.75" customHeight="1">
      <c r="A3240" s="3">
        <f t="shared" si="46"/>
        <v>3239</v>
      </c>
      <c r="B3240" s="14">
        <v>2014.0</v>
      </c>
      <c r="C3240" s="14">
        <v>9.0</v>
      </c>
      <c r="D3240" s="14">
        <v>2.0</v>
      </c>
      <c r="E3240" s="14">
        <v>12.0</v>
      </c>
      <c r="F3240" s="14" t="s">
        <v>16</v>
      </c>
      <c r="G3240" s="3" t="s">
        <v>60</v>
      </c>
      <c r="H3240" s="14">
        <v>6.5</v>
      </c>
      <c r="I3240" s="14">
        <v>6.5</v>
      </c>
      <c r="J3240" s="3">
        <f t="shared" si="47"/>
        <v>13</v>
      </c>
    </row>
    <row r="3241" ht="15.75" customHeight="1">
      <c r="A3241" s="3">
        <f t="shared" si="46"/>
        <v>3240</v>
      </c>
      <c r="B3241" s="14">
        <v>2014.0</v>
      </c>
      <c r="C3241" s="14">
        <v>9.0</v>
      </c>
      <c r="D3241" s="14">
        <v>2.0</v>
      </c>
      <c r="E3241" s="14">
        <v>12.0</v>
      </c>
      <c r="F3241" s="14" t="s">
        <v>16</v>
      </c>
      <c r="G3241" s="3" t="s">
        <v>120</v>
      </c>
      <c r="H3241" s="14">
        <v>5.6</v>
      </c>
      <c r="I3241" s="14">
        <v>5.5</v>
      </c>
      <c r="J3241" s="3">
        <f t="shared" si="47"/>
        <v>11.1</v>
      </c>
    </row>
    <row r="3242" ht="15.75" customHeight="1">
      <c r="A3242" s="3">
        <f t="shared" si="46"/>
        <v>3241</v>
      </c>
      <c r="B3242" s="14">
        <v>2014.0</v>
      </c>
      <c r="C3242" s="14">
        <v>9.0</v>
      </c>
      <c r="D3242" s="14">
        <v>3.0</v>
      </c>
      <c r="E3242" s="14">
        <v>1.0</v>
      </c>
      <c r="F3242" s="14" t="s">
        <v>16</v>
      </c>
      <c r="G3242" s="3" t="s">
        <v>41</v>
      </c>
      <c r="H3242" s="14">
        <v>9.27</v>
      </c>
      <c r="I3242" s="14">
        <v>8.0</v>
      </c>
      <c r="J3242" s="3">
        <f t="shared" si="47"/>
        <v>17.27</v>
      </c>
    </row>
    <row r="3243" ht="15.75" customHeight="1">
      <c r="A3243" s="3">
        <f t="shared" si="46"/>
        <v>3242</v>
      </c>
      <c r="B3243" s="14">
        <v>2014.0</v>
      </c>
      <c r="C3243" s="14">
        <v>9.0</v>
      </c>
      <c r="D3243" s="14">
        <v>3.0</v>
      </c>
      <c r="E3243" s="14">
        <v>1.0</v>
      </c>
      <c r="F3243" s="14" t="s">
        <v>16</v>
      </c>
      <c r="G3243" s="3" t="s">
        <v>126</v>
      </c>
      <c r="H3243" s="14">
        <v>8.6</v>
      </c>
      <c r="I3243" s="14">
        <v>7.93</v>
      </c>
      <c r="J3243" s="3">
        <f t="shared" si="47"/>
        <v>16.53</v>
      </c>
    </row>
    <row r="3244" ht="15.75" customHeight="1">
      <c r="A3244" s="3">
        <f t="shared" si="46"/>
        <v>3243</v>
      </c>
      <c r="B3244" s="14">
        <v>2014.0</v>
      </c>
      <c r="C3244" s="14">
        <v>9.0</v>
      </c>
      <c r="D3244" s="14">
        <v>3.0</v>
      </c>
      <c r="E3244" s="14">
        <v>2.0</v>
      </c>
      <c r="F3244" s="14" t="s">
        <v>16</v>
      </c>
      <c r="G3244" s="3" t="s">
        <v>32</v>
      </c>
      <c r="H3244" s="14">
        <v>8.27</v>
      </c>
      <c r="I3244" s="14">
        <v>7.4</v>
      </c>
      <c r="J3244" s="3">
        <f t="shared" si="47"/>
        <v>15.67</v>
      </c>
    </row>
    <row r="3245" ht="15.75" customHeight="1">
      <c r="A3245" s="3">
        <f t="shared" si="46"/>
        <v>3244</v>
      </c>
      <c r="B3245" s="14">
        <v>2014.0</v>
      </c>
      <c r="C3245" s="14">
        <v>9.0</v>
      </c>
      <c r="D3245" s="14">
        <v>3.0</v>
      </c>
      <c r="E3245" s="14">
        <v>2.0</v>
      </c>
      <c r="F3245" s="14" t="s">
        <v>16</v>
      </c>
      <c r="G3245" s="3" t="s">
        <v>123</v>
      </c>
      <c r="H3245" s="14">
        <v>6.83</v>
      </c>
      <c r="I3245" s="14">
        <v>5.4</v>
      </c>
      <c r="J3245" s="3">
        <f t="shared" si="47"/>
        <v>12.23</v>
      </c>
    </row>
    <row r="3246" ht="15.75" customHeight="1">
      <c r="A3246" s="3">
        <f t="shared" si="46"/>
        <v>3245</v>
      </c>
      <c r="B3246" s="14">
        <v>2014.0</v>
      </c>
      <c r="C3246" s="14">
        <v>9.0</v>
      </c>
      <c r="D3246" s="14">
        <v>3.0</v>
      </c>
      <c r="E3246" s="14">
        <v>3.0</v>
      </c>
      <c r="F3246" s="14" t="s">
        <v>16</v>
      </c>
      <c r="G3246" s="3" t="s">
        <v>27</v>
      </c>
      <c r="H3246" s="14">
        <v>3.17</v>
      </c>
      <c r="I3246" s="14">
        <v>2.43</v>
      </c>
      <c r="J3246" s="3">
        <f t="shared" si="47"/>
        <v>5.6</v>
      </c>
    </row>
    <row r="3247" ht="15.75" customHeight="1">
      <c r="A3247" s="3">
        <f t="shared" si="46"/>
        <v>3246</v>
      </c>
      <c r="B3247" s="14">
        <v>2014.0</v>
      </c>
      <c r="C3247" s="14">
        <v>9.0</v>
      </c>
      <c r="D3247" s="14">
        <v>3.0</v>
      </c>
      <c r="E3247" s="14">
        <v>3.0</v>
      </c>
      <c r="F3247" s="14" t="s">
        <v>16</v>
      </c>
      <c r="G3247" s="3" t="s">
        <v>129</v>
      </c>
      <c r="H3247" s="14">
        <v>5.67</v>
      </c>
      <c r="I3247" s="14">
        <v>4.33</v>
      </c>
      <c r="J3247" s="3">
        <f t="shared" si="47"/>
        <v>10</v>
      </c>
    </row>
    <row r="3248" ht="15.75" customHeight="1">
      <c r="A3248" s="3">
        <f t="shared" si="46"/>
        <v>3247</v>
      </c>
      <c r="B3248" s="14">
        <v>2014.0</v>
      </c>
      <c r="C3248" s="14">
        <v>9.0</v>
      </c>
      <c r="D3248" s="14">
        <v>3.0</v>
      </c>
      <c r="E3248" s="14">
        <v>4.0</v>
      </c>
      <c r="F3248" s="14" t="s">
        <v>16</v>
      </c>
      <c r="G3248" s="3" t="s">
        <v>26</v>
      </c>
      <c r="H3248" s="14">
        <v>8.17</v>
      </c>
      <c r="I3248" s="14">
        <v>7.0</v>
      </c>
      <c r="J3248" s="3">
        <f t="shared" si="47"/>
        <v>15.17</v>
      </c>
    </row>
    <row r="3249" ht="15.75" customHeight="1">
      <c r="A3249" s="3">
        <f t="shared" si="46"/>
        <v>3248</v>
      </c>
      <c r="B3249" s="14">
        <v>2014.0</v>
      </c>
      <c r="C3249" s="14">
        <v>9.0</v>
      </c>
      <c r="D3249" s="14">
        <v>3.0</v>
      </c>
      <c r="E3249" s="14">
        <v>4.0</v>
      </c>
      <c r="F3249" s="14" t="s">
        <v>16</v>
      </c>
      <c r="G3249" s="3" t="s">
        <v>38</v>
      </c>
      <c r="H3249" s="14">
        <v>7.0</v>
      </c>
      <c r="I3249" s="14">
        <v>4.17</v>
      </c>
      <c r="J3249" s="3">
        <f t="shared" si="47"/>
        <v>11.17</v>
      </c>
    </row>
    <row r="3250" ht="15.75" customHeight="1">
      <c r="A3250" s="3">
        <f t="shared" si="46"/>
        <v>3249</v>
      </c>
      <c r="B3250" s="14">
        <v>2014.0</v>
      </c>
      <c r="C3250" s="14">
        <v>9.0</v>
      </c>
      <c r="D3250" s="14">
        <v>3.0</v>
      </c>
      <c r="E3250" s="14">
        <v>5.0</v>
      </c>
      <c r="F3250" s="14" t="s">
        <v>16</v>
      </c>
      <c r="G3250" s="3" t="s">
        <v>45</v>
      </c>
      <c r="H3250" s="14">
        <v>6.33</v>
      </c>
      <c r="I3250" s="14">
        <v>4.57</v>
      </c>
      <c r="J3250" s="3">
        <f t="shared" si="47"/>
        <v>10.9</v>
      </c>
    </row>
    <row r="3251" ht="15.75" customHeight="1">
      <c r="A3251" s="3">
        <f t="shared" si="46"/>
        <v>3250</v>
      </c>
      <c r="B3251" s="14">
        <v>2014.0</v>
      </c>
      <c r="C3251" s="14">
        <v>9.0</v>
      </c>
      <c r="D3251" s="14">
        <v>3.0</v>
      </c>
      <c r="E3251" s="14">
        <v>5.0</v>
      </c>
      <c r="F3251" s="14" t="s">
        <v>16</v>
      </c>
      <c r="G3251" s="3" t="s">
        <v>47</v>
      </c>
      <c r="H3251" s="14">
        <v>6.17</v>
      </c>
      <c r="I3251" s="14">
        <v>4.6</v>
      </c>
      <c r="J3251" s="3">
        <f t="shared" si="47"/>
        <v>10.77</v>
      </c>
    </row>
    <row r="3252" ht="15.75" customHeight="1">
      <c r="A3252" s="3">
        <f t="shared" si="46"/>
        <v>3251</v>
      </c>
      <c r="B3252" s="14">
        <v>2014.0</v>
      </c>
      <c r="C3252" s="14">
        <v>9.0</v>
      </c>
      <c r="D3252" s="14">
        <v>3.0</v>
      </c>
      <c r="E3252" s="14">
        <v>6.0</v>
      </c>
      <c r="F3252" s="14" t="s">
        <v>16</v>
      </c>
      <c r="G3252" s="3" t="s">
        <v>30</v>
      </c>
      <c r="H3252" s="14">
        <v>5.07</v>
      </c>
      <c r="I3252" s="14">
        <v>4.33</v>
      </c>
      <c r="J3252" s="3">
        <f t="shared" si="47"/>
        <v>9.4</v>
      </c>
    </row>
    <row r="3253" ht="15.75" customHeight="1">
      <c r="A3253" s="3">
        <f t="shared" si="46"/>
        <v>3252</v>
      </c>
      <c r="B3253" s="14">
        <v>2014.0</v>
      </c>
      <c r="C3253" s="14">
        <v>9.0</v>
      </c>
      <c r="D3253" s="14">
        <v>3.0</v>
      </c>
      <c r="E3253" s="14">
        <v>6.0</v>
      </c>
      <c r="F3253" s="14" t="s">
        <v>16</v>
      </c>
      <c r="G3253" s="3" t="s">
        <v>50</v>
      </c>
      <c r="H3253" s="14">
        <v>4.0</v>
      </c>
      <c r="I3253" s="14">
        <v>3.5</v>
      </c>
      <c r="J3253" s="3">
        <f t="shared" si="47"/>
        <v>7.5</v>
      </c>
    </row>
    <row r="3254" ht="15.75" customHeight="1">
      <c r="A3254" s="3">
        <f t="shared" si="46"/>
        <v>3253</v>
      </c>
      <c r="B3254" s="14">
        <v>2014.0</v>
      </c>
      <c r="C3254" s="14">
        <v>9.0</v>
      </c>
      <c r="D3254" s="14">
        <v>3.0</v>
      </c>
      <c r="E3254" s="14">
        <v>7.0</v>
      </c>
      <c r="F3254" s="14" t="s">
        <v>16</v>
      </c>
      <c r="G3254" s="3" t="s">
        <v>37</v>
      </c>
      <c r="H3254" s="14">
        <v>8.0</v>
      </c>
      <c r="I3254" s="14">
        <v>5.27</v>
      </c>
      <c r="J3254" s="3">
        <f t="shared" si="47"/>
        <v>13.27</v>
      </c>
    </row>
    <row r="3255" ht="15.75" customHeight="1">
      <c r="A3255" s="3">
        <f t="shared" si="46"/>
        <v>3254</v>
      </c>
      <c r="B3255" s="14">
        <v>2014.0</v>
      </c>
      <c r="C3255" s="14">
        <v>9.0</v>
      </c>
      <c r="D3255" s="14">
        <v>3.0</v>
      </c>
      <c r="E3255" s="14">
        <v>7.0</v>
      </c>
      <c r="F3255" s="14" t="s">
        <v>16</v>
      </c>
      <c r="G3255" s="3" t="s">
        <v>122</v>
      </c>
      <c r="H3255" s="14">
        <v>6.5</v>
      </c>
      <c r="I3255" s="14">
        <v>6.43</v>
      </c>
      <c r="J3255" s="3">
        <f t="shared" si="47"/>
        <v>12.93</v>
      </c>
    </row>
    <row r="3256" ht="15.75" customHeight="1">
      <c r="A3256" s="3">
        <f t="shared" si="46"/>
        <v>3255</v>
      </c>
      <c r="B3256" s="14">
        <v>2014.0</v>
      </c>
      <c r="C3256" s="14">
        <v>9.0</v>
      </c>
      <c r="D3256" s="14">
        <v>3.0</v>
      </c>
      <c r="E3256" s="14">
        <v>8.0</v>
      </c>
      <c r="F3256" s="14" t="s">
        <v>16</v>
      </c>
      <c r="G3256" s="3" t="s">
        <v>57</v>
      </c>
      <c r="H3256" s="14">
        <v>7.5</v>
      </c>
      <c r="I3256" s="14">
        <v>6.83</v>
      </c>
      <c r="J3256" s="3">
        <f t="shared" si="47"/>
        <v>14.33</v>
      </c>
    </row>
    <row r="3257" ht="15.75" customHeight="1">
      <c r="A3257" s="3">
        <f t="shared" si="46"/>
        <v>3256</v>
      </c>
      <c r="B3257" s="14">
        <v>2014.0</v>
      </c>
      <c r="C3257" s="14">
        <v>9.0</v>
      </c>
      <c r="D3257" s="14">
        <v>3.0</v>
      </c>
      <c r="E3257" s="14">
        <v>8.0</v>
      </c>
      <c r="F3257" s="14" t="s">
        <v>16</v>
      </c>
      <c r="G3257" s="3" t="s">
        <v>55</v>
      </c>
      <c r="H3257" s="14">
        <v>8.0</v>
      </c>
      <c r="I3257" s="14">
        <v>7.23</v>
      </c>
      <c r="J3257" s="3">
        <f t="shared" si="47"/>
        <v>15.23</v>
      </c>
    </row>
    <row r="3258" ht="15.75" customHeight="1">
      <c r="A3258" s="3">
        <f t="shared" si="46"/>
        <v>3257</v>
      </c>
      <c r="B3258" s="14">
        <v>2014.0</v>
      </c>
      <c r="C3258" s="14">
        <v>9.0</v>
      </c>
      <c r="D3258" s="14">
        <v>3.0</v>
      </c>
      <c r="E3258" s="14">
        <v>9.0</v>
      </c>
      <c r="F3258" s="14" t="s">
        <v>16</v>
      </c>
      <c r="G3258" s="3" t="s">
        <v>42</v>
      </c>
      <c r="H3258" s="14">
        <v>7.33</v>
      </c>
      <c r="I3258" s="14">
        <v>6.17</v>
      </c>
      <c r="J3258" s="3">
        <f t="shared" si="47"/>
        <v>13.5</v>
      </c>
    </row>
    <row r="3259" ht="15.75" customHeight="1">
      <c r="A3259" s="3">
        <f t="shared" si="46"/>
        <v>3258</v>
      </c>
      <c r="B3259" s="14">
        <v>2014.0</v>
      </c>
      <c r="C3259" s="14">
        <v>9.0</v>
      </c>
      <c r="D3259" s="14">
        <v>3.0</v>
      </c>
      <c r="E3259" s="14">
        <v>9.0</v>
      </c>
      <c r="F3259" s="14" t="s">
        <v>16</v>
      </c>
      <c r="G3259" s="3" t="s">
        <v>33</v>
      </c>
      <c r="H3259" s="14">
        <v>9.6</v>
      </c>
      <c r="I3259" s="14">
        <v>6.5</v>
      </c>
      <c r="J3259" s="3">
        <f t="shared" si="47"/>
        <v>16.1</v>
      </c>
    </row>
    <row r="3260" ht="15.75" customHeight="1">
      <c r="A3260" s="3">
        <f t="shared" si="46"/>
        <v>3259</v>
      </c>
      <c r="B3260" s="14">
        <v>2014.0</v>
      </c>
      <c r="C3260" s="14">
        <v>9.0</v>
      </c>
      <c r="D3260" s="14">
        <v>3.0</v>
      </c>
      <c r="E3260" s="14">
        <v>10.0</v>
      </c>
      <c r="F3260" s="14" t="s">
        <v>16</v>
      </c>
      <c r="G3260" s="3" t="s">
        <v>62</v>
      </c>
      <c r="H3260" s="14">
        <v>8.27</v>
      </c>
      <c r="I3260" s="14">
        <v>6.87</v>
      </c>
      <c r="J3260" s="3">
        <f t="shared" si="47"/>
        <v>15.14</v>
      </c>
    </row>
    <row r="3261" ht="15.75" customHeight="1">
      <c r="A3261" s="3">
        <f t="shared" si="46"/>
        <v>3260</v>
      </c>
      <c r="B3261" s="14">
        <v>2014.0</v>
      </c>
      <c r="C3261" s="14">
        <v>9.0</v>
      </c>
      <c r="D3261" s="14">
        <v>3.0</v>
      </c>
      <c r="E3261" s="14">
        <v>10.0</v>
      </c>
      <c r="F3261" s="14" t="s">
        <v>16</v>
      </c>
      <c r="G3261" s="3" t="s">
        <v>60</v>
      </c>
      <c r="H3261" s="14">
        <v>7.33</v>
      </c>
      <c r="I3261" s="14">
        <v>3.93</v>
      </c>
      <c r="J3261" s="3">
        <f t="shared" si="47"/>
        <v>11.26</v>
      </c>
    </row>
    <row r="3262" ht="15.75" customHeight="1">
      <c r="A3262" s="3">
        <f t="shared" si="46"/>
        <v>3261</v>
      </c>
      <c r="B3262" s="14">
        <v>2014.0</v>
      </c>
      <c r="C3262" s="14">
        <v>9.0</v>
      </c>
      <c r="D3262" s="14">
        <v>3.0</v>
      </c>
      <c r="E3262" s="14">
        <v>11.0</v>
      </c>
      <c r="F3262" s="14" t="s">
        <v>16</v>
      </c>
      <c r="G3262" s="3" t="s">
        <v>28</v>
      </c>
      <c r="H3262" s="14">
        <v>8.53</v>
      </c>
      <c r="I3262" s="14">
        <v>8.5</v>
      </c>
      <c r="J3262" s="3">
        <f t="shared" si="47"/>
        <v>17.03</v>
      </c>
    </row>
    <row r="3263" ht="15.75" customHeight="1">
      <c r="A3263" s="3">
        <f t="shared" si="46"/>
        <v>3262</v>
      </c>
      <c r="B3263" s="14">
        <v>2014.0</v>
      </c>
      <c r="C3263" s="14">
        <v>9.0</v>
      </c>
      <c r="D3263" s="14">
        <v>3.0</v>
      </c>
      <c r="E3263" s="14">
        <v>11.0</v>
      </c>
      <c r="F3263" s="14" t="s">
        <v>16</v>
      </c>
      <c r="G3263" s="3" t="s">
        <v>31</v>
      </c>
      <c r="H3263" s="14">
        <v>6.53</v>
      </c>
      <c r="I3263" s="14">
        <v>3.5</v>
      </c>
      <c r="J3263" s="3">
        <f t="shared" si="47"/>
        <v>10.03</v>
      </c>
    </row>
    <row r="3264" ht="15.75" customHeight="1">
      <c r="A3264" s="3">
        <f t="shared" si="46"/>
        <v>3263</v>
      </c>
      <c r="B3264" s="14">
        <v>2014.0</v>
      </c>
      <c r="C3264" s="14">
        <v>9.0</v>
      </c>
      <c r="D3264" s="14">
        <v>3.0</v>
      </c>
      <c r="E3264" s="14">
        <v>12.0</v>
      </c>
      <c r="F3264" s="14" t="s">
        <v>16</v>
      </c>
      <c r="G3264" s="3" t="s">
        <v>39</v>
      </c>
      <c r="H3264" s="14">
        <v>6.73</v>
      </c>
      <c r="I3264" s="14">
        <v>6.13</v>
      </c>
      <c r="J3264" s="3">
        <f t="shared" si="47"/>
        <v>12.86</v>
      </c>
    </row>
    <row r="3265" ht="15.75" customHeight="1">
      <c r="A3265" s="3">
        <f t="shared" si="46"/>
        <v>3264</v>
      </c>
      <c r="B3265" s="14">
        <v>2014.0</v>
      </c>
      <c r="C3265" s="14">
        <v>9.0</v>
      </c>
      <c r="D3265" s="14">
        <v>3.0</v>
      </c>
      <c r="E3265" s="14">
        <v>12.0</v>
      </c>
      <c r="F3265" s="14" t="s">
        <v>16</v>
      </c>
      <c r="G3265" s="3" t="s">
        <v>35</v>
      </c>
      <c r="H3265" s="14">
        <v>7.7</v>
      </c>
      <c r="I3265" s="14">
        <v>7.0</v>
      </c>
      <c r="J3265" s="3">
        <f t="shared" si="47"/>
        <v>14.7</v>
      </c>
    </row>
    <row r="3266" ht="15.75" customHeight="1">
      <c r="A3266" s="3">
        <f t="shared" si="46"/>
        <v>3265</v>
      </c>
      <c r="B3266" s="14">
        <v>2014.0</v>
      </c>
      <c r="C3266" s="14">
        <v>9.0</v>
      </c>
      <c r="D3266" s="14">
        <v>4.0</v>
      </c>
      <c r="E3266" s="14">
        <v>1.0</v>
      </c>
      <c r="F3266" s="14" t="s">
        <v>16</v>
      </c>
      <c r="G3266" s="3" t="s">
        <v>41</v>
      </c>
      <c r="H3266" s="14">
        <v>7.07</v>
      </c>
      <c r="I3266" s="14">
        <v>6.17</v>
      </c>
      <c r="J3266" s="3">
        <f t="shared" si="47"/>
        <v>13.24</v>
      </c>
    </row>
    <row r="3267" ht="15.75" customHeight="1">
      <c r="A3267" s="3">
        <f t="shared" si="46"/>
        <v>3266</v>
      </c>
      <c r="B3267" s="14">
        <v>2014.0</v>
      </c>
      <c r="C3267" s="14">
        <v>9.0</v>
      </c>
      <c r="D3267" s="14">
        <v>4.0</v>
      </c>
      <c r="E3267" s="14">
        <v>1.0</v>
      </c>
      <c r="F3267" s="14" t="s">
        <v>16</v>
      </c>
      <c r="G3267" s="3" t="s">
        <v>129</v>
      </c>
      <c r="H3267" s="14">
        <v>7.83</v>
      </c>
      <c r="I3267" s="14">
        <v>2.33</v>
      </c>
      <c r="J3267" s="3">
        <f t="shared" si="47"/>
        <v>10.16</v>
      </c>
    </row>
    <row r="3268" ht="15.75" customHeight="1">
      <c r="A3268" s="3">
        <f t="shared" si="46"/>
        <v>3267</v>
      </c>
      <c r="B3268" s="14">
        <v>2014.0</v>
      </c>
      <c r="C3268" s="14">
        <v>9.0</v>
      </c>
      <c r="D3268" s="14">
        <v>4.0</v>
      </c>
      <c r="E3268" s="14">
        <v>1.0</v>
      </c>
      <c r="F3268" s="14" t="s">
        <v>16</v>
      </c>
      <c r="G3268" s="3" t="s">
        <v>32</v>
      </c>
      <c r="H3268" s="14">
        <v>8.67</v>
      </c>
      <c r="I3268" s="14">
        <v>7.83</v>
      </c>
      <c r="J3268" s="3">
        <f t="shared" si="47"/>
        <v>16.5</v>
      </c>
    </row>
    <row r="3269" ht="15.75" customHeight="1">
      <c r="A3269" s="3">
        <f t="shared" si="46"/>
        <v>3268</v>
      </c>
      <c r="B3269" s="14">
        <v>2014.0</v>
      </c>
      <c r="C3269" s="14">
        <v>9.0</v>
      </c>
      <c r="D3269" s="14">
        <v>4.0</v>
      </c>
      <c r="E3269" s="14">
        <v>2.0</v>
      </c>
      <c r="F3269" s="14" t="s">
        <v>16</v>
      </c>
      <c r="G3269" s="3" t="s">
        <v>26</v>
      </c>
      <c r="H3269" s="14">
        <v>3.0</v>
      </c>
      <c r="I3269" s="14">
        <v>2.87</v>
      </c>
      <c r="J3269" s="3">
        <f t="shared" si="47"/>
        <v>5.87</v>
      </c>
    </row>
    <row r="3270" ht="15.75" customHeight="1">
      <c r="A3270" s="3">
        <f t="shared" si="46"/>
        <v>3269</v>
      </c>
      <c r="B3270" s="14">
        <v>2014.0</v>
      </c>
      <c r="C3270" s="14">
        <v>9.0</v>
      </c>
      <c r="D3270" s="14">
        <v>4.0</v>
      </c>
      <c r="E3270" s="14">
        <v>2.0</v>
      </c>
      <c r="F3270" s="14" t="s">
        <v>16</v>
      </c>
      <c r="G3270" s="3" t="s">
        <v>45</v>
      </c>
      <c r="H3270" s="14">
        <v>5.43</v>
      </c>
      <c r="I3270" s="14">
        <v>4.5</v>
      </c>
      <c r="J3270" s="3">
        <f t="shared" si="47"/>
        <v>9.93</v>
      </c>
    </row>
    <row r="3271" ht="15.75" customHeight="1">
      <c r="A3271" s="3">
        <f t="shared" si="46"/>
        <v>3270</v>
      </c>
      <c r="B3271" s="14">
        <v>2014.0</v>
      </c>
      <c r="C3271" s="14">
        <v>9.0</v>
      </c>
      <c r="D3271" s="14">
        <v>4.0</v>
      </c>
      <c r="E3271" s="14">
        <v>2.0</v>
      </c>
      <c r="F3271" s="14" t="s">
        <v>16</v>
      </c>
      <c r="G3271" s="3" t="s">
        <v>30</v>
      </c>
      <c r="H3271" s="14">
        <v>9.0</v>
      </c>
      <c r="I3271" s="14">
        <v>7.17</v>
      </c>
      <c r="J3271" s="3">
        <f t="shared" si="47"/>
        <v>16.17</v>
      </c>
    </row>
    <row r="3272" ht="15.75" customHeight="1">
      <c r="A3272" s="3">
        <f t="shared" si="46"/>
        <v>3271</v>
      </c>
      <c r="B3272" s="14">
        <v>2014.0</v>
      </c>
      <c r="C3272" s="14">
        <v>9.0</v>
      </c>
      <c r="D3272" s="14">
        <v>4.0</v>
      </c>
      <c r="E3272" s="14">
        <v>3.0</v>
      </c>
      <c r="F3272" s="14" t="s">
        <v>16</v>
      </c>
      <c r="G3272" s="3" t="s">
        <v>37</v>
      </c>
      <c r="H3272" s="14">
        <v>3.6</v>
      </c>
      <c r="I3272" s="14">
        <v>3.0</v>
      </c>
      <c r="J3272" s="3">
        <f t="shared" si="47"/>
        <v>6.6</v>
      </c>
    </row>
    <row r="3273" ht="15.75" customHeight="1">
      <c r="A3273" s="3">
        <f t="shared" si="46"/>
        <v>3272</v>
      </c>
      <c r="B3273" s="14">
        <v>2014.0</v>
      </c>
      <c r="C3273" s="14">
        <v>9.0</v>
      </c>
      <c r="D3273" s="14">
        <v>4.0</v>
      </c>
      <c r="E3273" s="14">
        <v>3.0</v>
      </c>
      <c r="F3273" s="14" t="s">
        <v>16</v>
      </c>
      <c r="G3273" s="3" t="s">
        <v>55</v>
      </c>
      <c r="H3273" s="14">
        <v>6.5</v>
      </c>
      <c r="I3273" s="14">
        <v>6.33</v>
      </c>
      <c r="J3273" s="3">
        <f t="shared" si="47"/>
        <v>12.83</v>
      </c>
    </row>
    <row r="3274" ht="15.75" customHeight="1">
      <c r="A3274" s="3">
        <f t="shared" si="46"/>
        <v>3273</v>
      </c>
      <c r="B3274" s="14">
        <v>2014.0</v>
      </c>
      <c r="C3274" s="14">
        <v>9.0</v>
      </c>
      <c r="D3274" s="14">
        <v>4.0</v>
      </c>
      <c r="E3274" s="14">
        <v>3.0</v>
      </c>
      <c r="F3274" s="14" t="s">
        <v>16</v>
      </c>
      <c r="G3274" s="3" t="s">
        <v>33</v>
      </c>
      <c r="H3274" s="14">
        <v>6.67</v>
      </c>
      <c r="I3274" s="14">
        <v>5.33</v>
      </c>
      <c r="J3274" s="3">
        <f t="shared" si="47"/>
        <v>12</v>
      </c>
    </row>
    <row r="3275" ht="15.75" customHeight="1">
      <c r="A3275" s="3">
        <f t="shared" si="46"/>
        <v>3274</v>
      </c>
      <c r="B3275" s="14">
        <v>2014.0</v>
      </c>
      <c r="C3275" s="14">
        <v>9.0</v>
      </c>
      <c r="D3275" s="14">
        <v>4.0</v>
      </c>
      <c r="E3275" s="14">
        <v>4.0</v>
      </c>
      <c r="F3275" s="14" t="s">
        <v>16</v>
      </c>
      <c r="G3275" s="3" t="s">
        <v>62</v>
      </c>
      <c r="H3275" s="14">
        <v>7.1</v>
      </c>
      <c r="I3275" s="14">
        <v>3.5</v>
      </c>
      <c r="J3275" s="3">
        <f t="shared" si="47"/>
        <v>10.6</v>
      </c>
    </row>
    <row r="3276" ht="15.75" customHeight="1">
      <c r="A3276" s="3">
        <f t="shared" si="46"/>
        <v>3275</v>
      </c>
      <c r="B3276" s="14">
        <v>2014.0</v>
      </c>
      <c r="C3276" s="14">
        <v>9.0</v>
      </c>
      <c r="D3276" s="14">
        <v>4.0</v>
      </c>
      <c r="E3276" s="14">
        <v>4.0</v>
      </c>
      <c r="F3276" s="14" t="s">
        <v>16</v>
      </c>
      <c r="G3276" s="3" t="s">
        <v>28</v>
      </c>
      <c r="H3276" s="14">
        <v>9.17</v>
      </c>
      <c r="I3276" s="14">
        <v>6.5</v>
      </c>
      <c r="J3276" s="3">
        <f t="shared" si="47"/>
        <v>15.67</v>
      </c>
    </row>
    <row r="3277" ht="15.75" customHeight="1">
      <c r="A3277" s="3">
        <f t="shared" si="46"/>
        <v>3276</v>
      </c>
      <c r="B3277" s="14">
        <v>2014.0</v>
      </c>
      <c r="C3277" s="14">
        <v>9.0</v>
      </c>
      <c r="D3277" s="14">
        <v>4.0</v>
      </c>
      <c r="E3277" s="14">
        <v>4.0</v>
      </c>
      <c r="F3277" s="14" t="s">
        <v>16</v>
      </c>
      <c r="G3277" s="3" t="s">
        <v>35</v>
      </c>
      <c r="H3277" s="14">
        <v>3.4</v>
      </c>
      <c r="I3277" s="14">
        <v>1.77</v>
      </c>
      <c r="J3277" s="3">
        <f t="shared" si="47"/>
        <v>5.17</v>
      </c>
    </row>
    <row r="3278" ht="15.75" customHeight="1">
      <c r="A3278" s="3">
        <f t="shared" si="46"/>
        <v>3277</v>
      </c>
      <c r="B3278" s="14">
        <v>2014.0</v>
      </c>
      <c r="C3278" s="14">
        <v>9.0</v>
      </c>
      <c r="D3278" s="14">
        <v>5.0</v>
      </c>
      <c r="E3278" s="14">
        <v>1.0</v>
      </c>
      <c r="F3278" s="14" t="s">
        <v>16</v>
      </c>
      <c r="G3278" s="3" t="s">
        <v>41</v>
      </c>
      <c r="H3278" s="14">
        <v>6.73</v>
      </c>
      <c r="I3278" s="14">
        <v>6.43</v>
      </c>
      <c r="J3278" s="3">
        <f t="shared" si="47"/>
        <v>13.16</v>
      </c>
    </row>
    <row r="3279" ht="15.75" customHeight="1">
      <c r="A3279" s="3">
        <f t="shared" si="46"/>
        <v>3278</v>
      </c>
      <c r="B3279" s="14">
        <v>2014.0</v>
      </c>
      <c r="C3279" s="14">
        <v>9.0</v>
      </c>
      <c r="D3279" s="14">
        <v>5.0</v>
      </c>
      <c r="E3279" s="14">
        <v>1.0</v>
      </c>
      <c r="F3279" s="14" t="s">
        <v>16</v>
      </c>
      <c r="G3279" s="3" t="s">
        <v>26</v>
      </c>
      <c r="H3279" s="14">
        <v>10.0</v>
      </c>
      <c r="I3279" s="14">
        <v>9.9</v>
      </c>
      <c r="J3279" s="3">
        <f t="shared" si="47"/>
        <v>19.9</v>
      </c>
    </row>
    <row r="3280" ht="15.75" customHeight="1">
      <c r="A3280" s="3">
        <f t="shared" si="46"/>
        <v>3279</v>
      </c>
      <c r="B3280" s="14">
        <v>2014.0</v>
      </c>
      <c r="C3280" s="14">
        <v>9.0</v>
      </c>
      <c r="D3280" s="14">
        <v>5.0</v>
      </c>
      <c r="E3280" s="14">
        <v>2.0</v>
      </c>
      <c r="F3280" s="14" t="s">
        <v>16</v>
      </c>
      <c r="G3280" s="3" t="s">
        <v>45</v>
      </c>
      <c r="H3280" s="14">
        <v>4.17</v>
      </c>
      <c r="I3280" s="14">
        <v>3.17</v>
      </c>
      <c r="J3280" s="3">
        <f t="shared" si="47"/>
        <v>7.34</v>
      </c>
    </row>
    <row r="3281" ht="15.75" customHeight="1">
      <c r="A3281" s="3">
        <f t="shared" si="46"/>
        <v>3280</v>
      </c>
      <c r="B3281" s="14">
        <v>2014.0</v>
      </c>
      <c r="C3281" s="14">
        <v>9.0</v>
      </c>
      <c r="D3281" s="14">
        <v>5.0</v>
      </c>
      <c r="E3281" s="14">
        <v>2.0</v>
      </c>
      <c r="F3281" s="14" t="s">
        <v>16</v>
      </c>
      <c r="G3281" s="3" t="s">
        <v>129</v>
      </c>
      <c r="H3281" s="14">
        <v>5.33</v>
      </c>
      <c r="I3281" s="14">
        <v>1.6</v>
      </c>
      <c r="J3281" s="3">
        <f t="shared" si="47"/>
        <v>6.93</v>
      </c>
    </row>
    <row r="3282" ht="15.75" customHeight="1">
      <c r="A3282" s="3">
        <f t="shared" si="46"/>
        <v>3281</v>
      </c>
      <c r="B3282" s="14">
        <v>2014.0</v>
      </c>
      <c r="C3282" s="14">
        <v>9.0</v>
      </c>
      <c r="D3282" s="14">
        <v>5.0</v>
      </c>
      <c r="E3282" s="14">
        <v>3.0</v>
      </c>
      <c r="F3282" s="14" t="s">
        <v>16</v>
      </c>
      <c r="G3282" s="3" t="s">
        <v>33</v>
      </c>
      <c r="H3282" s="14">
        <v>3.0</v>
      </c>
      <c r="I3282" s="14">
        <v>2.33</v>
      </c>
      <c r="J3282" s="3">
        <f t="shared" si="47"/>
        <v>5.33</v>
      </c>
    </row>
    <row r="3283" ht="15.75" customHeight="1">
      <c r="A3283" s="3">
        <f t="shared" si="46"/>
        <v>3282</v>
      </c>
      <c r="B3283" s="14">
        <v>2014.0</v>
      </c>
      <c r="C3283" s="14">
        <v>9.0</v>
      </c>
      <c r="D3283" s="14">
        <v>5.0</v>
      </c>
      <c r="E3283" s="14">
        <v>3.0</v>
      </c>
      <c r="F3283" s="14" t="s">
        <v>16</v>
      </c>
      <c r="G3283" s="3" t="s">
        <v>35</v>
      </c>
      <c r="H3283" s="14">
        <v>5.83</v>
      </c>
      <c r="I3283" s="14">
        <v>3.4</v>
      </c>
      <c r="J3283" s="3">
        <f t="shared" si="47"/>
        <v>9.23</v>
      </c>
    </row>
    <row r="3284" ht="15.75" customHeight="1">
      <c r="A3284" s="3">
        <f t="shared" si="46"/>
        <v>3283</v>
      </c>
      <c r="B3284" s="14">
        <v>2014.0</v>
      </c>
      <c r="C3284" s="14">
        <v>9.0</v>
      </c>
      <c r="D3284" s="14">
        <v>5.0</v>
      </c>
      <c r="E3284" s="14">
        <v>4.0</v>
      </c>
      <c r="F3284" s="14" t="s">
        <v>16</v>
      </c>
      <c r="G3284" s="3" t="s">
        <v>62</v>
      </c>
      <c r="H3284" s="14">
        <v>3.0</v>
      </c>
      <c r="I3284" s="14">
        <v>2.87</v>
      </c>
      <c r="J3284" s="3">
        <f t="shared" si="47"/>
        <v>5.87</v>
      </c>
    </row>
    <row r="3285" ht="15.75" customHeight="1">
      <c r="A3285" s="3">
        <f t="shared" si="46"/>
        <v>3284</v>
      </c>
      <c r="B3285" s="14">
        <v>2014.0</v>
      </c>
      <c r="C3285" s="14">
        <v>9.0</v>
      </c>
      <c r="D3285" s="14">
        <v>5.0</v>
      </c>
      <c r="E3285" s="14">
        <v>4.0</v>
      </c>
      <c r="F3285" s="14" t="s">
        <v>16</v>
      </c>
      <c r="G3285" s="3" t="s">
        <v>37</v>
      </c>
      <c r="H3285" s="14">
        <v>9.07</v>
      </c>
      <c r="I3285" s="14">
        <v>6.17</v>
      </c>
      <c r="J3285" s="3">
        <f t="shared" si="47"/>
        <v>15.24</v>
      </c>
    </row>
    <row r="3286" ht="15.75" customHeight="1">
      <c r="A3286" s="3">
        <f t="shared" si="46"/>
        <v>3285</v>
      </c>
      <c r="B3286" s="14">
        <v>2014.0</v>
      </c>
      <c r="C3286" s="14">
        <v>9.0</v>
      </c>
      <c r="D3286" s="14">
        <v>6.0</v>
      </c>
      <c r="E3286" s="14">
        <v>1.0</v>
      </c>
      <c r="F3286" s="14" t="s">
        <v>16</v>
      </c>
      <c r="G3286" s="3" t="s">
        <v>32</v>
      </c>
      <c r="H3286" s="14">
        <v>6.0</v>
      </c>
      <c r="I3286" s="14">
        <v>3.17</v>
      </c>
      <c r="J3286" s="3">
        <f t="shared" si="47"/>
        <v>9.17</v>
      </c>
    </row>
    <row r="3287" ht="15.75" customHeight="1">
      <c r="A3287" s="3">
        <f t="shared" si="46"/>
        <v>3286</v>
      </c>
      <c r="B3287" s="14">
        <v>2014.0</v>
      </c>
      <c r="C3287" s="14">
        <v>9.0</v>
      </c>
      <c r="D3287" s="14">
        <v>6.0</v>
      </c>
      <c r="E3287" s="14">
        <v>1.0</v>
      </c>
      <c r="F3287" s="14" t="s">
        <v>16</v>
      </c>
      <c r="G3287" s="3" t="s">
        <v>26</v>
      </c>
      <c r="H3287" s="14">
        <v>9.0</v>
      </c>
      <c r="I3287" s="14">
        <v>7.0</v>
      </c>
      <c r="J3287" s="3">
        <f t="shared" si="47"/>
        <v>16</v>
      </c>
    </row>
    <row r="3288" ht="15.75" customHeight="1">
      <c r="A3288" s="3">
        <f t="shared" si="46"/>
        <v>3287</v>
      </c>
      <c r="B3288" s="14">
        <v>2014.0</v>
      </c>
      <c r="C3288" s="14">
        <v>9.0</v>
      </c>
      <c r="D3288" s="14">
        <v>6.0</v>
      </c>
      <c r="E3288" s="14">
        <v>2.0</v>
      </c>
      <c r="F3288" s="14" t="s">
        <v>16</v>
      </c>
      <c r="G3288" s="3" t="s">
        <v>30</v>
      </c>
      <c r="H3288" s="14">
        <v>4.73</v>
      </c>
      <c r="I3288" s="14">
        <v>4.17</v>
      </c>
      <c r="J3288" s="3">
        <f t="shared" si="47"/>
        <v>8.9</v>
      </c>
    </row>
    <row r="3289" ht="15.75" customHeight="1">
      <c r="A3289" s="3">
        <f t="shared" si="46"/>
        <v>3288</v>
      </c>
      <c r="B3289" s="14">
        <v>2014.0</v>
      </c>
      <c r="C3289" s="14">
        <v>9.0</v>
      </c>
      <c r="D3289" s="14">
        <v>6.0</v>
      </c>
      <c r="E3289" s="14">
        <v>2.0</v>
      </c>
      <c r="F3289" s="14" t="s">
        <v>16</v>
      </c>
      <c r="G3289" s="3" t="s">
        <v>45</v>
      </c>
      <c r="H3289" s="14">
        <v>7.0</v>
      </c>
      <c r="I3289" s="14">
        <v>5.83</v>
      </c>
      <c r="J3289" s="3">
        <f t="shared" si="47"/>
        <v>12.83</v>
      </c>
    </row>
    <row r="3290" ht="15.75" customHeight="1">
      <c r="A3290" s="3">
        <f t="shared" si="46"/>
        <v>3289</v>
      </c>
      <c r="B3290" s="14">
        <v>2014.0</v>
      </c>
      <c r="C3290" s="14">
        <v>9.0</v>
      </c>
      <c r="D3290" s="14">
        <v>6.0</v>
      </c>
      <c r="E3290" s="14">
        <v>3.0</v>
      </c>
      <c r="F3290" s="14" t="s">
        <v>16</v>
      </c>
      <c r="G3290" s="3" t="s">
        <v>55</v>
      </c>
      <c r="H3290" s="14">
        <v>4.33</v>
      </c>
      <c r="I3290" s="14">
        <v>3.93</v>
      </c>
      <c r="J3290" s="3">
        <f t="shared" si="47"/>
        <v>8.26</v>
      </c>
    </row>
    <row r="3291" ht="15.75" customHeight="1">
      <c r="A3291" s="3">
        <f t="shared" si="46"/>
        <v>3290</v>
      </c>
      <c r="B3291" s="14">
        <v>2014.0</v>
      </c>
      <c r="C3291" s="14">
        <v>9.0</v>
      </c>
      <c r="D3291" s="14">
        <v>6.0</v>
      </c>
      <c r="E3291" s="14">
        <v>3.0</v>
      </c>
      <c r="F3291" s="14" t="s">
        <v>16</v>
      </c>
      <c r="G3291" s="3" t="s">
        <v>35</v>
      </c>
      <c r="H3291" s="14">
        <v>5.5</v>
      </c>
      <c r="I3291" s="14">
        <v>5.0</v>
      </c>
      <c r="J3291" s="3">
        <f t="shared" si="47"/>
        <v>10.5</v>
      </c>
    </row>
    <row r="3292" ht="15.75" customHeight="1">
      <c r="A3292" s="3">
        <f t="shared" si="46"/>
        <v>3291</v>
      </c>
      <c r="B3292" s="14">
        <v>2014.0</v>
      </c>
      <c r="C3292" s="14">
        <v>9.0</v>
      </c>
      <c r="D3292" s="14">
        <v>6.0</v>
      </c>
      <c r="E3292" s="14">
        <v>4.0</v>
      </c>
      <c r="F3292" s="14" t="s">
        <v>16</v>
      </c>
      <c r="G3292" s="3" t="s">
        <v>28</v>
      </c>
      <c r="H3292" s="14">
        <v>7.33</v>
      </c>
      <c r="I3292" s="14">
        <v>5.17</v>
      </c>
      <c r="J3292" s="3">
        <f t="shared" si="47"/>
        <v>12.5</v>
      </c>
    </row>
    <row r="3293" ht="15.75" customHeight="1">
      <c r="A3293" s="3">
        <f t="shared" si="46"/>
        <v>3292</v>
      </c>
      <c r="B3293" s="14">
        <v>2014.0</v>
      </c>
      <c r="C3293" s="14">
        <v>9.0</v>
      </c>
      <c r="D3293" s="14">
        <v>6.0</v>
      </c>
      <c r="E3293" s="14">
        <v>4.0</v>
      </c>
      <c r="F3293" s="14" t="s">
        <v>16</v>
      </c>
      <c r="G3293" s="3" t="s">
        <v>37</v>
      </c>
      <c r="H3293" s="14">
        <v>6.5</v>
      </c>
      <c r="I3293" s="14">
        <v>4.0</v>
      </c>
      <c r="J3293" s="3">
        <f t="shared" si="47"/>
        <v>10.5</v>
      </c>
    </row>
    <row r="3294" ht="15.75" customHeight="1">
      <c r="A3294" s="3">
        <f t="shared" si="46"/>
        <v>3293</v>
      </c>
      <c r="B3294" s="14">
        <v>2014.0</v>
      </c>
      <c r="C3294" s="14">
        <v>9.0</v>
      </c>
      <c r="D3294" s="14">
        <v>7.0</v>
      </c>
      <c r="E3294" s="14">
        <v>1.0</v>
      </c>
      <c r="F3294" s="14" t="s">
        <v>16</v>
      </c>
      <c r="G3294" s="3" t="s">
        <v>26</v>
      </c>
      <c r="H3294" s="14">
        <v>8.17</v>
      </c>
      <c r="I3294" s="14">
        <v>7.33</v>
      </c>
      <c r="J3294" s="3">
        <f t="shared" si="47"/>
        <v>15.5</v>
      </c>
    </row>
    <row r="3295" ht="15.75" customHeight="1">
      <c r="A3295" s="3">
        <f t="shared" si="46"/>
        <v>3294</v>
      </c>
      <c r="B3295" s="14">
        <v>2014.0</v>
      </c>
      <c r="C3295" s="14">
        <v>9.0</v>
      </c>
      <c r="D3295" s="14">
        <v>7.0</v>
      </c>
      <c r="E3295" s="14">
        <v>1.0</v>
      </c>
      <c r="F3295" s="14" t="s">
        <v>16</v>
      </c>
      <c r="G3295" s="3" t="s">
        <v>45</v>
      </c>
      <c r="H3295" s="14">
        <v>6.83</v>
      </c>
      <c r="I3295" s="14">
        <v>1.77</v>
      </c>
      <c r="J3295" s="3">
        <f t="shared" si="47"/>
        <v>8.6</v>
      </c>
    </row>
    <row r="3296" ht="15.75" customHeight="1">
      <c r="A3296" s="3">
        <f t="shared" si="46"/>
        <v>3295</v>
      </c>
      <c r="B3296" s="14">
        <v>2014.0</v>
      </c>
      <c r="C3296" s="14">
        <v>9.0</v>
      </c>
      <c r="D3296" s="14">
        <v>7.0</v>
      </c>
      <c r="E3296" s="14">
        <v>2.0</v>
      </c>
      <c r="F3296" s="14" t="s">
        <v>16</v>
      </c>
      <c r="G3296" s="3" t="s">
        <v>35</v>
      </c>
      <c r="H3296" s="14">
        <v>8.67</v>
      </c>
      <c r="I3296" s="14">
        <v>8.0</v>
      </c>
      <c r="J3296" s="3">
        <f t="shared" si="47"/>
        <v>16.67</v>
      </c>
    </row>
    <row r="3297" ht="15.75" customHeight="1">
      <c r="A3297" s="3">
        <f t="shared" si="46"/>
        <v>3296</v>
      </c>
      <c r="B3297" s="14">
        <v>2014.0</v>
      </c>
      <c r="C3297" s="14">
        <v>9.0</v>
      </c>
      <c r="D3297" s="14">
        <v>7.0</v>
      </c>
      <c r="E3297" s="14">
        <v>2.0</v>
      </c>
      <c r="F3297" s="14" t="s">
        <v>16</v>
      </c>
      <c r="G3297" s="3" t="s">
        <v>28</v>
      </c>
      <c r="H3297" s="14">
        <v>6.17</v>
      </c>
      <c r="I3297" s="14">
        <v>2.67</v>
      </c>
      <c r="J3297" s="3">
        <f t="shared" si="47"/>
        <v>8.84</v>
      </c>
    </row>
    <row r="3298" ht="15.75" customHeight="1">
      <c r="A3298" s="3">
        <f t="shared" si="46"/>
        <v>3297</v>
      </c>
      <c r="B3298" s="14">
        <v>2014.0</v>
      </c>
      <c r="C3298" s="14">
        <v>9.0</v>
      </c>
      <c r="D3298" s="14">
        <v>8.0</v>
      </c>
      <c r="E3298" s="14">
        <v>1.0</v>
      </c>
      <c r="F3298" s="14" t="s">
        <v>16</v>
      </c>
      <c r="G3298" s="3" t="s">
        <v>26</v>
      </c>
      <c r="H3298" s="14">
        <v>8.83</v>
      </c>
      <c r="I3298" s="14">
        <v>7.17</v>
      </c>
      <c r="J3298" s="3">
        <f t="shared" si="47"/>
        <v>16</v>
      </c>
    </row>
    <row r="3299" ht="15.75" customHeight="1">
      <c r="A3299" s="3">
        <f t="shared" si="46"/>
        <v>3298</v>
      </c>
      <c r="B3299" s="14">
        <v>2014.0</v>
      </c>
      <c r="C3299" s="14">
        <v>9.0</v>
      </c>
      <c r="D3299" s="14">
        <v>8.0</v>
      </c>
      <c r="E3299" s="14">
        <v>1.0</v>
      </c>
      <c r="F3299" s="14" t="s">
        <v>16</v>
      </c>
      <c r="G3299" s="3" t="s">
        <v>35</v>
      </c>
      <c r="H3299" s="14">
        <v>2.57</v>
      </c>
      <c r="I3299" s="14">
        <v>2.0</v>
      </c>
      <c r="J3299" s="3">
        <f t="shared" si="47"/>
        <v>4.57</v>
      </c>
    </row>
    <row r="3300" ht="15.75" customHeight="1">
      <c r="A3300" s="3">
        <f t="shared" si="46"/>
        <v>3299</v>
      </c>
      <c r="B3300" s="14">
        <v>2014.0</v>
      </c>
      <c r="C3300" s="14">
        <v>10.0</v>
      </c>
      <c r="D3300" s="14">
        <v>1.0</v>
      </c>
      <c r="E3300" s="14">
        <v>1.0</v>
      </c>
      <c r="F3300" s="14" t="s">
        <v>16</v>
      </c>
      <c r="G3300" s="3" t="s">
        <v>62</v>
      </c>
      <c r="H3300" s="14">
        <v>6.83</v>
      </c>
      <c r="I3300" s="14">
        <v>5.27</v>
      </c>
      <c r="J3300" s="3">
        <f t="shared" si="47"/>
        <v>12.1</v>
      </c>
    </row>
    <row r="3301" ht="15.75" customHeight="1">
      <c r="A3301" s="3">
        <f t="shared" si="46"/>
        <v>3300</v>
      </c>
      <c r="B3301" s="14">
        <v>2014.0</v>
      </c>
      <c r="C3301" s="14">
        <v>10.0</v>
      </c>
      <c r="D3301" s="14">
        <v>1.0</v>
      </c>
      <c r="E3301" s="14">
        <v>1.0</v>
      </c>
      <c r="F3301" s="14" t="s">
        <v>16</v>
      </c>
      <c r="G3301" s="3" t="s">
        <v>123</v>
      </c>
      <c r="H3301" s="14">
        <v>6.0</v>
      </c>
      <c r="I3301" s="14">
        <v>2.97</v>
      </c>
      <c r="J3301" s="3">
        <f t="shared" si="47"/>
        <v>8.97</v>
      </c>
    </row>
    <row r="3302" ht="15.75" customHeight="1">
      <c r="A3302" s="3">
        <f t="shared" si="46"/>
        <v>3301</v>
      </c>
      <c r="B3302" s="14">
        <v>2014.0</v>
      </c>
      <c r="C3302" s="14">
        <v>10.0</v>
      </c>
      <c r="D3302" s="14">
        <v>1.0</v>
      </c>
      <c r="E3302" s="14">
        <v>1.0</v>
      </c>
      <c r="F3302" s="14" t="s">
        <v>16</v>
      </c>
      <c r="G3302" s="3" t="s">
        <v>122</v>
      </c>
      <c r="H3302" s="14">
        <v>5.1</v>
      </c>
      <c r="I3302" s="14">
        <v>2.27</v>
      </c>
      <c r="J3302" s="3">
        <f t="shared" si="47"/>
        <v>7.37</v>
      </c>
    </row>
    <row r="3303" ht="15.75" customHeight="1">
      <c r="A3303" s="3">
        <f t="shared" si="46"/>
        <v>3302</v>
      </c>
      <c r="B3303" s="14">
        <v>2014.0</v>
      </c>
      <c r="C3303" s="14">
        <v>10.0</v>
      </c>
      <c r="D3303" s="14">
        <v>1.0</v>
      </c>
      <c r="E3303" s="14">
        <v>2.0</v>
      </c>
      <c r="F3303" s="14" t="s">
        <v>16</v>
      </c>
      <c r="G3303" s="3" t="s">
        <v>26</v>
      </c>
      <c r="H3303" s="14">
        <v>5.77</v>
      </c>
      <c r="I3303" s="14">
        <v>5.33</v>
      </c>
      <c r="J3303" s="3">
        <f t="shared" si="47"/>
        <v>11.1</v>
      </c>
    </row>
    <row r="3304" ht="15.75" customHeight="1">
      <c r="A3304" s="3">
        <f t="shared" si="46"/>
        <v>3303</v>
      </c>
      <c r="B3304" s="14">
        <v>2014.0</v>
      </c>
      <c r="C3304" s="14">
        <v>10.0</v>
      </c>
      <c r="D3304" s="14">
        <v>1.0</v>
      </c>
      <c r="E3304" s="14">
        <v>2.0</v>
      </c>
      <c r="F3304" s="14" t="s">
        <v>16</v>
      </c>
      <c r="G3304" s="3" t="s">
        <v>35</v>
      </c>
      <c r="H3304" s="14">
        <v>8.1</v>
      </c>
      <c r="I3304" s="14">
        <v>7.83</v>
      </c>
      <c r="J3304" s="3">
        <f t="shared" si="47"/>
        <v>15.93</v>
      </c>
    </row>
    <row r="3305" ht="15.75" customHeight="1">
      <c r="A3305" s="3">
        <f t="shared" si="46"/>
        <v>3304</v>
      </c>
      <c r="B3305" s="14">
        <v>2014.0</v>
      </c>
      <c r="C3305" s="14">
        <v>10.0</v>
      </c>
      <c r="D3305" s="14">
        <v>1.0</v>
      </c>
      <c r="E3305" s="14">
        <v>2.0</v>
      </c>
      <c r="F3305" s="14" t="s">
        <v>16</v>
      </c>
      <c r="G3305" s="3" t="s">
        <v>91</v>
      </c>
      <c r="H3305" s="14">
        <v>7.1</v>
      </c>
      <c r="I3305" s="14">
        <v>5.5</v>
      </c>
      <c r="J3305" s="3">
        <f t="shared" si="47"/>
        <v>12.6</v>
      </c>
    </row>
    <row r="3306" ht="15.75" customHeight="1">
      <c r="A3306" s="3">
        <f t="shared" si="46"/>
        <v>3305</v>
      </c>
      <c r="B3306" s="14">
        <v>2014.0</v>
      </c>
      <c r="C3306" s="14">
        <v>10.0</v>
      </c>
      <c r="D3306" s="14">
        <v>1.0</v>
      </c>
      <c r="E3306" s="14">
        <v>3.0</v>
      </c>
      <c r="F3306" s="14" t="s">
        <v>16</v>
      </c>
      <c r="G3306" s="3" t="s">
        <v>39</v>
      </c>
      <c r="H3306" s="14">
        <v>8.5</v>
      </c>
      <c r="I3306" s="14">
        <v>7.33</v>
      </c>
      <c r="J3306" s="3">
        <f t="shared" si="47"/>
        <v>15.83</v>
      </c>
    </row>
    <row r="3307" ht="15.75" customHeight="1">
      <c r="A3307" s="3">
        <f t="shared" si="46"/>
        <v>3306</v>
      </c>
      <c r="B3307" s="14">
        <v>2014.0</v>
      </c>
      <c r="C3307" s="14">
        <v>10.0</v>
      </c>
      <c r="D3307" s="14">
        <v>1.0</v>
      </c>
      <c r="E3307" s="14">
        <v>3.0</v>
      </c>
      <c r="F3307" s="14" t="s">
        <v>16</v>
      </c>
      <c r="G3307" s="3" t="s">
        <v>125</v>
      </c>
      <c r="H3307" s="14">
        <v>5.07</v>
      </c>
      <c r="I3307" s="14">
        <v>4.17</v>
      </c>
      <c r="J3307" s="3">
        <f t="shared" si="47"/>
        <v>9.24</v>
      </c>
    </row>
    <row r="3308" ht="15.75" customHeight="1">
      <c r="A3308" s="3">
        <f t="shared" si="46"/>
        <v>3307</v>
      </c>
      <c r="B3308" s="14">
        <v>2014.0</v>
      </c>
      <c r="C3308" s="14">
        <v>10.0</v>
      </c>
      <c r="D3308" s="14">
        <v>1.0</v>
      </c>
      <c r="E3308" s="14">
        <v>3.0</v>
      </c>
      <c r="F3308" s="14" t="s">
        <v>16</v>
      </c>
      <c r="G3308" s="3" t="s">
        <v>50</v>
      </c>
      <c r="H3308" s="14">
        <v>5.0</v>
      </c>
      <c r="I3308" s="14">
        <v>3.47</v>
      </c>
      <c r="J3308" s="3">
        <f t="shared" si="47"/>
        <v>8.47</v>
      </c>
    </row>
    <row r="3309" ht="15.75" customHeight="1">
      <c r="A3309" s="3">
        <f t="shared" si="46"/>
        <v>3308</v>
      </c>
      <c r="B3309" s="14">
        <v>2014.0</v>
      </c>
      <c r="C3309" s="14">
        <v>10.0</v>
      </c>
      <c r="D3309" s="14">
        <v>1.0</v>
      </c>
      <c r="E3309" s="14">
        <v>4.0</v>
      </c>
      <c r="F3309" s="14" t="s">
        <v>16</v>
      </c>
      <c r="G3309" s="3" t="s">
        <v>41</v>
      </c>
      <c r="H3309" s="14">
        <v>6.83</v>
      </c>
      <c r="I3309" s="14">
        <v>3.83</v>
      </c>
      <c r="J3309" s="3">
        <f t="shared" si="47"/>
        <v>10.66</v>
      </c>
    </row>
    <row r="3310" ht="15.75" customHeight="1">
      <c r="A3310" s="3">
        <f t="shared" si="46"/>
        <v>3309</v>
      </c>
      <c r="B3310" s="14">
        <v>2014.0</v>
      </c>
      <c r="C3310" s="14">
        <v>10.0</v>
      </c>
      <c r="D3310" s="14">
        <v>1.0</v>
      </c>
      <c r="E3310" s="14">
        <v>4.0</v>
      </c>
      <c r="F3310" s="14" t="s">
        <v>16</v>
      </c>
      <c r="G3310" s="3" t="s">
        <v>38</v>
      </c>
      <c r="H3310" s="14">
        <v>8.17</v>
      </c>
      <c r="I3310" s="14">
        <v>7.93</v>
      </c>
      <c r="J3310" s="3">
        <f t="shared" si="47"/>
        <v>16.1</v>
      </c>
    </row>
    <row r="3311" ht="15.75" customHeight="1">
      <c r="A3311" s="3">
        <f t="shared" si="46"/>
        <v>3310</v>
      </c>
      <c r="B3311" s="14">
        <v>2014.0</v>
      </c>
      <c r="C3311" s="14">
        <v>10.0</v>
      </c>
      <c r="D3311" s="14">
        <v>1.0</v>
      </c>
      <c r="E3311" s="14">
        <v>4.0</v>
      </c>
      <c r="F3311" s="14" t="s">
        <v>16</v>
      </c>
      <c r="G3311" s="3" t="s">
        <v>131</v>
      </c>
      <c r="H3311" s="14">
        <v>4.83</v>
      </c>
      <c r="I3311" s="14">
        <v>0.0</v>
      </c>
      <c r="J3311" s="3">
        <f t="shared" si="47"/>
        <v>4.83</v>
      </c>
    </row>
    <row r="3312" ht="15.75" customHeight="1">
      <c r="A3312" s="3">
        <f t="shared" si="46"/>
        <v>3311</v>
      </c>
      <c r="B3312" s="14">
        <v>2014.0</v>
      </c>
      <c r="C3312" s="14">
        <v>10.0</v>
      </c>
      <c r="D3312" s="14">
        <v>1.0</v>
      </c>
      <c r="E3312" s="14">
        <v>5.0</v>
      </c>
      <c r="F3312" s="14" t="s">
        <v>16</v>
      </c>
      <c r="G3312" s="3" t="s">
        <v>37</v>
      </c>
      <c r="H3312" s="14">
        <v>9.67</v>
      </c>
      <c r="I3312" s="14">
        <v>7.33</v>
      </c>
      <c r="J3312" s="3">
        <f t="shared" si="47"/>
        <v>17</v>
      </c>
    </row>
    <row r="3313" ht="15.75" customHeight="1">
      <c r="A3313" s="3">
        <f t="shared" si="46"/>
        <v>3312</v>
      </c>
      <c r="B3313" s="14">
        <v>2014.0</v>
      </c>
      <c r="C3313" s="14">
        <v>10.0</v>
      </c>
      <c r="D3313" s="14">
        <v>1.0</v>
      </c>
      <c r="E3313" s="14">
        <v>5.0</v>
      </c>
      <c r="F3313" s="14" t="s">
        <v>16</v>
      </c>
      <c r="G3313" s="3" t="s">
        <v>129</v>
      </c>
      <c r="H3313" s="14">
        <v>9.57</v>
      </c>
      <c r="I3313" s="14">
        <v>6.5</v>
      </c>
      <c r="J3313" s="3">
        <f t="shared" si="47"/>
        <v>16.07</v>
      </c>
    </row>
    <row r="3314" ht="15.75" customHeight="1">
      <c r="A3314" s="3">
        <f t="shared" si="46"/>
        <v>3313</v>
      </c>
      <c r="B3314" s="14">
        <v>2014.0</v>
      </c>
      <c r="C3314" s="14">
        <v>10.0</v>
      </c>
      <c r="D3314" s="14">
        <v>1.0</v>
      </c>
      <c r="E3314" s="14">
        <v>5.0</v>
      </c>
      <c r="F3314" s="14" t="s">
        <v>16</v>
      </c>
      <c r="G3314" s="3" t="s">
        <v>134</v>
      </c>
      <c r="H3314" s="14">
        <v>4.0</v>
      </c>
      <c r="I3314" s="14">
        <v>3.5</v>
      </c>
      <c r="J3314" s="3">
        <f t="shared" si="47"/>
        <v>7.5</v>
      </c>
    </row>
    <row r="3315" ht="15.75" customHeight="1">
      <c r="A3315" s="3">
        <f t="shared" si="46"/>
        <v>3314</v>
      </c>
      <c r="B3315" s="14">
        <v>2014.0</v>
      </c>
      <c r="C3315" s="14">
        <v>10.0</v>
      </c>
      <c r="D3315" s="14">
        <v>1.0</v>
      </c>
      <c r="E3315" s="14">
        <v>6.0</v>
      </c>
      <c r="F3315" s="14" t="s">
        <v>16</v>
      </c>
      <c r="G3315" s="3" t="s">
        <v>30</v>
      </c>
      <c r="H3315" s="14">
        <v>7.17</v>
      </c>
      <c r="I3315" s="14">
        <v>7.1</v>
      </c>
      <c r="J3315" s="3">
        <f t="shared" si="47"/>
        <v>14.27</v>
      </c>
    </row>
    <row r="3316" ht="15.75" customHeight="1">
      <c r="A3316" s="3">
        <f t="shared" si="46"/>
        <v>3315</v>
      </c>
      <c r="B3316" s="14">
        <v>2014.0</v>
      </c>
      <c r="C3316" s="14">
        <v>10.0</v>
      </c>
      <c r="D3316" s="14">
        <v>1.0</v>
      </c>
      <c r="E3316" s="14">
        <v>6.0</v>
      </c>
      <c r="F3316" s="14" t="s">
        <v>16</v>
      </c>
      <c r="G3316" s="3" t="s">
        <v>60</v>
      </c>
      <c r="H3316" s="14">
        <v>6.83</v>
      </c>
      <c r="I3316" s="14">
        <v>5.9</v>
      </c>
      <c r="J3316" s="3">
        <f t="shared" si="47"/>
        <v>12.73</v>
      </c>
    </row>
    <row r="3317" ht="15.75" customHeight="1">
      <c r="A3317" s="3">
        <f t="shared" si="46"/>
        <v>3316</v>
      </c>
      <c r="B3317" s="14">
        <v>2014.0</v>
      </c>
      <c r="C3317" s="14">
        <v>10.0</v>
      </c>
      <c r="D3317" s="14">
        <v>1.0</v>
      </c>
      <c r="E3317" s="14">
        <v>6.0</v>
      </c>
      <c r="F3317" s="14" t="s">
        <v>16</v>
      </c>
      <c r="G3317" s="3" t="s">
        <v>75</v>
      </c>
      <c r="H3317" s="14">
        <v>4.5</v>
      </c>
      <c r="I3317" s="14">
        <v>3.93</v>
      </c>
      <c r="J3317" s="3">
        <f t="shared" si="47"/>
        <v>8.43</v>
      </c>
    </row>
    <row r="3318" ht="15.75" customHeight="1">
      <c r="A3318" s="3">
        <f t="shared" si="46"/>
        <v>3317</v>
      </c>
      <c r="B3318" s="14">
        <v>2014.0</v>
      </c>
      <c r="C3318" s="14">
        <v>10.0</v>
      </c>
      <c r="D3318" s="14">
        <v>1.0</v>
      </c>
      <c r="E3318" s="14">
        <v>7.0</v>
      </c>
      <c r="F3318" s="14" t="s">
        <v>16</v>
      </c>
      <c r="G3318" s="3" t="s">
        <v>27</v>
      </c>
      <c r="H3318" s="14">
        <v>7.53</v>
      </c>
      <c r="I3318" s="14">
        <v>3.03</v>
      </c>
      <c r="J3318" s="3">
        <f t="shared" si="47"/>
        <v>10.56</v>
      </c>
    </row>
    <row r="3319" ht="15.75" customHeight="1">
      <c r="A3319" s="3">
        <f t="shared" si="46"/>
        <v>3318</v>
      </c>
      <c r="B3319" s="14">
        <v>2014.0</v>
      </c>
      <c r="C3319" s="14">
        <v>10.0</v>
      </c>
      <c r="D3319" s="14">
        <v>1.0</v>
      </c>
      <c r="E3319" s="14">
        <v>7.0</v>
      </c>
      <c r="F3319" s="14" t="s">
        <v>16</v>
      </c>
      <c r="G3319" s="3" t="s">
        <v>33</v>
      </c>
      <c r="H3319" s="14">
        <v>8.5</v>
      </c>
      <c r="I3319" s="14">
        <v>5.83</v>
      </c>
      <c r="J3319" s="3">
        <f t="shared" si="47"/>
        <v>14.33</v>
      </c>
    </row>
    <row r="3320" ht="15.75" customHeight="1">
      <c r="A3320" s="3">
        <f t="shared" si="46"/>
        <v>3319</v>
      </c>
      <c r="B3320" s="14">
        <v>2014.0</v>
      </c>
      <c r="C3320" s="14">
        <v>10.0</v>
      </c>
      <c r="D3320" s="14">
        <v>1.0</v>
      </c>
      <c r="E3320" s="14">
        <v>7.0</v>
      </c>
      <c r="F3320" s="14" t="s">
        <v>16</v>
      </c>
      <c r="G3320" s="3" t="s">
        <v>107</v>
      </c>
      <c r="H3320" s="14">
        <v>4.9</v>
      </c>
      <c r="I3320" s="14">
        <v>3.83</v>
      </c>
      <c r="J3320" s="3">
        <f t="shared" si="47"/>
        <v>8.73</v>
      </c>
    </row>
    <row r="3321" ht="15.75" customHeight="1">
      <c r="A3321" s="3">
        <f t="shared" si="46"/>
        <v>3320</v>
      </c>
      <c r="B3321" s="14">
        <v>2014.0</v>
      </c>
      <c r="C3321" s="14">
        <v>10.0</v>
      </c>
      <c r="D3321" s="14">
        <v>1.0</v>
      </c>
      <c r="E3321" s="14">
        <v>8.0</v>
      </c>
      <c r="F3321" s="14" t="s">
        <v>16</v>
      </c>
      <c r="G3321" s="3" t="s">
        <v>42</v>
      </c>
      <c r="H3321" s="14">
        <v>6.5</v>
      </c>
      <c r="I3321" s="14">
        <v>6.33</v>
      </c>
      <c r="J3321" s="3">
        <f t="shared" si="47"/>
        <v>12.83</v>
      </c>
    </row>
    <row r="3322" ht="15.75" customHeight="1">
      <c r="A3322" s="3">
        <f t="shared" si="46"/>
        <v>3321</v>
      </c>
      <c r="B3322" s="14">
        <v>2014.0</v>
      </c>
      <c r="C3322" s="14">
        <v>10.0</v>
      </c>
      <c r="D3322" s="14">
        <v>1.0</v>
      </c>
      <c r="E3322" s="14">
        <v>8.0</v>
      </c>
      <c r="F3322" s="14" t="s">
        <v>16</v>
      </c>
      <c r="G3322" s="3" t="s">
        <v>31</v>
      </c>
      <c r="H3322" s="14">
        <v>6.33</v>
      </c>
      <c r="I3322" s="14">
        <v>3.23</v>
      </c>
      <c r="J3322" s="3">
        <f t="shared" si="47"/>
        <v>9.56</v>
      </c>
    </row>
    <row r="3323" ht="15.75" customHeight="1">
      <c r="A3323" s="3">
        <f t="shared" si="46"/>
        <v>3322</v>
      </c>
      <c r="B3323" s="14">
        <v>2014.0</v>
      </c>
      <c r="C3323" s="14">
        <v>10.0</v>
      </c>
      <c r="D3323" s="14">
        <v>1.0</v>
      </c>
      <c r="E3323" s="14">
        <v>8.0</v>
      </c>
      <c r="F3323" s="14" t="s">
        <v>16</v>
      </c>
      <c r="G3323" s="3" t="s">
        <v>76</v>
      </c>
      <c r="H3323" s="14">
        <v>5.5</v>
      </c>
      <c r="I3323" s="14">
        <v>5.1</v>
      </c>
      <c r="J3323" s="3">
        <f t="shared" si="47"/>
        <v>10.6</v>
      </c>
    </row>
    <row r="3324" ht="15.75" customHeight="1">
      <c r="A3324" s="3">
        <f t="shared" si="46"/>
        <v>3323</v>
      </c>
      <c r="B3324" s="14">
        <v>2014.0</v>
      </c>
      <c r="C3324" s="14">
        <v>10.0</v>
      </c>
      <c r="D3324" s="14">
        <v>1.0</v>
      </c>
      <c r="E3324" s="14">
        <v>9.0</v>
      </c>
      <c r="F3324" s="14" t="s">
        <v>16</v>
      </c>
      <c r="G3324" s="3" t="s">
        <v>28</v>
      </c>
      <c r="H3324" s="14">
        <v>9.27</v>
      </c>
      <c r="I3324" s="14">
        <v>7.33</v>
      </c>
      <c r="J3324" s="3">
        <f t="shared" si="47"/>
        <v>16.6</v>
      </c>
    </row>
    <row r="3325" ht="15.75" customHeight="1">
      <c r="A3325" s="3">
        <f t="shared" si="46"/>
        <v>3324</v>
      </c>
      <c r="B3325" s="14">
        <v>2014.0</v>
      </c>
      <c r="C3325" s="14">
        <v>10.0</v>
      </c>
      <c r="D3325" s="14">
        <v>1.0</v>
      </c>
      <c r="E3325" s="14">
        <v>9.0</v>
      </c>
      <c r="F3325" s="14" t="s">
        <v>16</v>
      </c>
      <c r="G3325" s="3" t="s">
        <v>47</v>
      </c>
      <c r="H3325" s="14">
        <v>3.83</v>
      </c>
      <c r="I3325" s="14">
        <v>3.77</v>
      </c>
      <c r="J3325" s="3">
        <f t="shared" si="47"/>
        <v>7.6</v>
      </c>
    </row>
    <row r="3326" ht="15.75" customHeight="1">
      <c r="A3326" s="3">
        <f t="shared" si="46"/>
        <v>3325</v>
      </c>
      <c r="B3326" s="14">
        <v>2014.0</v>
      </c>
      <c r="C3326" s="14">
        <v>10.0</v>
      </c>
      <c r="D3326" s="14">
        <v>1.0</v>
      </c>
      <c r="E3326" s="14">
        <v>9.0</v>
      </c>
      <c r="F3326" s="14" t="s">
        <v>16</v>
      </c>
      <c r="G3326" s="3" t="s">
        <v>124</v>
      </c>
      <c r="H3326" s="14">
        <v>6.73</v>
      </c>
      <c r="I3326" s="14">
        <v>6.1</v>
      </c>
      <c r="J3326" s="3">
        <f t="shared" si="47"/>
        <v>12.83</v>
      </c>
    </row>
    <row r="3327" ht="15.75" customHeight="1">
      <c r="A3327" s="3">
        <f t="shared" si="46"/>
        <v>3326</v>
      </c>
      <c r="B3327" s="14">
        <v>2014.0</v>
      </c>
      <c r="C3327" s="14">
        <v>10.0</v>
      </c>
      <c r="D3327" s="14">
        <v>1.0</v>
      </c>
      <c r="E3327" s="14">
        <v>10.0</v>
      </c>
      <c r="F3327" s="14" t="s">
        <v>16</v>
      </c>
      <c r="G3327" s="3" t="s">
        <v>32</v>
      </c>
      <c r="H3327" s="14">
        <v>4.27</v>
      </c>
      <c r="I3327" s="14">
        <v>3.1</v>
      </c>
      <c r="J3327" s="3">
        <f t="shared" si="47"/>
        <v>7.37</v>
      </c>
    </row>
    <row r="3328" ht="15.75" customHeight="1">
      <c r="A3328" s="3">
        <f t="shared" si="46"/>
        <v>3327</v>
      </c>
      <c r="B3328" s="14">
        <v>2014.0</v>
      </c>
      <c r="C3328" s="14">
        <v>10.0</v>
      </c>
      <c r="D3328" s="14">
        <v>1.0</v>
      </c>
      <c r="E3328" s="14">
        <v>10.0</v>
      </c>
      <c r="F3328" s="14" t="s">
        <v>16</v>
      </c>
      <c r="G3328" s="3" t="s">
        <v>55</v>
      </c>
      <c r="H3328" s="14">
        <v>5.37</v>
      </c>
      <c r="I3328" s="14">
        <v>5.23</v>
      </c>
      <c r="J3328" s="3">
        <f t="shared" si="47"/>
        <v>10.6</v>
      </c>
    </row>
    <row r="3329" ht="15.75" customHeight="1">
      <c r="A3329" s="3">
        <f t="shared" si="46"/>
        <v>3328</v>
      </c>
      <c r="B3329" s="14">
        <v>2014.0</v>
      </c>
      <c r="C3329" s="14">
        <v>10.0</v>
      </c>
      <c r="D3329" s="14">
        <v>1.0</v>
      </c>
      <c r="E3329" s="14">
        <v>10.0</v>
      </c>
      <c r="F3329" s="14" t="s">
        <v>16</v>
      </c>
      <c r="G3329" s="3" t="s">
        <v>29</v>
      </c>
      <c r="H3329" s="14">
        <v>6.23</v>
      </c>
      <c r="I3329" s="14">
        <v>4.27</v>
      </c>
      <c r="J3329" s="3">
        <f t="shared" si="47"/>
        <v>10.5</v>
      </c>
    </row>
    <row r="3330" ht="15.75" customHeight="1">
      <c r="A3330" s="3">
        <f t="shared" si="46"/>
        <v>3329</v>
      </c>
      <c r="B3330" s="14">
        <v>2014.0</v>
      </c>
      <c r="C3330" s="14">
        <v>10.0</v>
      </c>
      <c r="D3330" s="14">
        <v>1.0</v>
      </c>
      <c r="E3330" s="14">
        <v>11.0</v>
      </c>
      <c r="F3330" s="14" t="s">
        <v>16</v>
      </c>
      <c r="G3330" s="3" t="s">
        <v>45</v>
      </c>
      <c r="H3330" s="14">
        <v>7.9</v>
      </c>
      <c r="I3330" s="14">
        <v>7.23</v>
      </c>
      <c r="J3330" s="3">
        <f t="shared" si="47"/>
        <v>15.13</v>
      </c>
    </row>
    <row r="3331" ht="15.75" customHeight="1">
      <c r="A3331" s="3">
        <f t="shared" si="46"/>
        <v>3330</v>
      </c>
      <c r="B3331" s="14">
        <v>2014.0</v>
      </c>
      <c r="C3331" s="14">
        <v>10.0</v>
      </c>
      <c r="D3331" s="14">
        <v>1.0</v>
      </c>
      <c r="E3331" s="14">
        <v>11.0</v>
      </c>
      <c r="F3331" s="14" t="s">
        <v>16</v>
      </c>
      <c r="G3331" s="3" t="s">
        <v>59</v>
      </c>
      <c r="H3331" s="14">
        <v>7.33</v>
      </c>
      <c r="I3331" s="14">
        <v>6.67</v>
      </c>
      <c r="J3331" s="3">
        <f t="shared" si="47"/>
        <v>14</v>
      </c>
    </row>
    <row r="3332" ht="15.75" customHeight="1">
      <c r="A3332" s="3">
        <f t="shared" si="46"/>
        <v>3331</v>
      </c>
      <c r="B3332" s="14">
        <v>2014.0</v>
      </c>
      <c r="C3332" s="14">
        <v>10.0</v>
      </c>
      <c r="D3332" s="14">
        <v>1.0</v>
      </c>
      <c r="E3332" s="14">
        <v>11.0</v>
      </c>
      <c r="F3332" s="14" t="s">
        <v>16</v>
      </c>
      <c r="G3332" s="3" t="s">
        <v>126</v>
      </c>
      <c r="H3332" s="14">
        <v>5.6</v>
      </c>
      <c r="I3332" s="14">
        <v>5.0</v>
      </c>
      <c r="J3332" s="3">
        <f t="shared" si="47"/>
        <v>10.6</v>
      </c>
    </row>
    <row r="3333" ht="15.75" customHeight="1">
      <c r="A3333" s="3">
        <f t="shared" si="46"/>
        <v>3332</v>
      </c>
      <c r="B3333" s="14">
        <v>2014.0</v>
      </c>
      <c r="C3333" s="14">
        <v>10.0</v>
      </c>
      <c r="D3333" s="14">
        <v>1.0</v>
      </c>
      <c r="E3333" s="14">
        <v>12.0</v>
      </c>
      <c r="F3333" s="14" t="s">
        <v>16</v>
      </c>
      <c r="G3333" s="3" t="s">
        <v>57</v>
      </c>
      <c r="H3333" s="14">
        <v>8.83</v>
      </c>
      <c r="I3333" s="14">
        <v>7.33</v>
      </c>
      <c r="J3333" s="3">
        <f t="shared" si="47"/>
        <v>16.16</v>
      </c>
    </row>
    <row r="3334" ht="15.75" customHeight="1">
      <c r="A3334" s="3">
        <f t="shared" si="46"/>
        <v>3333</v>
      </c>
      <c r="B3334" s="14">
        <v>2014.0</v>
      </c>
      <c r="C3334" s="14">
        <v>10.0</v>
      </c>
      <c r="D3334" s="14">
        <v>1.0</v>
      </c>
      <c r="E3334" s="14">
        <v>12.0</v>
      </c>
      <c r="F3334" s="14" t="s">
        <v>16</v>
      </c>
      <c r="G3334" s="3" t="s">
        <v>56</v>
      </c>
      <c r="H3334" s="14">
        <v>7.0</v>
      </c>
      <c r="I3334" s="14">
        <v>3.27</v>
      </c>
      <c r="J3334" s="3">
        <f t="shared" si="47"/>
        <v>10.27</v>
      </c>
    </row>
    <row r="3335" ht="15.75" customHeight="1">
      <c r="A3335" s="3">
        <f t="shared" si="46"/>
        <v>3334</v>
      </c>
      <c r="B3335" s="14">
        <v>2014.0</v>
      </c>
      <c r="C3335" s="14">
        <v>10.0</v>
      </c>
      <c r="D3335" s="14">
        <v>1.0</v>
      </c>
      <c r="E3335" s="14">
        <v>12.0</v>
      </c>
      <c r="F3335" s="14" t="s">
        <v>16</v>
      </c>
      <c r="G3335" s="3" t="s">
        <v>120</v>
      </c>
      <c r="H3335" s="14">
        <v>7.03</v>
      </c>
      <c r="I3335" s="14">
        <v>5.9</v>
      </c>
      <c r="J3335" s="3">
        <f t="shared" si="47"/>
        <v>12.93</v>
      </c>
    </row>
    <row r="3336" ht="15.75" customHeight="1">
      <c r="A3336" s="3">
        <f t="shared" si="46"/>
        <v>3335</v>
      </c>
      <c r="B3336" s="14">
        <v>2014.0</v>
      </c>
      <c r="C3336" s="14">
        <v>10.0</v>
      </c>
      <c r="D3336" s="14">
        <v>2.0</v>
      </c>
      <c r="E3336" s="14">
        <v>1.0</v>
      </c>
      <c r="F3336" s="14" t="s">
        <v>16</v>
      </c>
      <c r="G3336" s="3" t="s">
        <v>41</v>
      </c>
      <c r="H3336" s="14">
        <v>9.43</v>
      </c>
      <c r="I3336" s="14">
        <v>8.5</v>
      </c>
      <c r="J3336" s="3">
        <f t="shared" si="47"/>
        <v>17.93</v>
      </c>
    </row>
    <row r="3337" ht="15.75" customHeight="1">
      <c r="A3337" s="3">
        <f t="shared" si="46"/>
        <v>3336</v>
      </c>
      <c r="B3337" s="14">
        <v>2014.0</v>
      </c>
      <c r="C3337" s="14">
        <v>10.0</v>
      </c>
      <c r="D3337" s="14">
        <v>2.0</v>
      </c>
      <c r="E3337" s="14">
        <v>1.0</v>
      </c>
      <c r="F3337" s="14" t="s">
        <v>16</v>
      </c>
      <c r="G3337" s="3" t="s">
        <v>75</v>
      </c>
      <c r="H3337" s="14">
        <v>6.0</v>
      </c>
      <c r="I3337" s="14">
        <v>1.43</v>
      </c>
      <c r="J3337" s="3">
        <f t="shared" si="47"/>
        <v>7.43</v>
      </c>
    </row>
    <row r="3338" ht="15.75" customHeight="1">
      <c r="A3338" s="3">
        <f t="shared" si="46"/>
        <v>3337</v>
      </c>
      <c r="B3338" s="14">
        <v>2014.0</v>
      </c>
      <c r="C3338" s="14">
        <v>10.0</v>
      </c>
      <c r="D3338" s="14">
        <v>2.0</v>
      </c>
      <c r="E3338" s="14">
        <v>2.0</v>
      </c>
      <c r="F3338" s="14" t="s">
        <v>16</v>
      </c>
      <c r="G3338" s="3" t="s">
        <v>26</v>
      </c>
      <c r="H3338" s="14">
        <v>8.0</v>
      </c>
      <c r="I3338" s="14">
        <v>3.67</v>
      </c>
      <c r="J3338" s="3">
        <f t="shared" si="47"/>
        <v>11.67</v>
      </c>
    </row>
    <row r="3339" ht="15.75" customHeight="1">
      <c r="A3339" s="3">
        <f t="shared" si="46"/>
        <v>3338</v>
      </c>
      <c r="B3339" s="14">
        <v>2014.0</v>
      </c>
      <c r="C3339" s="14">
        <v>10.0</v>
      </c>
      <c r="D3339" s="14">
        <v>2.0</v>
      </c>
      <c r="E3339" s="14">
        <v>2.0</v>
      </c>
      <c r="F3339" s="14" t="s">
        <v>16</v>
      </c>
      <c r="G3339" s="3" t="s">
        <v>134</v>
      </c>
      <c r="H3339" s="14">
        <v>5.83</v>
      </c>
      <c r="I3339" s="14">
        <v>3.83</v>
      </c>
      <c r="J3339" s="3">
        <f t="shared" si="47"/>
        <v>9.66</v>
      </c>
    </row>
    <row r="3340" ht="15.75" customHeight="1">
      <c r="A3340" s="3">
        <f t="shared" si="46"/>
        <v>3339</v>
      </c>
      <c r="B3340" s="14">
        <v>2014.0</v>
      </c>
      <c r="C3340" s="14">
        <v>10.0</v>
      </c>
      <c r="D3340" s="14">
        <v>2.0</v>
      </c>
      <c r="E3340" s="14">
        <v>3.0</v>
      </c>
      <c r="F3340" s="14" t="s">
        <v>16</v>
      </c>
      <c r="G3340" s="3" t="s">
        <v>27</v>
      </c>
      <c r="H3340" s="14">
        <v>3.63</v>
      </c>
      <c r="I3340" s="14">
        <v>2.17</v>
      </c>
      <c r="J3340" s="3">
        <f t="shared" si="47"/>
        <v>5.8</v>
      </c>
    </row>
    <row r="3341" ht="15.75" customHeight="1">
      <c r="A3341" s="3">
        <f t="shared" si="46"/>
        <v>3340</v>
      </c>
      <c r="B3341" s="14">
        <v>2014.0</v>
      </c>
      <c r="C3341" s="14">
        <v>10.0</v>
      </c>
      <c r="D3341" s="14">
        <v>2.0</v>
      </c>
      <c r="E3341" s="14">
        <v>3.0</v>
      </c>
      <c r="F3341" s="14" t="s">
        <v>16</v>
      </c>
      <c r="G3341" s="3" t="s">
        <v>131</v>
      </c>
      <c r="H3341" s="14">
        <v>3.5</v>
      </c>
      <c r="I3341" s="14">
        <v>1.77</v>
      </c>
      <c r="J3341" s="3">
        <f t="shared" si="47"/>
        <v>5.27</v>
      </c>
    </row>
    <row r="3342" ht="15.75" customHeight="1">
      <c r="A3342" s="3">
        <f t="shared" si="46"/>
        <v>3341</v>
      </c>
      <c r="B3342" s="14">
        <v>2014.0</v>
      </c>
      <c r="C3342" s="14">
        <v>10.0</v>
      </c>
      <c r="D3342" s="14">
        <v>2.0</v>
      </c>
      <c r="E3342" s="14">
        <v>4.0</v>
      </c>
      <c r="F3342" s="14" t="s">
        <v>16</v>
      </c>
      <c r="G3342" s="3" t="s">
        <v>32</v>
      </c>
      <c r="H3342" s="14">
        <v>5.6</v>
      </c>
      <c r="I3342" s="14">
        <v>5.17</v>
      </c>
      <c r="J3342" s="3">
        <f t="shared" si="47"/>
        <v>10.77</v>
      </c>
    </row>
    <row r="3343" ht="15.75" customHeight="1">
      <c r="A3343" s="3">
        <f t="shared" si="46"/>
        <v>3342</v>
      </c>
      <c r="B3343" s="14">
        <v>2014.0</v>
      </c>
      <c r="C3343" s="14">
        <v>10.0</v>
      </c>
      <c r="D3343" s="14">
        <v>2.0</v>
      </c>
      <c r="E3343" s="14">
        <v>4.0</v>
      </c>
      <c r="F3343" s="14" t="s">
        <v>16</v>
      </c>
      <c r="G3343" s="3" t="s">
        <v>50</v>
      </c>
      <c r="H3343" s="14">
        <v>6.33</v>
      </c>
      <c r="I3343" s="14">
        <v>2.5</v>
      </c>
      <c r="J3343" s="3">
        <f t="shared" si="47"/>
        <v>8.83</v>
      </c>
    </row>
    <row r="3344" ht="15.75" customHeight="1">
      <c r="A3344" s="3">
        <f t="shared" si="46"/>
        <v>3343</v>
      </c>
      <c r="B3344" s="14">
        <v>2014.0</v>
      </c>
      <c r="C3344" s="14">
        <v>10.0</v>
      </c>
      <c r="D3344" s="14">
        <v>2.0</v>
      </c>
      <c r="E3344" s="14">
        <v>5.0</v>
      </c>
      <c r="F3344" s="14" t="s">
        <v>16</v>
      </c>
      <c r="G3344" s="3" t="s">
        <v>56</v>
      </c>
      <c r="H3344" s="14">
        <v>7.1</v>
      </c>
      <c r="I3344" s="14">
        <v>6.33</v>
      </c>
      <c r="J3344" s="3">
        <f t="shared" si="47"/>
        <v>13.43</v>
      </c>
    </row>
    <row r="3345" ht="15.75" customHeight="1">
      <c r="A3345" s="3">
        <f t="shared" si="46"/>
        <v>3344</v>
      </c>
      <c r="B3345" s="14">
        <v>2014.0</v>
      </c>
      <c r="C3345" s="14">
        <v>10.0</v>
      </c>
      <c r="D3345" s="14">
        <v>2.0</v>
      </c>
      <c r="E3345" s="14">
        <v>5.0</v>
      </c>
      <c r="F3345" s="14" t="s">
        <v>16</v>
      </c>
      <c r="G3345" s="3" t="s">
        <v>91</v>
      </c>
      <c r="H3345" s="14">
        <v>7.0</v>
      </c>
      <c r="I3345" s="14">
        <v>6.87</v>
      </c>
      <c r="J3345" s="3">
        <f t="shared" si="47"/>
        <v>13.87</v>
      </c>
    </row>
    <row r="3346" ht="15.75" customHeight="1">
      <c r="A3346" s="3">
        <f t="shared" si="46"/>
        <v>3345</v>
      </c>
      <c r="B3346" s="14">
        <v>2014.0</v>
      </c>
      <c r="C3346" s="14">
        <v>10.0</v>
      </c>
      <c r="D3346" s="14">
        <v>2.0</v>
      </c>
      <c r="E3346" s="14">
        <v>6.0</v>
      </c>
      <c r="F3346" s="14" t="s">
        <v>16</v>
      </c>
      <c r="G3346" s="3" t="s">
        <v>59</v>
      </c>
      <c r="H3346" s="14">
        <v>4.57</v>
      </c>
      <c r="I3346" s="14">
        <v>4.17</v>
      </c>
      <c r="J3346" s="3">
        <f t="shared" si="47"/>
        <v>8.74</v>
      </c>
    </row>
    <row r="3347" ht="15.75" customHeight="1">
      <c r="A3347" s="3">
        <f t="shared" si="46"/>
        <v>3346</v>
      </c>
      <c r="B3347" s="14">
        <v>2014.0</v>
      </c>
      <c r="C3347" s="14">
        <v>10.0</v>
      </c>
      <c r="D3347" s="14">
        <v>2.0</v>
      </c>
      <c r="E3347" s="14">
        <v>6.0</v>
      </c>
      <c r="F3347" s="14" t="s">
        <v>16</v>
      </c>
      <c r="G3347" s="3" t="s">
        <v>122</v>
      </c>
      <c r="H3347" s="14">
        <v>1.4</v>
      </c>
      <c r="I3347" s="14">
        <v>1.27</v>
      </c>
      <c r="J3347" s="3">
        <f t="shared" si="47"/>
        <v>2.67</v>
      </c>
    </row>
    <row r="3348" ht="15.75" customHeight="1">
      <c r="A3348" s="3">
        <f t="shared" si="46"/>
        <v>3347</v>
      </c>
      <c r="B3348" s="14">
        <v>2014.0</v>
      </c>
      <c r="C3348" s="14">
        <v>10.0</v>
      </c>
      <c r="D3348" s="14">
        <v>2.0</v>
      </c>
      <c r="E3348" s="14">
        <v>7.0</v>
      </c>
      <c r="F3348" s="14" t="s">
        <v>16</v>
      </c>
      <c r="G3348" s="3" t="s">
        <v>47</v>
      </c>
      <c r="H3348" s="14">
        <v>1.0</v>
      </c>
      <c r="I3348" s="14">
        <v>0.7</v>
      </c>
      <c r="J3348" s="3">
        <f t="shared" si="47"/>
        <v>1.7</v>
      </c>
    </row>
    <row r="3349" ht="15.75" customHeight="1">
      <c r="A3349" s="3">
        <f t="shared" si="46"/>
        <v>3348</v>
      </c>
      <c r="B3349" s="14">
        <v>2014.0</v>
      </c>
      <c r="C3349" s="14">
        <v>10.0</v>
      </c>
      <c r="D3349" s="14">
        <v>2.0</v>
      </c>
      <c r="E3349" s="14">
        <v>7.0</v>
      </c>
      <c r="F3349" s="14" t="s">
        <v>16</v>
      </c>
      <c r="G3349" s="3" t="s">
        <v>107</v>
      </c>
      <c r="H3349" s="14">
        <v>5.5</v>
      </c>
      <c r="I3349" s="14">
        <v>3.67</v>
      </c>
      <c r="J3349" s="3">
        <f t="shared" si="47"/>
        <v>9.17</v>
      </c>
    </row>
    <row r="3350" ht="15.75" customHeight="1">
      <c r="A3350" s="3">
        <f t="shared" si="46"/>
        <v>3349</v>
      </c>
      <c r="B3350" s="14">
        <v>2014.0</v>
      </c>
      <c r="C3350" s="14">
        <v>10.0</v>
      </c>
      <c r="D3350" s="14">
        <v>2.0</v>
      </c>
      <c r="E3350" s="14">
        <v>8.0</v>
      </c>
      <c r="F3350" s="14" t="s">
        <v>16</v>
      </c>
      <c r="G3350" s="3" t="s">
        <v>31</v>
      </c>
      <c r="H3350" s="14">
        <v>5.0</v>
      </c>
      <c r="I3350" s="14">
        <v>2.83</v>
      </c>
      <c r="J3350" s="3">
        <f t="shared" si="47"/>
        <v>7.83</v>
      </c>
    </row>
    <row r="3351" ht="15.75" customHeight="1">
      <c r="A3351" s="3">
        <f t="shared" si="46"/>
        <v>3350</v>
      </c>
      <c r="B3351" s="14">
        <v>2014.0</v>
      </c>
      <c r="C3351" s="14">
        <v>10.0</v>
      </c>
      <c r="D3351" s="14">
        <v>2.0</v>
      </c>
      <c r="E3351" s="14">
        <v>8.0</v>
      </c>
      <c r="F3351" s="14" t="s">
        <v>16</v>
      </c>
      <c r="G3351" s="3" t="s">
        <v>76</v>
      </c>
      <c r="H3351" s="14">
        <v>5.0</v>
      </c>
      <c r="I3351" s="14">
        <v>3.23</v>
      </c>
      <c r="J3351" s="3">
        <f t="shared" si="47"/>
        <v>8.23</v>
      </c>
    </row>
    <row r="3352" ht="15.75" customHeight="1">
      <c r="A3352" s="3">
        <f t="shared" si="46"/>
        <v>3351</v>
      </c>
      <c r="B3352" s="14">
        <v>2014.0</v>
      </c>
      <c r="C3352" s="14">
        <v>10.0</v>
      </c>
      <c r="D3352" s="14">
        <v>2.0</v>
      </c>
      <c r="E3352" s="14">
        <v>9.0</v>
      </c>
      <c r="F3352" s="14" t="s">
        <v>16</v>
      </c>
      <c r="G3352" s="3" t="s">
        <v>123</v>
      </c>
      <c r="H3352" s="14">
        <v>5.0</v>
      </c>
      <c r="I3352" s="14">
        <v>4.33</v>
      </c>
      <c r="J3352" s="3">
        <f t="shared" si="47"/>
        <v>9.33</v>
      </c>
    </row>
    <row r="3353" ht="15.75" customHeight="1">
      <c r="A3353" s="3">
        <f t="shared" si="46"/>
        <v>3352</v>
      </c>
      <c r="B3353" s="14">
        <v>2014.0</v>
      </c>
      <c r="C3353" s="14">
        <v>10.0</v>
      </c>
      <c r="D3353" s="14">
        <v>2.0</v>
      </c>
      <c r="E3353" s="14">
        <v>9.0</v>
      </c>
      <c r="F3353" s="14" t="s">
        <v>16</v>
      </c>
      <c r="G3353" s="3" t="s">
        <v>124</v>
      </c>
      <c r="H3353" s="14">
        <v>3.7</v>
      </c>
      <c r="I3353" s="14">
        <v>2.17</v>
      </c>
      <c r="J3353" s="3">
        <f t="shared" si="47"/>
        <v>5.87</v>
      </c>
    </row>
    <row r="3354" ht="15.75" customHeight="1">
      <c r="A3354" s="3">
        <f t="shared" si="46"/>
        <v>3353</v>
      </c>
      <c r="B3354" s="14">
        <v>2014.0</v>
      </c>
      <c r="C3354" s="14">
        <v>10.0</v>
      </c>
      <c r="D3354" s="14">
        <v>2.0</v>
      </c>
      <c r="E3354" s="14">
        <v>10.0</v>
      </c>
      <c r="F3354" s="14" t="s">
        <v>16</v>
      </c>
      <c r="G3354" s="3" t="s">
        <v>125</v>
      </c>
      <c r="H3354" s="14">
        <v>0.0</v>
      </c>
      <c r="I3354" s="14">
        <v>0.0</v>
      </c>
      <c r="J3354" s="3">
        <f t="shared" si="47"/>
        <v>0</v>
      </c>
    </row>
    <row r="3355" ht="15.75" customHeight="1">
      <c r="A3355" s="3">
        <f t="shared" si="46"/>
        <v>3354</v>
      </c>
      <c r="B3355" s="14">
        <v>2014.0</v>
      </c>
      <c r="C3355" s="14">
        <v>10.0</v>
      </c>
      <c r="D3355" s="14">
        <v>2.0</v>
      </c>
      <c r="E3355" s="14">
        <v>10.0</v>
      </c>
      <c r="F3355" s="14" t="s">
        <v>16</v>
      </c>
      <c r="G3355" s="3" t="s">
        <v>29</v>
      </c>
      <c r="H3355" s="14">
        <v>5.0</v>
      </c>
      <c r="I3355" s="14">
        <v>5.0</v>
      </c>
      <c r="J3355" s="3">
        <f t="shared" si="47"/>
        <v>10</v>
      </c>
    </row>
    <row r="3356" ht="15.75" customHeight="1">
      <c r="A3356" s="3">
        <f t="shared" si="46"/>
        <v>3355</v>
      </c>
      <c r="B3356" s="14">
        <v>2014.0</v>
      </c>
      <c r="C3356" s="14">
        <v>10.0</v>
      </c>
      <c r="D3356" s="14">
        <v>2.0</v>
      </c>
      <c r="E3356" s="14">
        <v>11.0</v>
      </c>
      <c r="F3356" s="14" t="s">
        <v>16</v>
      </c>
      <c r="G3356" s="3" t="s">
        <v>129</v>
      </c>
      <c r="H3356" s="14">
        <v>5.67</v>
      </c>
      <c r="I3356" s="14">
        <v>5.33</v>
      </c>
      <c r="J3356" s="3">
        <f t="shared" si="47"/>
        <v>11</v>
      </c>
    </row>
    <row r="3357" ht="15.75" customHeight="1">
      <c r="A3357" s="3">
        <f t="shared" si="46"/>
        <v>3356</v>
      </c>
      <c r="B3357" s="14">
        <v>2014.0</v>
      </c>
      <c r="C3357" s="14">
        <v>10.0</v>
      </c>
      <c r="D3357" s="14">
        <v>2.0</v>
      </c>
      <c r="E3357" s="14">
        <v>11.0</v>
      </c>
      <c r="F3357" s="14" t="s">
        <v>16</v>
      </c>
      <c r="G3357" s="3" t="s">
        <v>126</v>
      </c>
      <c r="H3357" s="14">
        <v>8.87</v>
      </c>
      <c r="I3357" s="14">
        <v>4.33</v>
      </c>
      <c r="J3357" s="3">
        <f t="shared" si="47"/>
        <v>13.2</v>
      </c>
    </row>
    <row r="3358" ht="15.75" customHeight="1">
      <c r="A3358" s="3">
        <f t="shared" si="46"/>
        <v>3357</v>
      </c>
      <c r="B3358" s="14">
        <v>2014.0</v>
      </c>
      <c r="C3358" s="14">
        <v>10.0</v>
      </c>
      <c r="D3358" s="14">
        <v>2.0</v>
      </c>
      <c r="E3358" s="14">
        <v>12.0</v>
      </c>
      <c r="F3358" s="14" t="s">
        <v>16</v>
      </c>
      <c r="G3358" s="3" t="s">
        <v>60</v>
      </c>
      <c r="H3358" s="14">
        <v>7.33</v>
      </c>
      <c r="I3358" s="14">
        <v>5.17</v>
      </c>
      <c r="J3358" s="3">
        <f t="shared" si="47"/>
        <v>12.5</v>
      </c>
    </row>
    <row r="3359" ht="15.75" customHeight="1">
      <c r="A3359" s="3">
        <f t="shared" si="46"/>
        <v>3358</v>
      </c>
      <c r="B3359" s="14">
        <v>2014.0</v>
      </c>
      <c r="C3359" s="14">
        <v>10.0</v>
      </c>
      <c r="D3359" s="14">
        <v>2.0</v>
      </c>
      <c r="E3359" s="14">
        <v>12.0</v>
      </c>
      <c r="F3359" s="14" t="s">
        <v>16</v>
      </c>
      <c r="G3359" s="3" t="s">
        <v>120</v>
      </c>
      <c r="H3359" s="14">
        <v>3.77</v>
      </c>
      <c r="I3359" s="14">
        <v>3.13</v>
      </c>
      <c r="J3359" s="3">
        <f t="shared" si="47"/>
        <v>6.9</v>
      </c>
    </row>
    <row r="3360" ht="15.75" customHeight="1">
      <c r="A3360" s="3">
        <f t="shared" si="46"/>
        <v>3359</v>
      </c>
      <c r="B3360" s="14">
        <v>2014.0</v>
      </c>
      <c r="C3360" s="14">
        <v>10.0</v>
      </c>
      <c r="D3360" s="14">
        <v>3.0</v>
      </c>
      <c r="E3360" s="14">
        <v>1.0</v>
      </c>
      <c r="F3360" s="14" t="s">
        <v>16</v>
      </c>
      <c r="G3360" s="3" t="s">
        <v>39</v>
      </c>
      <c r="H3360" s="14">
        <v>4.1</v>
      </c>
      <c r="I3360" s="14">
        <v>3.83</v>
      </c>
      <c r="J3360" s="3">
        <f t="shared" si="47"/>
        <v>7.93</v>
      </c>
    </row>
    <row r="3361" ht="15.75" customHeight="1">
      <c r="A3361" s="3">
        <f t="shared" si="46"/>
        <v>3360</v>
      </c>
      <c r="B3361" s="14">
        <v>2014.0</v>
      </c>
      <c r="C3361" s="14">
        <v>10.0</v>
      </c>
      <c r="D3361" s="14">
        <v>3.0</v>
      </c>
      <c r="E3361" s="14">
        <v>1.0</v>
      </c>
      <c r="F3361" s="14" t="s">
        <v>16</v>
      </c>
      <c r="G3361" s="3" t="s">
        <v>29</v>
      </c>
      <c r="H3361" s="14">
        <v>6.33</v>
      </c>
      <c r="I3361" s="14">
        <v>5.33</v>
      </c>
      <c r="J3361" s="3">
        <f t="shared" si="47"/>
        <v>11.66</v>
      </c>
    </row>
    <row r="3362" ht="15.75" customHeight="1">
      <c r="A3362" s="3">
        <f t="shared" si="46"/>
        <v>3361</v>
      </c>
      <c r="B3362" s="14">
        <v>2014.0</v>
      </c>
      <c r="C3362" s="14">
        <v>10.0</v>
      </c>
      <c r="D3362" s="14">
        <v>3.0</v>
      </c>
      <c r="E3362" s="14">
        <v>2.0</v>
      </c>
      <c r="F3362" s="14" t="s">
        <v>16</v>
      </c>
      <c r="G3362" s="3" t="s">
        <v>28</v>
      </c>
      <c r="H3362" s="14">
        <v>9.5</v>
      </c>
      <c r="I3362" s="14">
        <v>6.33</v>
      </c>
      <c r="J3362" s="3">
        <f t="shared" si="47"/>
        <v>15.83</v>
      </c>
    </row>
    <row r="3363" ht="15.75" customHeight="1">
      <c r="A3363" s="3">
        <f t="shared" si="46"/>
        <v>3362</v>
      </c>
      <c r="B3363" s="14">
        <v>2014.0</v>
      </c>
      <c r="C3363" s="14">
        <v>10.0</v>
      </c>
      <c r="D3363" s="14">
        <v>3.0</v>
      </c>
      <c r="E3363" s="14">
        <v>2.0</v>
      </c>
      <c r="F3363" s="14" t="s">
        <v>16</v>
      </c>
      <c r="G3363" s="3" t="s">
        <v>123</v>
      </c>
      <c r="H3363" s="14">
        <v>5.83</v>
      </c>
      <c r="I3363" s="14">
        <v>3.0</v>
      </c>
      <c r="J3363" s="3">
        <f t="shared" si="47"/>
        <v>8.83</v>
      </c>
    </row>
    <row r="3364" ht="15.75" customHeight="1">
      <c r="A3364" s="3">
        <f t="shared" si="46"/>
        <v>3363</v>
      </c>
      <c r="B3364" s="14">
        <v>2014.0</v>
      </c>
      <c r="C3364" s="14">
        <v>10.0</v>
      </c>
      <c r="D3364" s="14">
        <v>3.0</v>
      </c>
      <c r="E3364" s="14">
        <v>3.0</v>
      </c>
      <c r="F3364" s="14" t="s">
        <v>16</v>
      </c>
      <c r="G3364" s="3" t="s">
        <v>26</v>
      </c>
      <c r="H3364" s="14">
        <v>10.0</v>
      </c>
      <c r="I3364" s="14">
        <v>8.77</v>
      </c>
      <c r="J3364" s="3">
        <f t="shared" si="47"/>
        <v>18.77</v>
      </c>
    </row>
    <row r="3365" ht="15.75" customHeight="1">
      <c r="A3365" s="3">
        <f t="shared" si="46"/>
        <v>3364</v>
      </c>
      <c r="B3365" s="14">
        <v>2014.0</v>
      </c>
      <c r="C3365" s="14">
        <v>10.0</v>
      </c>
      <c r="D3365" s="14">
        <v>3.0</v>
      </c>
      <c r="E3365" s="14">
        <v>3.0</v>
      </c>
      <c r="F3365" s="14" t="s">
        <v>16</v>
      </c>
      <c r="G3365" s="3" t="s">
        <v>126</v>
      </c>
      <c r="H3365" s="14">
        <v>7.67</v>
      </c>
      <c r="I3365" s="14">
        <v>5.6</v>
      </c>
      <c r="J3365" s="3">
        <f t="shared" si="47"/>
        <v>13.27</v>
      </c>
    </row>
    <row r="3366" ht="15.75" customHeight="1">
      <c r="A3366" s="3">
        <f t="shared" si="46"/>
        <v>3365</v>
      </c>
      <c r="B3366" s="14">
        <v>2014.0</v>
      </c>
      <c r="C3366" s="14">
        <v>10.0</v>
      </c>
      <c r="D3366" s="14">
        <v>3.0</v>
      </c>
      <c r="E3366" s="14">
        <v>4.0</v>
      </c>
      <c r="F3366" s="14" t="s">
        <v>16</v>
      </c>
      <c r="G3366" s="3" t="s">
        <v>42</v>
      </c>
      <c r="H3366" s="14">
        <v>8.07</v>
      </c>
      <c r="I3366" s="14">
        <v>3.0</v>
      </c>
      <c r="J3366" s="3">
        <f t="shared" si="47"/>
        <v>11.07</v>
      </c>
    </row>
    <row r="3367" ht="15.75" customHeight="1">
      <c r="A3367" s="3">
        <f t="shared" si="46"/>
        <v>3366</v>
      </c>
      <c r="B3367" s="14">
        <v>2014.0</v>
      </c>
      <c r="C3367" s="14">
        <v>10.0</v>
      </c>
      <c r="D3367" s="14">
        <v>3.0</v>
      </c>
      <c r="E3367" s="14">
        <v>4.0</v>
      </c>
      <c r="F3367" s="14" t="s">
        <v>16</v>
      </c>
      <c r="G3367" s="3" t="s">
        <v>35</v>
      </c>
      <c r="H3367" s="14">
        <v>5.17</v>
      </c>
      <c r="I3367" s="14">
        <v>1.5</v>
      </c>
      <c r="J3367" s="3">
        <f t="shared" si="47"/>
        <v>6.67</v>
      </c>
    </row>
    <row r="3368" ht="15.75" customHeight="1">
      <c r="A3368" s="3">
        <f t="shared" si="46"/>
        <v>3367</v>
      </c>
      <c r="B3368" s="14">
        <v>2014.0</v>
      </c>
      <c r="C3368" s="14">
        <v>10.0</v>
      </c>
      <c r="D3368" s="14">
        <v>3.0</v>
      </c>
      <c r="E3368" s="14">
        <v>5.0</v>
      </c>
      <c r="F3368" s="14" t="s">
        <v>16</v>
      </c>
      <c r="G3368" s="3" t="s">
        <v>57</v>
      </c>
      <c r="H3368" s="14">
        <v>1.43</v>
      </c>
      <c r="I3368" s="14">
        <v>1.4</v>
      </c>
      <c r="J3368" s="3">
        <f t="shared" si="47"/>
        <v>2.83</v>
      </c>
    </row>
    <row r="3369" ht="15.75" customHeight="1">
      <c r="A3369" s="3">
        <f t="shared" si="46"/>
        <v>3368</v>
      </c>
      <c r="B3369" s="14">
        <v>2014.0</v>
      </c>
      <c r="C3369" s="14">
        <v>10.0</v>
      </c>
      <c r="D3369" s="14">
        <v>3.0</v>
      </c>
      <c r="E3369" s="14">
        <v>5.0</v>
      </c>
      <c r="F3369" s="14" t="s">
        <v>16</v>
      </c>
      <c r="G3369" s="3" t="s">
        <v>59</v>
      </c>
      <c r="H3369" s="14">
        <v>6.5</v>
      </c>
      <c r="I3369" s="14">
        <v>4.4</v>
      </c>
      <c r="J3369" s="3">
        <f t="shared" si="47"/>
        <v>10.9</v>
      </c>
    </row>
    <row r="3370" ht="15.75" customHeight="1">
      <c r="A3370" s="3">
        <f t="shared" si="46"/>
        <v>3369</v>
      </c>
      <c r="B3370" s="14">
        <v>2014.0</v>
      </c>
      <c r="C3370" s="14">
        <v>10.0</v>
      </c>
      <c r="D3370" s="14">
        <v>3.0</v>
      </c>
      <c r="E3370" s="14">
        <v>6.0</v>
      </c>
      <c r="F3370" s="14" t="s">
        <v>16</v>
      </c>
      <c r="G3370" s="3" t="s">
        <v>30</v>
      </c>
      <c r="H3370" s="14">
        <v>6.73</v>
      </c>
      <c r="I3370" s="14">
        <v>5.33</v>
      </c>
      <c r="J3370" s="3">
        <f t="shared" si="47"/>
        <v>12.06</v>
      </c>
    </row>
    <row r="3371" ht="15.75" customHeight="1">
      <c r="A3371" s="3">
        <f t="shared" si="46"/>
        <v>3370</v>
      </c>
      <c r="B3371" s="14">
        <v>2014.0</v>
      </c>
      <c r="C3371" s="14">
        <v>10.0</v>
      </c>
      <c r="D3371" s="14">
        <v>3.0</v>
      </c>
      <c r="E3371" s="14">
        <v>6.0</v>
      </c>
      <c r="F3371" s="14" t="s">
        <v>16</v>
      </c>
      <c r="G3371" s="3" t="s">
        <v>91</v>
      </c>
      <c r="H3371" s="14">
        <v>7.33</v>
      </c>
      <c r="I3371" s="14">
        <v>5.17</v>
      </c>
      <c r="J3371" s="3">
        <f t="shared" si="47"/>
        <v>12.5</v>
      </c>
    </row>
    <row r="3372" ht="15.75" customHeight="1">
      <c r="A3372" s="3">
        <f t="shared" si="46"/>
        <v>3371</v>
      </c>
      <c r="B3372" s="14">
        <v>2014.0</v>
      </c>
      <c r="C3372" s="14">
        <v>10.0</v>
      </c>
      <c r="D3372" s="14">
        <v>3.0</v>
      </c>
      <c r="E3372" s="14">
        <v>7.0</v>
      </c>
      <c r="F3372" s="14" t="s">
        <v>16</v>
      </c>
      <c r="G3372" s="3" t="s">
        <v>37</v>
      </c>
      <c r="H3372" s="14">
        <v>4.17</v>
      </c>
      <c r="I3372" s="14">
        <v>2.13</v>
      </c>
      <c r="J3372" s="3">
        <f t="shared" si="47"/>
        <v>6.3</v>
      </c>
    </row>
    <row r="3373" ht="15.75" customHeight="1">
      <c r="A3373" s="3">
        <f t="shared" si="46"/>
        <v>3372</v>
      </c>
      <c r="B3373" s="14">
        <v>2014.0</v>
      </c>
      <c r="C3373" s="14">
        <v>10.0</v>
      </c>
      <c r="D3373" s="14">
        <v>3.0</v>
      </c>
      <c r="E3373" s="14">
        <v>7.0</v>
      </c>
      <c r="F3373" s="14" t="s">
        <v>16</v>
      </c>
      <c r="G3373" s="3" t="s">
        <v>107</v>
      </c>
      <c r="H3373" s="14">
        <v>7.5</v>
      </c>
      <c r="I3373" s="14">
        <v>4.5</v>
      </c>
      <c r="J3373" s="3">
        <f t="shared" si="47"/>
        <v>12</v>
      </c>
    </row>
    <row r="3374" ht="15.75" customHeight="1">
      <c r="A3374" s="3">
        <f t="shared" si="46"/>
        <v>3373</v>
      </c>
      <c r="B3374" s="14">
        <v>2014.0</v>
      </c>
      <c r="C3374" s="14">
        <v>10.0</v>
      </c>
      <c r="D3374" s="14">
        <v>3.0</v>
      </c>
      <c r="E3374" s="14">
        <v>8.0</v>
      </c>
      <c r="F3374" s="14" t="s">
        <v>16</v>
      </c>
      <c r="G3374" s="3" t="s">
        <v>45</v>
      </c>
      <c r="H3374" s="14">
        <v>8.0</v>
      </c>
      <c r="I3374" s="14">
        <v>5.27</v>
      </c>
      <c r="J3374" s="3">
        <f t="shared" si="47"/>
        <v>13.27</v>
      </c>
    </row>
    <row r="3375" ht="15.75" customHeight="1">
      <c r="A3375" s="3">
        <f t="shared" si="46"/>
        <v>3374</v>
      </c>
      <c r="B3375" s="14">
        <v>2014.0</v>
      </c>
      <c r="C3375" s="14">
        <v>10.0</v>
      </c>
      <c r="D3375" s="14">
        <v>3.0</v>
      </c>
      <c r="E3375" s="14">
        <v>8.0</v>
      </c>
      <c r="F3375" s="14" t="s">
        <v>16</v>
      </c>
      <c r="G3375" s="3" t="s">
        <v>55</v>
      </c>
      <c r="H3375" s="14">
        <v>8.77</v>
      </c>
      <c r="I3375" s="14">
        <v>4.3</v>
      </c>
      <c r="J3375" s="3">
        <f t="shared" si="47"/>
        <v>13.07</v>
      </c>
    </row>
    <row r="3376" ht="15.75" customHeight="1">
      <c r="A3376" s="3">
        <f t="shared" si="46"/>
        <v>3375</v>
      </c>
      <c r="B3376" s="14">
        <v>2014.0</v>
      </c>
      <c r="C3376" s="14">
        <v>10.0</v>
      </c>
      <c r="D3376" s="14">
        <v>3.0</v>
      </c>
      <c r="E3376" s="14">
        <v>9.0</v>
      </c>
      <c r="F3376" s="14" t="s">
        <v>16</v>
      </c>
      <c r="G3376" s="3" t="s">
        <v>27</v>
      </c>
      <c r="H3376" s="14">
        <v>8.6</v>
      </c>
      <c r="I3376" s="14">
        <v>6.5</v>
      </c>
      <c r="J3376" s="3">
        <f t="shared" si="47"/>
        <v>15.1</v>
      </c>
    </row>
    <row r="3377" ht="15.75" customHeight="1">
      <c r="A3377" s="3">
        <f t="shared" si="46"/>
        <v>3376</v>
      </c>
      <c r="B3377" s="14">
        <v>2014.0</v>
      </c>
      <c r="C3377" s="14">
        <v>10.0</v>
      </c>
      <c r="D3377" s="14">
        <v>3.0</v>
      </c>
      <c r="E3377" s="14">
        <v>9.0</v>
      </c>
      <c r="F3377" s="14" t="s">
        <v>16</v>
      </c>
      <c r="G3377" s="3" t="s">
        <v>38</v>
      </c>
      <c r="H3377" s="14">
        <v>7.67</v>
      </c>
      <c r="I3377" s="14">
        <v>3.83</v>
      </c>
      <c r="J3377" s="3">
        <f t="shared" si="47"/>
        <v>11.5</v>
      </c>
    </row>
    <row r="3378" ht="15.75" customHeight="1">
      <c r="A3378" s="3">
        <f t="shared" si="46"/>
        <v>3377</v>
      </c>
      <c r="B3378" s="14">
        <v>2014.0</v>
      </c>
      <c r="C3378" s="14">
        <v>10.0</v>
      </c>
      <c r="D3378" s="14">
        <v>3.0</v>
      </c>
      <c r="E3378" s="14">
        <v>10.0</v>
      </c>
      <c r="F3378" s="14" t="s">
        <v>16</v>
      </c>
      <c r="G3378" s="3" t="s">
        <v>62</v>
      </c>
      <c r="H3378" s="14">
        <v>3.67</v>
      </c>
      <c r="I3378" s="14">
        <v>2.33</v>
      </c>
      <c r="J3378" s="3">
        <f t="shared" si="47"/>
        <v>6</v>
      </c>
    </row>
    <row r="3379" ht="15.75" customHeight="1">
      <c r="A3379" s="3">
        <f t="shared" si="46"/>
        <v>3378</v>
      </c>
      <c r="B3379" s="14">
        <v>2014.0</v>
      </c>
      <c r="C3379" s="14">
        <v>10.0</v>
      </c>
      <c r="D3379" s="14">
        <v>3.0</v>
      </c>
      <c r="E3379" s="14">
        <v>10.0</v>
      </c>
      <c r="F3379" s="14" t="s">
        <v>16</v>
      </c>
      <c r="G3379" s="3" t="s">
        <v>60</v>
      </c>
      <c r="H3379" s="14">
        <v>9.37</v>
      </c>
      <c r="I3379" s="14">
        <v>8.83</v>
      </c>
      <c r="J3379" s="3">
        <f t="shared" si="47"/>
        <v>18.2</v>
      </c>
    </row>
    <row r="3380" ht="15.75" customHeight="1">
      <c r="A3380" s="3">
        <f t="shared" si="46"/>
        <v>3379</v>
      </c>
      <c r="B3380" s="14">
        <v>2014.0</v>
      </c>
      <c r="C3380" s="14">
        <v>10.0</v>
      </c>
      <c r="D3380" s="14">
        <v>3.0</v>
      </c>
      <c r="E3380" s="14">
        <v>11.0</v>
      </c>
      <c r="F3380" s="14" t="s">
        <v>16</v>
      </c>
      <c r="G3380" s="3" t="s">
        <v>32</v>
      </c>
      <c r="H3380" s="14">
        <v>8.17</v>
      </c>
      <c r="I3380" s="14">
        <v>5.0</v>
      </c>
      <c r="J3380" s="3">
        <f t="shared" si="47"/>
        <v>13.17</v>
      </c>
    </row>
    <row r="3381" ht="15.75" customHeight="1">
      <c r="A3381" s="3">
        <f t="shared" si="46"/>
        <v>3380</v>
      </c>
      <c r="B3381" s="14">
        <v>2014.0</v>
      </c>
      <c r="C3381" s="14">
        <v>10.0</v>
      </c>
      <c r="D3381" s="14">
        <v>3.0</v>
      </c>
      <c r="E3381" s="14">
        <v>11.0</v>
      </c>
      <c r="F3381" s="14" t="s">
        <v>16</v>
      </c>
      <c r="G3381" s="3" t="s">
        <v>33</v>
      </c>
      <c r="H3381" s="14">
        <v>8.83</v>
      </c>
      <c r="I3381" s="14">
        <v>6.17</v>
      </c>
      <c r="J3381" s="3">
        <f t="shared" si="47"/>
        <v>15</v>
      </c>
    </row>
    <row r="3382" ht="15.75" customHeight="1">
      <c r="A3382" s="3">
        <f t="shared" si="46"/>
        <v>3381</v>
      </c>
      <c r="B3382" s="14">
        <v>2014.0</v>
      </c>
      <c r="C3382" s="14">
        <v>10.0</v>
      </c>
      <c r="D3382" s="14">
        <v>3.0</v>
      </c>
      <c r="E3382" s="14">
        <v>12.0</v>
      </c>
      <c r="F3382" s="14" t="s">
        <v>16</v>
      </c>
      <c r="G3382" s="3" t="s">
        <v>41</v>
      </c>
      <c r="H3382" s="14">
        <v>9.43</v>
      </c>
      <c r="I3382" s="14">
        <v>4.67</v>
      </c>
      <c r="J3382" s="3">
        <f t="shared" si="47"/>
        <v>14.1</v>
      </c>
    </row>
    <row r="3383" ht="15.75" customHeight="1">
      <c r="A3383" s="3">
        <f t="shared" si="46"/>
        <v>3382</v>
      </c>
      <c r="B3383" s="14">
        <v>2014.0</v>
      </c>
      <c r="C3383" s="14">
        <v>10.0</v>
      </c>
      <c r="D3383" s="14">
        <v>3.0</v>
      </c>
      <c r="E3383" s="14">
        <v>12.0</v>
      </c>
      <c r="F3383" s="14" t="s">
        <v>16</v>
      </c>
      <c r="G3383" s="3" t="s">
        <v>76</v>
      </c>
      <c r="H3383" s="14">
        <v>8.0</v>
      </c>
      <c r="I3383" s="14">
        <v>5.33</v>
      </c>
      <c r="J3383" s="3">
        <f t="shared" si="47"/>
        <v>13.33</v>
      </c>
    </row>
    <row r="3384" ht="15.75" customHeight="1">
      <c r="A3384" s="3">
        <f t="shared" si="46"/>
        <v>3383</v>
      </c>
      <c r="B3384" s="14">
        <v>2014.0</v>
      </c>
      <c r="C3384" s="14">
        <v>10.0</v>
      </c>
      <c r="D3384" s="14">
        <v>4.0</v>
      </c>
      <c r="E3384" s="14">
        <v>1.0</v>
      </c>
      <c r="F3384" s="14" t="s">
        <v>16</v>
      </c>
      <c r="G3384" s="3" t="s">
        <v>29</v>
      </c>
      <c r="H3384" s="14">
        <v>9.63</v>
      </c>
      <c r="I3384" s="14">
        <v>4.33</v>
      </c>
      <c r="J3384" s="3">
        <f t="shared" si="47"/>
        <v>13.96</v>
      </c>
    </row>
    <row r="3385" ht="15.75" customHeight="1">
      <c r="A3385" s="3">
        <f t="shared" si="46"/>
        <v>3384</v>
      </c>
      <c r="B3385" s="14">
        <v>2014.0</v>
      </c>
      <c r="C3385" s="14">
        <v>10.0</v>
      </c>
      <c r="D3385" s="14">
        <v>4.0</v>
      </c>
      <c r="E3385" s="14">
        <v>1.0</v>
      </c>
      <c r="F3385" s="14" t="s">
        <v>16</v>
      </c>
      <c r="G3385" s="3" t="s">
        <v>28</v>
      </c>
      <c r="H3385" s="14">
        <v>6.93</v>
      </c>
      <c r="I3385" s="14">
        <v>5.1</v>
      </c>
      <c r="J3385" s="3">
        <f t="shared" si="47"/>
        <v>12.03</v>
      </c>
    </row>
    <row r="3386" ht="15.75" customHeight="1">
      <c r="A3386" s="3">
        <f t="shared" si="46"/>
        <v>3385</v>
      </c>
      <c r="B3386" s="14">
        <v>2014.0</v>
      </c>
      <c r="C3386" s="14">
        <v>10.0</v>
      </c>
      <c r="D3386" s="14">
        <v>4.0</v>
      </c>
      <c r="E3386" s="14">
        <v>1.0</v>
      </c>
      <c r="F3386" s="14" t="s">
        <v>16</v>
      </c>
      <c r="G3386" s="3" t="s">
        <v>26</v>
      </c>
      <c r="H3386" s="14">
        <v>10.0</v>
      </c>
      <c r="I3386" s="14">
        <v>7.27</v>
      </c>
      <c r="J3386" s="3">
        <f t="shared" si="47"/>
        <v>17.27</v>
      </c>
    </row>
    <row r="3387" ht="15.75" customHeight="1">
      <c r="A3387" s="3">
        <f t="shared" si="46"/>
        <v>3386</v>
      </c>
      <c r="B3387" s="14">
        <v>2014.0</v>
      </c>
      <c r="C3387" s="14">
        <v>10.0</v>
      </c>
      <c r="D3387" s="14">
        <v>4.0</v>
      </c>
      <c r="E3387" s="14">
        <v>2.0</v>
      </c>
      <c r="F3387" s="14" t="s">
        <v>16</v>
      </c>
      <c r="G3387" s="3" t="s">
        <v>42</v>
      </c>
      <c r="H3387" s="14">
        <v>8.83</v>
      </c>
      <c r="I3387" s="14">
        <v>8.43</v>
      </c>
      <c r="J3387" s="3">
        <f t="shared" si="47"/>
        <v>17.26</v>
      </c>
    </row>
    <row r="3388" ht="15.75" customHeight="1">
      <c r="A3388" s="3">
        <f t="shared" si="46"/>
        <v>3387</v>
      </c>
      <c r="B3388" s="14">
        <v>2014.0</v>
      </c>
      <c r="C3388" s="14">
        <v>10.0</v>
      </c>
      <c r="D3388" s="14">
        <v>4.0</v>
      </c>
      <c r="E3388" s="14">
        <v>2.0</v>
      </c>
      <c r="F3388" s="14" t="s">
        <v>16</v>
      </c>
      <c r="G3388" s="3" t="s">
        <v>59</v>
      </c>
      <c r="H3388" s="14">
        <v>8.83</v>
      </c>
      <c r="I3388" s="14">
        <v>1.83</v>
      </c>
      <c r="J3388" s="3">
        <f t="shared" si="47"/>
        <v>10.66</v>
      </c>
    </row>
    <row r="3389" ht="15.75" customHeight="1">
      <c r="A3389" s="3">
        <f t="shared" si="46"/>
        <v>3388</v>
      </c>
      <c r="B3389" s="14">
        <v>2014.0</v>
      </c>
      <c r="C3389" s="14">
        <v>10.0</v>
      </c>
      <c r="D3389" s="14">
        <v>4.0</v>
      </c>
      <c r="E3389" s="14">
        <v>2.0</v>
      </c>
      <c r="F3389" s="14" t="s">
        <v>16</v>
      </c>
      <c r="G3389" s="3" t="s">
        <v>91</v>
      </c>
      <c r="H3389" s="14">
        <v>6.67</v>
      </c>
      <c r="I3389" s="14">
        <v>2.33</v>
      </c>
      <c r="J3389" s="3">
        <f t="shared" si="47"/>
        <v>9</v>
      </c>
    </row>
    <row r="3390" ht="15.75" customHeight="1">
      <c r="A3390" s="3">
        <f t="shared" si="46"/>
        <v>3389</v>
      </c>
      <c r="B3390" s="14">
        <v>2014.0</v>
      </c>
      <c r="C3390" s="14">
        <v>10.0</v>
      </c>
      <c r="D3390" s="14">
        <v>4.0</v>
      </c>
      <c r="E3390" s="14">
        <v>3.0</v>
      </c>
      <c r="F3390" s="14" t="s">
        <v>16</v>
      </c>
      <c r="G3390" s="3" t="s">
        <v>107</v>
      </c>
      <c r="H3390" s="14">
        <v>5.53</v>
      </c>
      <c r="I3390" s="14">
        <v>1.13</v>
      </c>
      <c r="J3390" s="3">
        <f t="shared" si="47"/>
        <v>6.66</v>
      </c>
    </row>
    <row r="3391" ht="15.75" customHeight="1">
      <c r="A3391" s="3">
        <f t="shared" si="46"/>
        <v>3390</v>
      </c>
      <c r="B3391" s="14">
        <v>2014.0</v>
      </c>
      <c r="C3391" s="14">
        <v>10.0</v>
      </c>
      <c r="D3391" s="14">
        <v>4.0</v>
      </c>
      <c r="E3391" s="14">
        <v>3.0</v>
      </c>
      <c r="F3391" s="14" t="s">
        <v>16</v>
      </c>
      <c r="G3391" s="3" t="s">
        <v>45</v>
      </c>
      <c r="H3391" s="14">
        <v>6.93</v>
      </c>
      <c r="I3391" s="14">
        <v>6.17</v>
      </c>
      <c r="J3391" s="3">
        <f t="shared" si="47"/>
        <v>13.1</v>
      </c>
    </row>
    <row r="3392" ht="15.75" customHeight="1">
      <c r="A3392" s="3">
        <f t="shared" si="46"/>
        <v>3391</v>
      </c>
      <c r="B3392" s="14">
        <v>2014.0</v>
      </c>
      <c r="C3392" s="14">
        <v>10.0</v>
      </c>
      <c r="D3392" s="14">
        <v>4.0</v>
      </c>
      <c r="E3392" s="14">
        <v>3.0</v>
      </c>
      <c r="F3392" s="14" t="s">
        <v>16</v>
      </c>
      <c r="G3392" s="3" t="s">
        <v>27</v>
      </c>
      <c r="H3392" s="14">
        <v>1.1</v>
      </c>
      <c r="I3392" s="14">
        <v>0.93</v>
      </c>
      <c r="J3392" s="3">
        <f t="shared" si="47"/>
        <v>2.03</v>
      </c>
    </row>
    <row r="3393" ht="15.75" customHeight="1">
      <c r="A3393" s="3">
        <f t="shared" si="46"/>
        <v>3392</v>
      </c>
      <c r="B3393" s="14">
        <v>2014.0</v>
      </c>
      <c r="C3393" s="14">
        <v>10.0</v>
      </c>
      <c r="D3393" s="14">
        <v>4.0</v>
      </c>
      <c r="E3393" s="14">
        <v>4.0</v>
      </c>
      <c r="F3393" s="14" t="s">
        <v>16</v>
      </c>
      <c r="G3393" s="3" t="s">
        <v>60</v>
      </c>
      <c r="H3393" s="14">
        <v>2.67</v>
      </c>
      <c r="I3393" s="14">
        <v>0.93</v>
      </c>
      <c r="J3393" s="3">
        <f t="shared" si="47"/>
        <v>3.6</v>
      </c>
    </row>
    <row r="3394" ht="15.75" customHeight="1">
      <c r="A3394" s="3">
        <f t="shared" si="46"/>
        <v>3393</v>
      </c>
      <c r="B3394" s="14">
        <v>2014.0</v>
      </c>
      <c r="C3394" s="14">
        <v>10.0</v>
      </c>
      <c r="D3394" s="14">
        <v>4.0</v>
      </c>
      <c r="E3394" s="14">
        <v>4.0</v>
      </c>
      <c r="F3394" s="14" t="s">
        <v>16</v>
      </c>
      <c r="G3394" s="3" t="s">
        <v>33</v>
      </c>
      <c r="H3394" s="14">
        <v>6.33</v>
      </c>
      <c r="I3394" s="14">
        <v>1.43</v>
      </c>
      <c r="J3394" s="3">
        <f t="shared" si="47"/>
        <v>7.76</v>
      </c>
    </row>
    <row r="3395" ht="15.75" customHeight="1">
      <c r="A3395" s="3">
        <f t="shared" si="46"/>
        <v>3394</v>
      </c>
      <c r="B3395" s="14">
        <v>2014.0</v>
      </c>
      <c r="C3395" s="14">
        <v>10.0</v>
      </c>
      <c r="D3395" s="14">
        <v>4.0</v>
      </c>
      <c r="E3395" s="14">
        <v>4.0</v>
      </c>
      <c r="F3395" s="14" t="s">
        <v>16</v>
      </c>
      <c r="G3395" s="3" t="s">
        <v>41</v>
      </c>
      <c r="H3395" s="14">
        <v>9.57</v>
      </c>
      <c r="I3395" s="14">
        <v>8.17</v>
      </c>
      <c r="J3395" s="3">
        <f t="shared" si="47"/>
        <v>17.74</v>
      </c>
    </row>
    <row r="3396" ht="15.75" customHeight="1">
      <c r="A3396" s="3">
        <f t="shared" si="46"/>
        <v>3395</v>
      </c>
      <c r="B3396" s="14">
        <v>2014.0</v>
      </c>
      <c r="C3396" s="14">
        <v>10.0</v>
      </c>
      <c r="D3396" s="14">
        <v>5.0</v>
      </c>
      <c r="E3396" s="14">
        <v>1.0</v>
      </c>
      <c r="F3396" s="14" t="s">
        <v>16</v>
      </c>
      <c r="G3396" s="3" t="s">
        <v>29</v>
      </c>
      <c r="H3396" s="14">
        <v>5.17</v>
      </c>
      <c r="I3396" s="14">
        <v>2.33</v>
      </c>
      <c r="J3396" s="3">
        <f t="shared" si="47"/>
        <v>7.5</v>
      </c>
    </row>
    <row r="3397" ht="15.75" customHeight="1">
      <c r="A3397" s="3">
        <f t="shared" si="46"/>
        <v>3396</v>
      </c>
      <c r="B3397" s="14">
        <v>2014.0</v>
      </c>
      <c r="C3397" s="14">
        <v>10.0</v>
      </c>
      <c r="D3397" s="14">
        <v>5.0</v>
      </c>
      <c r="E3397" s="14">
        <v>1.0</v>
      </c>
      <c r="F3397" s="14" t="s">
        <v>16</v>
      </c>
      <c r="G3397" s="3" t="s">
        <v>91</v>
      </c>
      <c r="H3397" s="14">
        <v>4.17</v>
      </c>
      <c r="I3397" s="14">
        <v>1.73</v>
      </c>
      <c r="J3397" s="3">
        <f t="shared" si="47"/>
        <v>5.9</v>
      </c>
    </row>
    <row r="3398" ht="15.75" customHeight="1">
      <c r="A3398" s="3">
        <f t="shared" si="46"/>
        <v>3397</v>
      </c>
      <c r="B3398" s="14">
        <v>2014.0</v>
      </c>
      <c r="C3398" s="14">
        <v>10.0</v>
      </c>
      <c r="D3398" s="14">
        <v>5.0</v>
      </c>
      <c r="E3398" s="14">
        <v>2.0</v>
      </c>
      <c r="F3398" s="14" t="s">
        <v>16</v>
      </c>
      <c r="G3398" s="3" t="s">
        <v>59</v>
      </c>
      <c r="H3398" s="14">
        <v>5.8</v>
      </c>
      <c r="I3398" s="14">
        <v>3.83</v>
      </c>
      <c r="J3398" s="3">
        <f t="shared" si="47"/>
        <v>9.63</v>
      </c>
    </row>
    <row r="3399" ht="15.75" customHeight="1">
      <c r="A3399" s="3">
        <f t="shared" si="46"/>
        <v>3398</v>
      </c>
      <c r="B3399" s="14">
        <v>2014.0</v>
      </c>
      <c r="C3399" s="14">
        <v>10.0</v>
      </c>
      <c r="D3399" s="14">
        <v>5.0</v>
      </c>
      <c r="E3399" s="14">
        <v>2.0</v>
      </c>
      <c r="F3399" s="14" t="s">
        <v>16</v>
      </c>
      <c r="G3399" s="3" t="s">
        <v>28</v>
      </c>
      <c r="H3399" s="14">
        <v>7.43</v>
      </c>
      <c r="I3399" s="14">
        <v>6.17</v>
      </c>
      <c r="J3399" s="3">
        <f t="shared" si="47"/>
        <v>13.6</v>
      </c>
    </row>
    <row r="3400" ht="15.75" customHeight="1">
      <c r="A3400" s="3">
        <f t="shared" si="46"/>
        <v>3399</v>
      </c>
      <c r="B3400" s="14">
        <v>2014.0</v>
      </c>
      <c r="C3400" s="14">
        <v>10.0</v>
      </c>
      <c r="D3400" s="14">
        <v>5.0</v>
      </c>
      <c r="E3400" s="14">
        <v>3.0</v>
      </c>
      <c r="F3400" s="14" t="s">
        <v>16</v>
      </c>
      <c r="G3400" s="3" t="s">
        <v>107</v>
      </c>
      <c r="H3400" s="14">
        <v>4.83</v>
      </c>
      <c r="I3400" s="14">
        <v>3.5</v>
      </c>
      <c r="J3400" s="3">
        <f t="shared" si="47"/>
        <v>8.33</v>
      </c>
    </row>
    <row r="3401" ht="15.75" customHeight="1">
      <c r="A3401" s="3">
        <f t="shared" si="46"/>
        <v>3400</v>
      </c>
      <c r="B3401" s="14">
        <v>2014.0</v>
      </c>
      <c r="C3401" s="14">
        <v>10.0</v>
      </c>
      <c r="D3401" s="14">
        <v>5.0</v>
      </c>
      <c r="E3401" s="14">
        <v>3.0</v>
      </c>
      <c r="F3401" s="14" t="s">
        <v>16</v>
      </c>
      <c r="G3401" s="3" t="s">
        <v>60</v>
      </c>
      <c r="H3401" s="14">
        <v>7.5</v>
      </c>
      <c r="I3401" s="14">
        <v>6.33</v>
      </c>
      <c r="J3401" s="3">
        <f t="shared" si="47"/>
        <v>13.83</v>
      </c>
    </row>
    <row r="3402" ht="15.75" customHeight="1">
      <c r="A3402" s="3">
        <f t="shared" si="46"/>
        <v>3401</v>
      </c>
      <c r="B3402" s="14">
        <v>2014.0</v>
      </c>
      <c r="C3402" s="14">
        <v>10.0</v>
      </c>
      <c r="D3402" s="14">
        <v>5.0</v>
      </c>
      <c r="E3402" s="14">
        <v>4.0</v>
      </c>
      <c r="F3402" s="14" t="s">
        <v>16</v>
      </c>
      <c r="G3402" s="3" t="s">
        <v>33</v>
      </c>
      <c r="H3402" s="14">
        <v>7.5</v>
      </c>
      <c r="I3402" s="14">
        <v>6.73</v>
      </c>
      <c r="J3402" s="3">
        <f t="shared" si="47"/>
        <v>14.23</v>
      </c>
    </row>
    <row r="3403" ht="15.75" customHeight="1">
      <c r="A3403" s="3">
        <f t="shared" si="46"/>
        <v>3402</v>
      </c>
      <c r="B3403" s="14">
        <v>2014.0</v>
      </c>
      <c r="C3403" s="14">
        <v>10.0</v>
      </c>
      <c r="D3403" s="14">
        <v>5.0</v>
      </c>
      <c r="E3403" s="14">
        <v>4.0</v>
      </c>
      <c r="F3403" s="14" t="s">
        <v>16</v>
      </c>
      <c r="G3403" s="3" t="s">
        <v>27</v>
      </c>
      <c r="H3403" s="14">
        <v>3.8</v>
      </c>
      <c r="I3403" s="14">
        <v>3.5</v>
      </c>
      <c r="J3403" s="3">
        <f t="shared" si="47"/>
        <v>7.3</v>
      </c>
    </row>
    <row r="3404" ht="15.75" customHeight="1">
      <c r="A3404" s="3">
        <f t="shared" si="46"/>
        <v>3403</v>
      </c>
      <c r="B3404" s="14">
        <v>2014.0</v>
      </c>
      <c r="C3404" s="14">
        <v>10.0</v>
      </c>
      <c r="D3404" s="14">
        <v>6.0</v>
      </c>
      <c r="E3404" s="14">
        <v>1.0</v>
      </c>
      <c r="F3404" s="14" t="s">
        <v>16</v>
      </c>
      <c r="G3404" s="3" t="s">
        <v>26</v>
      </c>
      <c r="H3404" s="14">
        <v>9.83</v>
      </c>
      <c r="I3404" s="14">
        <v>8.0</v>
      </c>
      <c r="J3404" s="3">
        <f t="shared" si="47"/>
        <v>17.83</v>
      </c>
    </row>
    <row r="3405" ht="15.75" customHeight="1">
      <c r="A3405" s="3">
        <f t="shared" si="46"/>
        <v>3404</v>
      </c>
      <c r="B3405" s="14">
        <v>2014.0</v>
      </c>
      <c r="C3405" s="14">
        <v>10.0</v>
      </c>
      <c r="D3405" s="14">
        <v>6.0</v>
      </c>
      <c r="E3405" s="14">
        <v>1.0</v>
      </c>
      <c r="F3405" s="14" t="s">
        <v>16</v>
      </c>
      <c r="G3405" s="3" t="s">
        <v>29</v>
      </c>
      <c r="H3405" s="14">
        <v>6.23</v>
      </c>
      <c r="I3405" s="14">
        <v>5.6</v>
      </c>
      <c r="J3405" s="3">
        <f t="shared" si="47"/>
        <v>11.83</v>
      </c>
    </row>
    <row r="3406" ht="15.75" customHeight="1">
      <c r="A3406" s="3">
        <f t="shared" si="46"/>
        <v>3405</v>
      </c>
      <c r="B3406" s="14">
        <v>2014.0</v>
      </c>
      <c r="C3406" s="14">
        <v>10.0</v>
      </c>
      <c r="D3406" s="14">
        <v>6.0</v>
      </c>
      <c r="E3406" s="14">
        <v>2.0</v>
      </c>
      <c r="F3406" s="14" t="s">
        <v>16</v>
      </c>
      <c r="G3406" s="3" t="s">
        <v>42</v>
      </c>
      <c r="H3406" s="14">
        <v>6.23</v>
      </c>
      <c r="I3406" s="14">
        <v>6.0</v>
      </c>
      <c r="J3406" s="3">
        <f t="shared" si="47"/>
        <v>12.23</v>
      </c>
    </row>
    <row r="3407" ht="15.75" customHeight="1">
      <c r="A3407" s="3">
        <f t="shared" si="46"/>
        <v>3406</v>
      </c>
      <c r="B3407" s="14">
        <v>2014.0</v>
      </c>
      <c r="C3407" s="14">
        <v>10.0</v>
      </c>
      <c r="D3407" s="14">
        <v>6.0</v>
      </c>
      <c r="E3407" s="14">
        <v>2.0</v>
      </c>
      <c r="F3407" s="14" t="s">
        <v>16</v>
      </c>
      <c r="G3407" s="3" t="s">
        <v>28</v>
      </c>
      <c r="H3407" s="14">
        <v>6.77</v>
      </c>
      <c r="I3407" s="14">
        <v>5.5</v>
      </c>
      <c r="J3407" s="3">
        <f t="shared" si="47"/>
        <v>12.27</v>
      </c>
    </row>
    <row r="3408" ht="15.75" customHeight="1">
      <c r="A3408" s="3">
        <f t="shared" si="46"/>
        <v>3407</v>
      </c>
      <c r="B3408" s="14">
        <v>2014.0</v>
      </c>
      <c r="C3408" s="14">
        <v>10.0</v>
      </c>
      <c r="D3408" s="14">
        <v>6.0</v>
      </c>
      <c r="E3408" s="14">
        <v>3.0</v>
      </c>
      <c r="F3408" s="14" t="s">
        <v>16</v>
      </c>
      <c r="G3408" s="3" t="s">
        <v>45</v>
      </c>
      <c r="H3408" s="14">
        <v>8.0</v>
      </c>
      <c r="I3408" s="14">
        <v>5.17</v>
      </c>
      <c r="J3408" s="3">
        <f t="shared" si="47"/>
        <v>13.17</v>
      </c>
    </row>
    <row r="3409" ht="15.75" customHeight="1">
      <c r="A3409" s="3">
        <f t="shared" si="46"/>
        <v>3408</v>
      </c>
      <c r="B3409" s="14">
        <v>2014.0</v>
      </c>
      <c r="C3409" s="14">
        <v>10.0</v>
      </c>
      <c r="D3409" s="14">
        <v>6.0</v>
      </c>
      <c r="E3409" s="14">
        <v>3.0</v>
      </c>
      <c r="F3409" s="14" t="s">
        <v>16</v>
      </c>
      <c r="G3409" s="3" t="s">
        <v>60</v>
      </c>
      <c r="H3409" s="14">
        <v>7.5</v>
      </c>
      <c r="I3409" s="14">
        <v>7.3</v>
      </c>
      <c r="J3409" s="3">
        <f t="shared" si="47"/>
        <v>14.8</v>
      </c>
    </row>
    <row r="3410" ht="15.75" customHeight="1">
      <c r="A3410" s="3">
        <f t="shared" si="46"/>
        <v>3409</v>
      </c>
      <c r="B3410" s="14">
        <v>2014.0</v>
      </c>
      <c r="C3410" s="14">
        <v>10.0</v>
      </c>
      <c r="D3410" s="14">
        <v>6.0</v>
      </c>
      <c r="E3410" s="14">
        <v>4.0</v>
      </c>
      <c r="F3410" s="14" t="s">
        <v>16</v>
      </c>
      <c r="G3410" s="3" t="s">
        <v>41</v>
      </c>
      <c r="H3410" s="14">
        <v>9.57</v>
      </c>
      <c r="I3410" s="14">
        <v>6.5</v>
      </c>
      <c r="J3410" s="3">
        <f t="shared" si="47"/>
        <v>16.07</v>
      </c>
    </row>
    <row r="3411" ht="15.75" customHeight="1">
      <c r="A3411" s="3">
        <f t="shared" si="46"/>
        <v>3410</v>
      </c>
      <c r="B3411" s="14">
        <v>2014.0</v>
      </c>
      <c r="C3411" s="14">
        <v>10.0</v>
      </c>
      <c r="D3411" s="14">
        <v>6.0</v>
      </c>
      <c r="E3411" s="14">
        <v>4.0</v>
      </c>
      <c r="F3411" s="14" t="s">
        <v>16</v>
      </c>
      <c r="G3411" s="3" t="s">
        <v>33</v>
      </c>
      <c r="H3411" s="14">
        <v>6.57</v>
      </c>
      <c r="I3411" s="14">
        <v>3.53</v>
      </c>
      <c r="J3411" s="3">
        <f t="shared" si="47"/>
        <v>10.1</v>
      </c>
    </row>
    <row r="3412" ht="15.75" customHeight="1">
      <c r="A3412" s="3">
        <f t="shared" si="46"/>
        <v>3411</v>
      </c>
      <c r="B3412" s="14">
        <v>2014.0</v>
      </c>
      <c r="C3412" s="14">
        <v>10.0</v>
      </c>
      <c r="D3412" s="14">
        <v>7.0</v>
      </c>
      <c r="E3412" s="14">
        <v>1.0</v>
      </c>
      <c r="F3412" s="14" t="s">
        <v>16</v>
      </c>
      <c r="G3412" s="3" t="s">
        <v>26</v>
      </c>
      <c r="H3412" s="14">
        <v>5.27</v>
      </c>
      <c r="I3412" s="14">
        <v>2.0</v>
      </c>
      <c r="J3412" s="3">
        <f t="shared" si="47"/>
        <v>7.27</v>
      </c>
    </row>
    <row r="3413" ht="15.75" customHeight="1">
      <c r="A3413" s="3">
        <f t="shared" si="46"/>
        <v>3412</v>
      </c>
      <c r="B3413" s="14">
        <v>2014.0</v>
      </c>
      <c r="C3413" s="14">
        <v>10.0</v>
      </c>
      <c r="D3413" s="14">
        <v>7.0</v>
      </c>
      <c r="E3413" s="14">
        <v>1.0</v>
      </c>
      <c r="F3413" s="14" t="s">
        <v>16</v>
      </c>
      <c r="G3413" s="3" t="s">
        <v>28</v>
      </c>
      <c r="H3413" s="14">
        <v>8.47</v>
      </c>
      <c r="I3413" s="14">
        <v>8.17</v>
      </c>
      <c r="J3413" s="3">
        <f t="shared" si="47"/>
        <v>16.64</v>
      </c>
    </row>
    <row r="3414" ht="15.75" customHeight="1">
      <c r="A3414" s="3">
        <f t="shared" si="46"/>
        <v>3413</v>
      </c>
      <c r="B3414" s="14">
        <v>2014.0</v>
      </c>
      <c r="C3414" s="14">
        <v>10.0</v>
      </c>
      <c r="D3414" s="14">
        <v>7.0</v>
      </c>
      <c r="E3414" s="14">
        <v>2.0</v>
      </c>
      <c r="F3414" s="14" t="s">
        <v>16</v>
      </c>
      <c r="G3414" s="3" t="s">
        <v>60</v>
      </c>
      <c r="H3414" s="14">
        <v>4.67</v>
      </c>
      <c r="I3414" s="14">
        <v>3.73</v>
      </c>
      <c r="J3414" s="3">
        <f t="shared" si="47"/>
        <v>8.4</v>
      </c>
    </row>
    <row r="3415" ht="15.75" customHeight="1">
      <c r="A3415" s="3">
        <f t="shared" si="46"/>
        <v>3414</v>
      </c>
      <c r="B3415" s="14">
        <v>2014.0</v>
      </c>
      <c r="C3415" s="14">
        <v>10.0</v>
      </c>
      <c r="D3415" s="14">
        <v>7.0</v>
      </c>
      <c r="E3415" s="14">
        <v>2.0</v>
      </c>
      <c r="F3415" s="14" t="s">
        <v>16</v>
      </c>
      <c r="G3415" s="3" t="s">
        <v>41</v>
      </c>
      <c r="H3415" s="14">
        <v>7.17</v>
      </c>
      <c r="I3415" s="14">
        <v>6.0</v>
      </c>
      <c r="J3415" s="3">
        <f t="shared" si="47"/>
        <v>13.17</v>
      </c>
    </row>
    <row r="3416" ht="15.75" customHeight="1">
      <c r="A3416" s="3">
        <f t="shared" si="46"/>
        <v>3415</v>
      </c>
      <c r="B3416" s="14">
        <v>2014.0</v>
      </c>
      <c r="C3416" s="14">
        <v>10.0</v>
      </c>
      <c r="D3416" s="14">
        <v>8.0</v>
      </c>
      <c r="E3416" s="14">
        <v>1.0</v>
      </c>
      <c r="F3416" s="14" t="s">
        <v>16</v>
      </c>
      <c r="G3416" s="3" t="s">
        <v>28</v>
      </c>
      <c r="H3416" s="14">
        <v>7.67</v>
      </c>
      <c r="I3416" s="14">
        <v>0.0</v>
      </c>
      <c r="J3416" s="3">
        <f t="shared" si="47"/>
        <v>7.67</v>
      </c>
    </row>
    <row r="3417" ht="15.75" customHeight="1">
      <c r="A3417" s="3">
        <f t="shared" si="46"/>
        <v>3416</v>
      </c>
      <c r="B3417" s="14">
        <v>2014.0</v>
      </c>
      <c r="C3417" s="14">
        <v>10.0</v>
      </c>
      <c r="D3417" s="14">
        <v>8.0</v>
      </c>
      <c r="E3417" s="14">
        <v>1.0</v>
      </c>
      <c r="F3417" s="14" t="s">
        <v>16</v>
      </c>
      <c r="G3417" s="3" t="s">
        <v>41</v>
      </c>
      <c r="H3417" s="14">
        <v>9.0</v>
      </c>
      <c r="I3417" s="14">
        <v>6.5</v>
      </c>
      <c r="J3417" s="3">
        <f t="shared" si="47"/>
        <v>15.5</v>
      </c>
    </row>
    <row r="3418" ht="15.75" customHeight="1">
      <c r="A3418" s="3">
        <f t="shared" si="46"/>
        <v>3417</v>
      </c>
      <c r="B3418" s="14">
        <v>2014.0</v>
      </c>
      <c r="C3418" s="14">
        <v>11.0</v>
      </c>
      <c r="D3418" s="14">
        <v>1.0</v>
      </c>
      <c r="E3418" s="14">
        <v>1.0</v>
      </c>
      <c r="F3418" s="14" t="s">
        <v>16</v>
      </c>
      <c r="G3418" s="3" t="s">
        <v>39</v>
      </c>
      <c r="H3418" s="14">
        <v>7.33</v>
      </c>
      <c r="I3418" s="14">
        <v>6.5</v>
      </c>
      <c r="J3418" s="3">
        <f t="shared" si="47"/>
        <v>13.83</v>
      </c>
    </row>
    <row r="3419" ht="15.75" customHeight="1">
      <c r="A3419" s="3">
        <f t="shared" si="46"/>
        <v>3418</v>
      </c>
      <c r="B3419" s="14">
        <v>2014.0</v>
      </c>
      <c r="C3419" s="14">
        <v>11.0</v>
      </c>
      <c r="D3419" s="14">
        <v>1.0</v>
      </c>
      <c r="E3419" s="14">
        <v>1.0</v>
      </c>
      <c r="F3419" s="14" t="s">
        <v>16</v>
      </c>
      <c r="G3419" s="3" t="s">
        <v>31</v>
      </c>
      <c r="H3419" s="14">
        <v>1.23</v>
      </c>
      <c r="I3419" s="14">
        <v>0.0</v>
      </c>
      <c r="J3419" s="3">
        <f t="shared" si="47"/>
        <v>1.23</v>
      </c>
    </row>
    <row r="3420" ht="15.75" customHeight="1">
      <c r="A3420" s="3">
        <f t="shared" si="46"/>
        <v>3419</v>
      </c>
      <c r="B3420" s="14">
        <v>2014.0</v>
      </c>
      <c r="C3420" s="14">
        <v>11.0</v>
      </c>
      <c r="D3420" s="14">
        <v>1.0</v>
      </c>
      <c r="E3420" s="14">
        <v>1.0</v>
      </c>
      <c r="F3420" s="14" t="s">
        <v>16</v>
      </c>
      <c r="G3420" s="3" t="s">
        <v>99</v>
      </c>
      <c r="H3420" s="14">
        <v>2.83</v>
      </c>
      <c r="I3420" s="14">
        <v>1.43</v>
      </c>
      <c r="J3420" s="3">
        <f t="shared" si="47"/>
        <v>4.26</v>
      </c>
    </row>
    <row r="3421" ht="15.75" customHeight="1">
      <c r="A3421" s="3">
        <f t="shared" si="46"/>
        <v>3420</v>
      </c>
      <c r="B3421" s="14">
        <v>2014.0</v>
      </c>
      <c r="C3421" s="14">
        <v>11.0</v>
      </c>
      <c r="D3421" s="14">
        <v>1.0</v>
      </c>
      <c r="E3421" s="14">
        <v>2.0</v>
      </c>
      <c r="F3421" s="14" t="s">
        <v>16</v>
      </c>
      <c r="G3421" s="3" t="s">
        <v>27</v>
      </c>
      <c r="H3421" s="14">
        <v>1.6</v>
      </c>
      <c r="I3421" s="14">
        <v>1.3</v>
      </c>
      <c r="J3421" s="3">
        <f t="shared" si="47"/>
        <v>2.9</v>
      </c>
    </row>
    <row r="3422" ht="15.75" customHeight="1">
      <c r="A3422" s="3">
        <f t="shared" si="46"/>
        <v>3421</v>
      </c>
      <c r="B3422" s="14">
        <v>2014.0</v>
      </c>
      <c r="C3422" s="14">
        <v>11.0</v>
      </c>
      <c r="D3422" s="14">
        <v>1.0</v>
      </c>
      <c r="E3422" s="14">
        <v>2.0</v>
      </c>
      <c r="F3422" s="14" t="s">
        <v>16</v>
      </c>
      <c r="G3422" s="3" t="s">
        <v>38</v>
      </c>
      <c r="H3422" s="14">
        <v>7.13</v>
      </c>
      <c r="I3422" s="14">
        <v>7.0</v>
      </c>
      <c r="J3422" s="3">
        <f t="shared" si="47"/>
        <v>14.13</v>
      </c>
    </row>
    <row r="3423" ht="15.75" customHeight="1">
      <c r="A3423" s="3">
        <f t="shared" si="46"/>
        <v>3422</v>
      </c>
      <c r="B3423" s="14">
        <v>2014.0</v>
      </c>
      <c r="C3423" s="14">
        <v>11.0</v>
      </c>
      <c r="D3423" s="14">
        <v>1.0</v>
      </c>
      <c r="E3423" s="14">
        <v>2.0</v>
      </c>
      <c r="F3423" s="14" t="s">
        <v>16</v>
      </c>
      <c r="G3423" s="3" t="s">
        <v>131</v>
      </c>
      <c r="H3423" s="14">
        <v>4.5</v>
      </c>
      <c r="I3423" s="14">
        <v>0.27</v>
      </c>
      <c r="J3423" s="3">
        <f t="shared" si="47"/>
        <v>4.77</v>
      </c>
    </row>
    <row r="3424" ht="15.75" customHeight="1">
      <c r="A3424" s="3">
        <f t="shared" si="46"/>
        <v>3423</v>
      </c>
      <c r="B3424" s="14">
        <v>2014.0</v>
      </c>
      <c r="C3424" s="14">
        <v>11.0</v>
      </c>
      <c r="D3424" s="14">
        <v>1.0</v>
      </c>
      <c r="E3424" s="14">
        <v>3.0</v>
      </c>
      <c r="F3424" s="14" t="s">
        <v>16</v>
      </c>
      <c r="G3424" s="3" t="s">
        <v>26</v>
      </c>
      <c r="H3424" s="14">
        <v>9.23</v>
      </c>
      <c r="I3424" s="14">
        <v>8.93</v>
      </c>
      <c r="J3424" s="3">
        <f t="shared" si="47"/>
        <v>18.16</v>
      </c>
    </row>
    <row r="3425" ht="15.75" customHeight="1">
      <c r="A3425" s="3">
        <f t="shared" si="46"/>
        <v>3424</v>
      </c>
      <c r="B3425" s="14">
        <v>2014.0</v>
      </c>
      <c r="C3425" s="14">
        <v>11.0</v>
      </c>
      <c r="D3425" s="14">
        <v>1.0</v>
      </c>
      <c r="E3425" s="14">
        <v>3.0</v>
      </c>
      <c r="F3425" s="14" t="s">
        <v>16</v>
      </c>
      <c r="G3425" s="3" t="s">
        <v>129</v>
      </c>
      <c r="H3425" s="14">
        <v>1.23</v>
      </c>
      <c r="I3425" s="14">
        <v>1.0</v>
      </c>
      <c r="J3425" s="3">
        <f t="shared" si="47"/>
        <v>2.23</v>
      </c>
    </row>
    <row r="3426" ht="15.75" customHeight="1">
      <c r="A3426" s="3">
        <f t="shared" si="46"/>
        <v>3425</v>
      </c>
      <c r="B3426" s="14">
        <v>2014.0</v>
      </c>
      <c r="C3426" s="14">
        <v>11.0</v>
      </c>
      <c r="D3426" s="14">
        <v>1.0</v>
      </c>
      <c r="E3426" s="14">
        <v>3.0</v>
      </c>
      <c r="F3426" s="14" t="s">
        <v>16</v>
      </c>
      <c r="G3426" s="3" t="s">
        <v>130</v>
      </c>
      <c r="H3426" s="14">
        <v>2.07</v>
      </c>
      <c r="I3426" s="14">
        <v>1.27</v>
      </c>
      <c r="J3426" s="3">
        <f t="shared" si="47"/>
        <v>3.34</v>
      </c>
    </row>
    <row r="3427" ht="15.75" customHeight="1">
      <c r="A3427" s="3">
        <f t="shared" si="46"/>
        <v>3426</v>
      </c>
      <c r="B3427" s="14">
        <v>2014.0</v>
      </c>
      <c r="C3427" s="14">
        <v>11.0</v>
      </c>
      <c r="D3427" s="14">
        <v>1.0</v>
      </c>
      <c r="E3427" s="14">
        <v>4.0</v>
      </c>
      <c r="F3427" s="14" t="s">
        <v>16</v>
      </c>
      <c r="G3427" s="3" t="s">
        <v>37</v>
      </c>
      <c r="H3427" s="14">
        <v>8.1</v>
      </c>
      <c r="I3427" s="14">
        <v>7.7</v>
      </c>
      <c r="J3427" s="3">
        <f t="shared" si="47"/>
        <v>15.8</v>
      </c>
    </row>
    <row r="3428" ht="15.75" customHeight="1">
      <c r="A3428" s="3">
        <f t="shared" si="46"/>
        <v>3427</v>
      </c>
      <c r="B3428" s="14">
        <v>2014.0</v>
      </c>
      <c r="C3428" s="14">
        <v>11.0</v>
      </c>
      <c r="D3428" s="14">
        <v>1.0</v>
      </c>
      <c r="E3428" s="14">
        <v>4.0</v>
      </c>
      <c r="F3428" s="14" t="s">
        <v>16</v>
      </c>
      <c r="G3428" s="3" t="s">
        <v>29</v>
      </c>
      <c r="H3428" s="14">
        <v>8.9</v>
      </c>
      <c r="I3428" s="14">
        <v>7.0</v>
      </c>
      <c r="J3428" s="3">
        <f t="shared" si="47"/>
        <v>15.9</v>
      </c>
    </row>
    <row r="3429" ht="15.75" customHeight="1">
      <c r="A3429" s="3">
        <f t="shared" si="46"/>
        <v>3428</v>
      </c>
      <c r="B3429" s="14">
        <v>2014.0</v>
      </c>
      <c r="C3429" s="14">
        <v>11.0</v>
      </c>
      <c r="D3429" s="14">
        <v>1.0</v>
      </c>
      <c r="E3429" s="14">
        <v>4.0</v>
      </c>
      <c r="F3429" s="14" t="s">
        <v>16</v>
      </c>
      <c r="G3429" s="3" t="s">
        <v>70</v>
      </c>
      <c r="H3429" s="14">
        <v>8.67</v>
      </c>
      <c r="I3429" s="14">
        <v>5.17</v>
      </c>
      <c r="J3429" s="3">
        <f t="shared" si="47"/>
        <v>13.84</v>
      </c>
    </row>
    <row r="3430" ht="15.75" customHeight="1">
      <c r="A3430" s="3">
        <f t="shared" si="46"/>
        <v>3429</v>
      </c>
      <c r="B3430" s="14">
        <v>2014.0</v>
      </c>
      <c r="C3430" s="14">
        <v>11.0</v>
      </c>
      <c r="D3430" s="14">
        <v>1.0</v>
      </c>
      <c r="E3430" s="14">
        <v>5.0</v>
      </c>
      <c r="F3430" s="14" t="s">
        <v>16</v>
      </c>
      <c r="G3430" s="3" t="s">
        <v>41</v>
      </c>
      <c r="H3430" s="14">
        <v>7.33</v>
      </c>
      <c r="I3430" s="14">
        <v>4.83</v>
      </c>
      <c r="J3430" s="3">
        <f t="shared" si="47"/>
        <v>12.16</v>
      </c>
    </row>
    <row r="3431" ht="15.75" customHeight="1">
      <c r="A3431" s="3">
        <f t="shared" si="46"/>
        <v>3430</v>
      </c>
      <c r="B3431" s="14">
        <v>2014.0</v>
      </c>
      <c r="C3431" s="14">
        <v>11.0</v>
      </c>
      <c r="D3431" s="14">
        <v>1.0</v>
      </c>
      <c r="E3431" s="14">
        <v>5.0</v>
      </c>
      <c r="F3431" s="14" t="s">
        <v>16</v>
      </c>
      <c r="G3431" s="3" t="s">
        <v>107</v>
      </c>
      <c r="H3431" s="14">
        <v>9.27</v>
      </c>
      <c r="I3431" s="14">
        <v>0.0</v>
      </c>
      <c r="J3431" s="3">
        <f t="shared" si="47"/>
        <v>9.27</v>
      </c>
    </row>
    <row r="3432" ht="15.75" customHeight="1">
      <c r="A3432" s="3">
        <f t="shared" si="46"/>
        <v>3431</v>
      </c>
      <c r="B3432" s="14">
        <v>2014.0</v>
      </c>
      <c r="C3432" s="14">
        <v>11.0</v>
      </c>
      <c r="D3432" s="14">
        <v>1.0</v>
      </c>
      <c r="E3432" s="14">
        <v>5.0</v>
      </c>
      <c r="F3432" s="14" t="s">
        <v>16</v>
      </c>
      <c r="G3432" s="3" t="s">
        <v>135</v>
      </c>
      <c r="H3432" s="14">
        <v>1.4</v>
      </c>
      <c r="I3432" s="14">
        <v>0.8</v>
      </c>
      <c r="J3432" s="3">
        <f t="shared" si="47"/>
        <v>2.2</v>
      </c>
    </row>
    <row r="3433" ht="15.75" customHeight="1">
      <c r="A3433" s="3">
        <f t="shared" si="46"/>
        <v>3432</v>
      </c>
      <c r="B3433" s="14">
        <v>2014.0</v>
      </c>
      <c r="C3433" s="14">
        <v>11.0</v>
      </c>
      <c r="D3433" s="14">
        <v>1.0</v>
      </c>
      <c r="E3433" s="14">
        <v>6.0</v>
      </c>
      <c r="F3433" s="14" t="s">
        <v>16</v>
      </c>
      <c r="G3433" s="3" t="s">
        <v>30</v>
      </c>
      <c r="H3433" s="14">
        <v>5.5</v>
      </c>
      <c r="I3433" s="14">
        <v>3.33</v>
      </c>
      <c r="J3433" s="3">
        <f t="shared" si="47"/>
        <v>8.83</v>
      </c>
    </row>
    <row r="3434" ht="15.75" customHeight="1">
      <c r="A3434" s="3">
        <f t="shared" si="46"/>
        <v>3433</v>
      </c>
      <c r="B3434" s="14">
        <v>2014.0</v>
      </c>
      <c r="C3434" s="14">
        <v>11.0</v>
      </c>
      <c r="D3434" s="14">
        <v>1.0</v>
      </c>
      <c r="E3434" s="14">
        <v>6.0</v>
      </c>
      <c r="F3434" s="14" t="s">
        <v>16</v>
      </c>
      <c r="G3434" s="3" t="s">
        <v>126</v>
      </c>
      <c r="H3434" s="14">
        <v>2.23</v>
      </c>
      <c r="I3434" s="14">
        <v>1.07</v>
      </c>
      <c r="J3434" s="3">
        <f t="shared" si="47"/>
        <v>3.3</v>
      </c>
    </row>
    <row r="3435" ht="15.75" customHeight="1">
      <c r="A3435" s="3">
        <f t="shared" si="46"/>
        <v>3434</v>
      </c>
      <c r="B3435" s="14">
        <v>2014.0</v>
      </c>
      <c r="C3435" s="14">
        <v>11.0</v>
      </c>
      <c r="D3435" s="14">
        <v>1.0</v>
      </c>
      <c r="E3435" s="14">
        <v>6.0</v>
      </c>
      <c r="F3435" s="14" t="s">
        <v>16</v>
      </c>
      <c r="G3435" s="3" t="s">
        <v>136</v>
      </c>
      <c r="H3435" s="14">
        <v>4.17</v>
      </c>
      <c r="I3435" s="14">
        <v>0.93</v>
      </c>
      <c r="J3435" s="3">
        <f t="shared" si="47"/>
        <v>5.1</v>
      </c>
    </row>
    <row r="3436" ht="15.75" customHeight="1">
      <c r="A3436" s="3">
        <f t="shared" si="46"/>
        <v>3435</v>
      </c>
      <c r="B3436" s="14">
        <v>2014.0</v>
      </c>
      <c r="C3436" s="14">
        <v>11.0</v>
      </c>
      <c r="D3436" s="14">
        <v>1.0</v>
      </c>
      <c r="E3436" s="14">
        <v>7.0</v>
      </c>
      <c r="F3436" s="14" t="s">
        <v>16</v>
      </c>
      <c r="G3436" s="3" t="s">
        <v>28</v>
      </c>
      <c r="H3436" s="14">
        <v>1.07</v>
      </c>
      <c r="I3436" s="14">
        <v>1.0</v>
      </c>
      <c r="J3436" s="3">
        <f t="shared" si="47"/>
        <v>2.07</v>
      </c>
    </row>
    <row r="3437" ht="15.75" customHeight="1">
      <c r="A3437" s="3">
        <f t="shared" si="46"/>
        <v>3436</v>
      </c>
      <c r="B3437" s="14">
        <v>2014.0</v>
      </c>
      <c r="C3437" s="14">
        <v>11.0</v>
      </c>
      <c r="D3437" s="14">
        <v>1.0</v>
      </c>
      <c r="E3437" s="14">
        <v>7.0</v>
      </c>
      <c r="F3437" s="14" t="s">
        <v>16</v>
      </c>
      <c r="G3437" s="3" t="s">
        <v>35</v>
      </c>
      <c r="H3437" s="14">
        <v>2.0</v>
      </c>
      <c r="I3437" s="14">
        <v>1.9</v>
      </c>
      <c r="J3437" s="3">
        <f t="shared" si="47"/>
        <v>3.9</v>
      </c>
    </row>
    <row r="3438" ht="15.75" customHeight="1">
      <c r="A3438" s="3">
        <f t="shared" si="46"/>
        <v>3437</v>
      </c>
      <c r="B3438" s="14">
        <v>2014.0</v>
      </c>
      <c r="C3438" s="14">
        <v>11.0</v>
      </c>
      <c r="D3438" s="14">
        <v>1.0</v>
      </c>
      <c r="E3438" s="14">
        <v>7.0</v>
      </c>
      <c r="F3438" s="14" t="s">
        <v>16</v>
      </c>
      <c r="G3438" s="3" t="s">
        <v>50</v>
      </c>
      <c r="H3438" s="14">
        <v>7.0</v>
      </c>
      <c r="I3438" s="14">
        <v>2.3</v>
      </c>
      <c r="J3438" s="3">
        <f t="shared" si="47"/>
        <v>9.3</v>
      </c>
    </row>
    <row r="3439" ht="15.75" customHeight="1">
      <c r="A3439" s="3">
        <f t="shared" si="46"/>
        <v>3438</v>
      </c>
      <c r="B3439" s="14">
        <v>2014.0</v>
      </c>
      <c r="C3439" s="14">
        <v>11.0</v>
      </c>
      <c r="D3439" s="14">
        <v>1.0</v>
      </c>
      <c r="E3439" s="14">
        <v>8.0</v>
      </c>
      <c r="F3439" s="14" t="s">
        <v>16</v>
      </c>
      <c r="G3439" s="3" t="s">
        <v>32</v>
      </c>
      <c r="H3439" s="14">
        <v>7.0</v>
      </c>
      <c r="I3439" s="14">
        <v>3.77</v>
      </c>
      <c r="J3439" s="3">
        <f t="shared" si="47"/>
        <v>10.77</v>
      </c>
    </row>
    <row r="3440" ht="15.75" customHeight="1">
      <c r="A3440" s="3">
        <f t="shared" si="46"/>
        <v>3439</v>
      </c>
      <c r="B3440" s="14">
        <v>2014.0</v>
      </c>
      <c r="C3440" s="14">
        <v>11.0</v>
      </c>
      <c r="D3440" s="14">
        <v>1.0</v>
      </c>
      <c r="E3440" s="14">
        <v>8.0</v>
      </c>
      <c r="F3440" s="14" t="s">
        <v>16</v>
      </c>
      <c r="G3440" s="3" t="s">
        <v>123</v>
      </c>
      <c r="H3440" s="14">
        <v>4.17</v>
      </c>
      <c r="I3440" s="14">
        <v>3.33</v>
      </c>
      <c r="J3440" s="3">
        <f t="shared" si="47"/>
        <v>7.5</v>
      </c>
    </row>
    <row r="3441" ht="15.75" customHeight="1">
      <c r="A3441" s="3">
        <f t="shared" si="46"/>
        <v>3440</v>
      </c>
      <c r="B3441" s="14">
        <v>2014.0</v>
      </c>
      <c r="C3441" s="14">
        <v>11.0</v>
      </c>
      <c r="D3441" s="14">
        <v>1.0</v>
      </c>
      <c r="E3441" s="14">
        <v>8.0</v>
      </c>
      <c r="F3441" s="14" t="s">
        <v>16</v>
      </c>
      <c r="G3441" s="3" t="s">
        <v>122</v>
      </c>
      <c r="H3441" s="14">
        <v>0.0</v>
      </c>
      <c r="I3441" s="14">
        <v>0.0</v>
      </c>
      <c r="J3441" s="3">
        <f t="shared" si="47"/>
        <v>0</v>
      </c>
    </row>
    <row r="3442" ht="15.75" customHeight="1">
      <c r="A3442" s="3">
        <f t="shared" si="46"/>
        <v>3441</v>
      </c>
      <c r="B3442" s="14">
        <v>2014.0</v>
      </c>
      <c r="C3442" s="14">
        <v>11.0</v>
      </c>
      <c r="D3442" s="14">
        <v>1.0</v>
      </c>
      <c r="E3442" s="14">
        <v>9.0</v>
      </c>
      <c r="F3442" s="14" t="s">
        <v>16</v>
      </c>
      <c r="G3442" s="3" t="s">
        <v>45</v>
      </c>
      <c r="H3442" s="14">
        <v>5.77</v>
      </c>
      <c r="I3442" s="14">
        <v>5.33</v>
      </c>
      <c r="J3442" s="3">
        <f t="shared" si="47"/>
        <v>11.1</v>
      </c>
    </row>
    <row r="3443" ht="15.75" customHeight="1">
      <c r="A3443" s="3">
        <f t="shared" si="46"/>
        <v>3442</v>
      </c>
      <c r="B3443" s="14">
        <v>2014.0</v>
      </c>
      <c r="C3443" s="14">
        <v>11.0</v>
      </c>
      <c r="D3443" s="14">
        <v>1.0</v>
      </c>
      <c r="E3443" s="14">
        <v>9.0</v>
      </c>
      <c r="F3443" s="14" t="s">
        <v>16</v>
      </c>
      <c r="G3443" s="3" t="s">
        <v>60</v>
      </c>
      <c r="H3443" s="14">
        <v>1.0</v>
      </c>
      <c r="I3443" s="14">
        <v>0.67</v>
      </c>
      <c r="J3443" s="3">
        <f t="shared" si="47"/>
        <v>1.67</v>
      </c>
    </row>
    <row r="3444" ht="15.75" customHeight="1">
      <c r="A3444" s="3">
        <f t="shared" si="46"/>
        <v>3443</v>
      </c>
      <c r="B3444" s="14">
        <v>2014.0</v>
      </c>
      <c r="C3444" s="14">
        <v>11.0</v>
      </c>
      <c r="D3444" s="14">
        <v>1.0</v>
      </c>
      <c r="E3444" s="14">
        <v>9.0</v>
      </c>
      <c r="F3444" s="14" t="s">
        <v>16</v>
      </c>
      <c r="G3444" s="3" t="s">
        <v>91</v>
      </c>
      <c r="H3444" s="14">
        <v>8.33</v>
      </c>
      <c r="I3444" s="14">
        <v>1.3</v>
      </c>
      <c r="J3444" s="3">
        <f t="shared" si="47"/>
        <v>9.63</v>
      </c>
    </row>
    <row r="3445" ht="15.75" customHeight="1">
      <c r="A3445" s="3">
        <f t="shared" si="46"/>
        <v>3444</v>
      </c>
      <c r="B3445" s="14">
        <v>2014.0</v>
      </c>
      <c r="C3445" s="14">
        <v>11.0</v>
      </c>
      <c r="D3445" s="14">
        <v>1.0</v>
      </c>
      <c r="E3445" s="14">
        <v>10.0</v>
      </c>
      <c r="F3445" s="14" t="s">
        <v>16</v>
      </c>
      <c r="G3445" s="3" t="s">
        <v>57</v>
      </c>
      <c r="H3445" s="14">
        <v>8.93</v>
      </c>
      <c r="I3445" s="14">
        <v>8.57</v>
      </c>
      <c r="J3445" s="3">
        <f t="shared" si="47"/>
        <v>17.5</v>
      </c>
    </row>
    <row r="3446" ht="15.75" customHeight="1">
      <c r="A3446" s="3">
        <f t="shared" si="46"/>
        <v>3445</v>
      </c>
      <c r="B3446" s="14">
        <v>2014.0</v>
      </c>
      <c r="C3446" s="14">
        <v>11.0</v>
      </c>
      <c r="D3446" s="14">
        <v>1.0</v>
      </c>
      <c r="E3446" s="14">
        <v>10.0</v>
      </c>
      <c r="F3446" s="14" t="s">
        <v>16</v>
      </c>
      <c r="G3446" s="3" t="s">
        <v>47</v>
      </c>
      <c r="H3446" s="14">
        <v>7.77</v>
      </c>
      <c r="I3446" s="14">
        <v>7.3</v>
      </c>
      <c r="J3446" s="3">
        <f t="shared" si="47"/>
        <v>15.07</v>
      </c>
    </row>
    <row r="3447" ht="15.75" customHeight="1">
      <c r="A3447" s="3">
        <f t="shared" si="46"/>
        <v>3446</v>
      </c>
      <c r="B3447" s="14">
        <v>2014.0</v>
      </c>
      <c r="C3447" s="14">
        <v>11.0</v>
      </c>
      <c r="D3447" s="14">
        <v>1.0</v>
      </c>
      <c r="E3447" s="14">
        <v>10.0</v>
      </c>
      <c r="F3447" s="14" t="s">
        <v>16</v>
      </c>
      <c r="G3447" s="3" t="s">
        <v>124</v>
      </c>
      <c r="H3447" s="14">
        <v>5.83</v>
      </c>
      <c r="I3447" s="14">
        <v>2.67</v>
      </c>
      <c r="J3447" s="3">
        <f t="shared" si="47"/>
        <v>8.5</v>
      </c>
    </row>
    <row r="3448" ht="15.75" customHeight="1">
      <c r="A3448" s="3">
        <f t="shared" si="46"/>
        <v>3447</v>
      </c>
      <c r="B3448" s="14">
        <v>2014.0</v>
      </c>
      <c r="C3448" s="14">
        <v>11.0</v>
      </c>
      <c r="D3448" s="14">
        <v>1.0</v>
      </c>
      <c r="E3448" s="14">
        <v>11.0</v>
      </c>
      <c r="F3448" s="14" t="s">
        <v>16</v>
      </c>
      <c r="G3448" s="3" t="s">
        <v>56</v>
      </c>
      <c r="H3448" s="14">
        <v>0.97</v>
      </c>
      <c r="I3448" s="14">
        <v>0.93</v>
      </c>
      <c r="J3448" s="3">
        <f t="shared" si="47"/>
        <v>1.9</v>
      </c>
    </row>
    <row r="3449" ht="15.75" customHeight="1">
      <c r="A3449" s="3">
        <f t="shared" si="46"/>
        <v>3448</v>
      </c>
      <c r="B3449" s="14">
        <v>2014.0</v>
      </c>
      <c r="C3449" s="14">
        <v>11.0</v>
      </c>
      <c r="D3449" s="14">
        <v>1.0</v>
      </c>
      <c r="E3449" s="14">
        <v>11.0</v>
      </c>
      <c r="F3449" s="14" t="s">
        <v>16</v>
      </c>
      <c r="G3449" s="3" t="s">
        <v>33</v>
      </c>
      <c r="H3449" s="14">
        <v>6.83</v>
      </c>
      <c r="I3449" s="14">
        <v>6.07</v>
      </c>
      <c r="J3449" s="3">
        <f t="shared" si="47"/>
        <v>12.9</v>
      </c>
    </row>
    <row r="3450" ht="15.75" customHeight="1">
      <c r="A3450" s="3">
        <f t="shared" si="46"/>
        <v>3449</v>
      </c>
      <c r="B3450" s="14">
        <v>2014.0</v>
      </c>
      <c r="C3450" s="14">
        <v>11.0</v>
      </c>
      <c r="D3450" s="14">
        <v>1.0</v>
      </c>
      <c r="E3450" s="14">
        <v>11.0</v>
      </c>
      <c r="F3450" s="14" t="s">
        <v>16</v>
      </c>
      <c r="G3450" s="3" t="s">
        <v>76</v>
      </c>
      <c r="H3450" s="14">
        <v>9.17</v>
      </c>
      <c r="I3450" s="14">
        <v>5.77</v>
      </c>
      <c r="J3450" s="3">
        <f t="shared" si="47"/>
        <v>14.94</v>
      </c>
    </row>
    <row r="3451" ht="15.75" customHeight="1">
      <c r="A3451" s="3">
        <f t="shared" si="46"/>
        <v>3450</v>
      </c>
      <c r="B3451" s="14">
        <v>2014.0</v>
      </c>
      <c r="C3451" s="14">
        <v>11.0</v>
      </c>
      <c r="D3451" s="14">
        <v>1.0</v>
      </c>
      <c r="E3451" s="14">
        <v>12.0</v>
      </c>
      <c r="F3451" s="14" t="s">
        <v>16</v>
      </c>
      <c r="G3451" s="3" t="s">
        <v>59</v>
      </c>
      <c r="H3451" s="14">
        <v>7.93</v>
      </c>
      <c r="I3451" s="14">
        <v>7.27</v>
      </c>
      <c r="J3451" s="3">
        <f t="shared" si="47"/>
        <v>15.2</v>
      </c>
    </row>
    <row r="3452" ht="15.75" customHeight="1">
      <c r="A3452" s="3">
        <f t="shared" si="46"/>
        <v>3451</v>
      </c>
      <c r="B3452" s="14">
        <v>2014.0</v>
      </c>
      <c r="C3452" s="14">
        <v>11.0</v>
      </c>
      <c r="D3452" s="14">
        <v>1.0</v>
      </c>
      <c r="E3452" s="14">
        <v>12.0</v>
      </c>
      <c r="F3452" s="14" t="s">
        <v>16</v>
      </c>
      <c r="G3452" s="3" t="s">
        <v>55</v>
      </c>
      <c r="H3452" s="14">
        <v>1.83</v>
      </c>
      <c r="I3452" s="14">
        <v>1.4</v>
      </c>
      <c r="J3452" s="3">
        <f t="shared" si="47"/>
        <v>3.23</v>
      </c>
    </row>
    <row r="3453" ht="15.75" customHeight="1">
      <c r="A3453" s="3">
        <f t="shared" si="46"/>
        <v>3452</v>
      </c>
      <c r="B3453" s="14">
        <v>2014.0</v>
      </c>
      <c r="C3453" s="14">
        <v>11.0</v>
      </c>
      <c r="D3453" s="14">
        <v>1.0</v>
      </c>
      <c r="E3453" s="14">
        <v>12.0</v>
      </c>
      <c r="F3453" s="14" t="s">
        <v>16</v>
      </c>
      <c r="G3453" s="3" t="s">
        <v>120</v>
      </c>
      <c r="H3453" s="14">
        <v>0.9</v>
      </c>
      <c r="I3453" s="14">
        <v>0.73</v>
      </c>
      <c r="J3453" s="3">
        <f t="shared" si="47"/>
        <v>1.63</v>
      </c>
    </row>
    <row r="3454" ht="15.75" customHeight="1">
      <c r="A3454" s="3">
        <f t="shared" si="46"/>
        <v>3453</v>
      </c>
      <c r="B3454" s="14">
        <v>2014.0</v>
      </c>
      <c r="C3454" s="14">
        <v>11.0</v>
      </c>
      <c r="D3454" s="14">
        <v>2.0</v>
      </c>
      <c r="E3454" s="14">
        <v>1.0</v>
      </c>
      <c r="F3454" s="14" t="s">
        <v>16</v>
      </c>
      <c r="G3454" s="3" t="s">
        <v>37</v>
      </c>
      <c r="H3454" s="14">
        <v>9.57</v>
      </c>
      <c r="I3454" s="14">
        <v>7.43</v>
      </c>
      <c r="J3454" s="3">
        <f t="shared" si="47"/>
        <v>17</v>
      </c>
    </row>
    <row r="3455" ht="15.75" customHeight="1">
      <c r="A3455" s="3">
        <f t="shared" si="46"/>
        <v>3454</v>
      </c>
      <c r="B3455" s="14">
        <v>2014.0</v>
      </c>
      <c r="C3455" s="14">
        <v>11.0</v>
      </c>
      <c r="D3455" s="14">
        <v>2.0</v>
      </c>
      <c r="E3455" s="14">
        <v>1.0</v>
      </c>
      <c r="F3455" s="14" t="s">
        <v>16</v>
      </c>
      <c r="G3455" s="3" t="s">
        <v>136</v>
      </c>
      <c r="H3455" s="14">
        <v>4.0</v>
      </c>
      <c r="I3455" s="14">
        <v>3.0</v>
      </c>
      <c r="J3455" s="3">
        <f t="shared" si="47"/>
        <v>7</v>
      </c>
    </row>
    <row r="3456" ht="15.75" customHeight="1">
      <c r="A3456" s="3">
        <f t="shared" si="46"/>
        <v>3455</v>
      </c>
      <c r="B3456" s="14">
        <v>2014.0</v>
      </c>
      <c r="C3456" s="14">
        <v>11.0</v>
      </c>
      <c r="D3456" s="14">
        <v>2.0</v>
      </c>
      <c r="E3456" s="14">
        <v>2.0</v>
      </c>
      <c r="F3456" s="14" t="s">
        <v>16</v>
      </c>
      <c r="G3456" s="3" t="s">
        <v>27</v>
      </c>
      <c r="H3456" s="14">
        <v>5.0</v>
      </c>
      <c r="I3456" s="14">
        <v>3.33</v>
      </c>
      <c r="J3456" s="3">
        <f t="shared" si="47"/>
        <v>8.33</v>
      </c>
    </row>
    <row r="3457" ht="15.75" customHeight="1">
      <c r="A3457" s="3">
        <f t="shared" si="46"/>
        <v>3456</v>
      </c>
      <c r="B3457" s="14">
        <v>2014.0</v>
      </c>
      <c r="C3457" s="14">
        <v>11.0</v>
      </c>
      <c r="D3457" s="14">
        <v>2.0</v>
      </c>
      <c r="E3457" s="14">
        <v>2.0</v>
      </c>
      <c r="F3457" s="14" t="s">
        <v>16</v>
      </c>
      <c r="G3457" s="3" t="s">
        <v>135</v>
      </c>
      <c r="H3457" s="14">
        <v>3.17</v>
      </c>
      <c r="I3457" s="14">
        <v>1.4</v>
      </c>
      <c r="J3457" s="3">
        <f t="shared" si="47"/>
        <v>4.57</v>
      </c>
    </row>
    <row r="3458" ht="15.75" customHeight="1">
      <c r="A3458" s="3">
        <f t="shared" si="46"/>
        <v>3457</v>
      </c>
      <c r="B3458" s="14">
        <v>2014.0</v>
      </c>
      <c r="C3458" s="14">
        <v>11.0</v>
      </c>
      <c r="D3458" s="14">
        <v>2.0</v>
      </c>
      <c r="E3458" s="14">
        <v>3.0</v>
      </c>
      <c r="F3458" s="14" t="s">
        <v>16</v>
      </c>
      <c r="G3458" s="3" t="s">
        <v>28</v>
      </c>
      <c r="H3458" s="14">
        <v>3.0</v>
      </c>
      <c r="I3458" s="14">
        <v>1.3</v>
      </c>
      <c r="J3458" s="3">
        <f t="shared" si="47"/>
        <v>4.3</v>
      </c>
    </row>
    <row r="3459" ht="15.75" customHeight="1">
      <c r="A3459" s="3">
        <f t="shared" si="46"/>
        <v>3458</v>
      </c>
      <c r="B3459" s="14">
        <v>2014.0</v>
      </c>
      <c r="C3459" s="14">
        <v>11.0</v>
      </c>
      <c r="D3459" s="14">
        <v>2.0</v>
      </c>
      <c r="E3459" s="14">
        <v>3.0</v>
      </c>
      <c r="F3459" s="14" t="s">
        <v>16</v>
      </c>
      <c r="G3459" s="3" t="s">
        <v>70</v>
      </c>
      <c r="H3459" s="14">
        <v>3.03</v>
      </c>
      <c r="I3459" s="14">
        <v>1.27</v>
      </c>
      <c r="J3459" s="3">
        <f t="shared" si="47"/>
        <v>4.3</v>
      </c>
    </row>
    <row r="3460" ht="15.75" customHeight="1">
      <c r="A3460" s="3">
        <f t="shared" si="46"/>
        <v>3459</v>
      </c>
      <c r="B3460" s="14">
        <v>2014.0</v>
      </c>
      <c r="C3460" s="14">
        <v>11.0</v>
      </c>
      <c r="D3460" s="14">
        <v>2.0</v>
      </c>
      <c r="E3460" s="14">
        <v>4.0</v>
      </c>
      <c r="F3460" s="14" t="s">
        <v>16</v>
      </c>
      <c r="G3460" s="3" t="s">
        <v>56</v>
      </c>
      <c r="H3460" s="14">
        <v>4.5</v>
      </c>
      <c r="I3460" s="14">
        <v>4.0</v>
      </c>
      <c r="J3460" s="3">
        <f t="shared" si="47"/>
        <v>8.5</v>
      </c>
    </row>
    <row r="3461" ht="15.75" customHeight="1">
      <c r="A3461" s="3">
        <f t="shared" si="46"/>
        <v>3460</v>
      </c>
      <c r="B3461" s="14">
        <v>2014.0</v>
      </c>
      <c r="C3461" s="14">
        <v>11.0</v>
      </c>
      <c r="D3461" s="14">
        <v>2.0</v>
      </c>
      <c r="E3461" s="14">
        <v>4.0</v>
      </c>
      <c r="F3461" s="14" t="s">
        <v>16</v>
      </c>
      <c r="G3461" s="3" t="s">
        <v>130</v>
      </c>
      <c r="H3461" s="14">
        <v>2.77</v>
      </c>
      <c r="I3461" s="14">
        <v>2.0</v>
      </c>
      <c r="J3461" s="3">
        <f t="shared" si="47"/>
        <v>4.77</v>
      </c>
    </row>
    <row r="3462" ht="15.75" customHeight="1">
      <c r="A3462" s="3">
        <f t="shared" si="46"/>
        <v>3461</v>
      </c>
      <c r="B3462" s="14">
        <v>2014.0</v>
      </c>
      <c r="C3462" s="14">
        <v>11.0</v>
      </c>
      <c r="D3462" s="14">
        <v>2.0</v>
      </c>
      <c r="E3462" s="14">
        <v>5.0</v>
      </c>
      <c r="F3462" s="14" t="s">
        <v>16</v>
      </c>
      <c r="G3462" s="3" t="s">
        <v>55</v>
      </c>
      <c r="H3462" s="14">
        <v>4.5</v>
      </c>
      <c r="I3462" s="14">
        <v>2.67</v>
      </c>
      <c r="J3462" s="3">
        <f t="shared" si="47"/>
        <v>7.17</v>
      </c>
    </row>
    <row r="3463" ht="15.75" customHeight="1">
      <c r="A3463" s="3">
        <f t="shared" si="46"/>
        <v>3462</v>
      </c>
      <c r="B3463" s="14">
        <v>2014.0</v>
      </c>
      <c r="C3463" s="14">
        <v>11.0</v>
      </c>
      <c r="D3463" s="14">
        <v>2.0</v>
      </c>
      <c r="E3463" s="14">
        <v>5.0</v>
      </c>
      <c r="F3463" s="14" t="s">
        <v>16</v>
      </c>
      <c r="G3463" s="3" t="s">
        <v>131</v>
      </c>
      <c r="H3463" s="14">
        <v>2.6</v>
      </c>
      <c r="I3463" s="14">
        <v>1.53</v>
      </c>
      <c r="J3463" s="3">
        <f t="shared" si="47"/>
        <v>4.13</v>
      </c>
    </row>
    <row r="3464" ht="15.75" customHeight="1">
      <c r="A3464" s="3">
        <f t="shared" si="46"/>
        <v>3463</v>
      </c>
      <c r="B3464" s="14">
        <v>2014.0</v>
      </c>
      <c r="C3464" s="14">
        <v>11.0</v>
      </c>
      <c r="D3464" s="14">
        <v>2.0</v>
      </c>
      <c r="E3464" s="14">
        <v>6.0</v>
      </c>
      <c r="F3464" s="14" t="s">
        <v>16</v>
      </c>
      <c r="G3464" s="3" t="s">
        <v>33</v>
      </c>
      <c r="H3464" s="14">
        <v>3.97</v>
      </c>
      <c r="I3464" s="14">
        <v>3.67</v>
      </c>
      <c r="J3464" s="3">
        <f t="shared" si="47"/>
        <v>7.64</v>
      </c>
    </row>
    <row r="3465" ht="15.75" customHeight="1">
      <c r="A3465" s="3">
        <f t="shared" si="46"/>
        <v>3464</v>
      </c>
      <c r="B3465" s="14">
        <v>2014.0</v>
      </c>
      <c r="C3465" s="14">
        <v>11.0</v>
      </c>
      <c r="D3465" s="14">
        <v>2.0</v>
      </c>
      <c r="E3465" s="14">
        <v>6.0</v>
      </c>
      <c r="F3465" s="14" t="s">
        <v>16</v>
      </c>
      <c r="G3465" s="3" t="s">
        <v>99</v>
      </c>
      <c r="H3465" s="14">
        <v>4.07</v>
      </c>
      <c r="I3465" s="14">
        <v>3.0</v>
      </c>
      <c r="J3465" s="3">
        <f t="shared" si="47"/>
        <v>7.07</v>
      </c>
    </row>
    <row r="3466" ht="15.75" customHeight="1">
      <c r="A3466" s="3">
        <f t="shared" si="46"/>
        <v>3465</v>
      </c>
      <c r="B3466" s="14">
        <v>2014.0</v>
      </c>
      <c r="C3466" s="14">
        <v>11.0</v>
      </c>
      <c r="D3466" s="14">
        <v>2.0</v>
      </c>
      <c r="E3466" s="14">
        <v>7.0</v>
      </c>
      <c r="F3466" s="14" t="s">
        <v>16</v>
      </c>
      <c r="G3466" s="3" t="s">
        <v>47</v>
      </c>
      <c r="H3466" s="14">
        <v>2.07</v>
      </c>
      <c r="I3466" s="14">
        <v>1.4</v>
      </c>
      <c r="J3466" s="3">
        <f t="shared" si="47"/>
        <v>3.47</v>
      </c>
    </row>
    <row r="3467" ht="15.75" customHeight="1">
      <c r="A3467" s="3">
        <f t="shared" si="46"/>
        <v>3466</v>
      </c>
      <c r="B3467" s="14">
        <v>2014.0</v>
      </c>
      <c r="C3467" s="14">
        <v>11.0</v>
      </c>
      <c r="D3467" s="14">
        <v>2.0</v>
      </c>
      <c r="E3467" s="14">
        <v>7.0</v>
      </c>
      <c r="F3467" s="14" t="s">
        <v>16</v>
      </c>
      <c r="G3467" s="3" t="s">
        <v>122</v>
      </c>
      <c r="H3467" s="14">
        <v>0.77</v>
      </c>
      <c r="I3467" s="14">
        <v>0.53</v>
      </c>
      <c r="J3467" s="3">
        <f t="shared" si="47"/>
        <v>1.3</v>
      </c>
    </row>
    <row r="3468" ht="15.75" customHeight="1">
      <c r="A3468" s="3">
        <f t="shared" si="46"/>
        <v>3467</v>
      </c>
      <c r="B3468" s="14">
        <v>2014.0</v>
      </c>
      <c r="C3468" s="14">
        <v>11.0</v>
      </c>
      <c r="D3468" s="14">
        <v>2.0</v>
      </c>
      <c r="E3468" s="14">
        <v>8.0</v>
      </c>
      <c r="F3468" s="14" t="s">
        <v>16</v>
      </c>
      <c r="G3468" s="3" t="s">
        <v>60</v>
      </c>
      <c r="H3468" s="14">
        <v>3.83</v>
      </c>
      <c r="I3468" s="14">
        <v>3.33</v>
      </c>
      <c r="J3468" s="3">
        <f t="shared" si="47"/>
        <v>7.16</v>
      </c>
    </row>
    <row r="3469" ht="15.75" customHeight="1">
      <c r="A3469" s="3">
        <f t="shared" si="46"/>
        <v>3468</v>
      </c>
      <c r="B3469" s="14">
        <v>2014.0</v>
      </c>
      <c r="C3469" s="14">
        <v>11.0</v>
      </c>
      <c r="D3469" s="14">
        <v>2.0</v>
      </c>
      <c r="E3469" s="14">
        <v>8.0</v>
      </c>
      <c r="F3469" s="14" t="s">
        <v>16</v>
      </c>
      <c r="G3469" s="3" t="s">
        <v>91</v>
      </c>
      <c r="H3469" s="14">
        <v>4.4</v>
      </c>
      <c r="I3469" s="14">
        <v>2.43</v>
      </c>
      <c r="J3469" s="3">
        <f t="shared" si="47"/>
        <v>6.83</v>
      </c>
    </row>
    <row r="3470" ht="15.75" customHeight="1">
      <c r="A3470" s="3">
        <f t="shared" si="46"/>
        <v>3469</v>
      </c>
      <c r="B3470" s="14">
        <v>2014.0</v>
      </c>
      <c r="C3470" s="14">
        <v>11.0</v>
      </c>
      <c r="D3470" s="14">
        <v>2.0</v>
      </c>
      <c r="E3470" s="14">
        <v>9.0</v>
      </c>
      <c r="F3470" s="14" t="s">
        <v>16</v>
      </c>
      <c r="G3470" s="3" t="s">
        <v>123</v>
      </c>
      <c r="H3470" s="14">
        <v>4.0</v>
      </c>
      <c r="I3470" s="14">
        <v>2.9</v>
      </c>
      <c r="J3470" s="3">
        <f t="shared" si="47"/>
        <v>6.9</v>
      </c>
    </row>
    <row r="3471" ht="15.75" customHeight="1">
      <c r="A3471" s="3">
        <f t="shared" si="46"/>
        <v>3470</v>
      </c>
      <c r="B3471" s="14">
        <v>2014.0</v>
      </c>
      <c r="C3471" s="14">
        <v>11.0</v>
      </c>
      <c r="D3471" s="14">
        <v>2.0</v>
      </c>
      <c r="E3471" s="14">
        <v>9.0</v>
      </c>
      <c r="F3471" s="14" t="s">
        <v>16</v>
      </c>
      <c r="G3471" s="3" t="s">
        <v>124</v>
      </c>
      <c r="H3471" s="14">
        <v>1.0</v>
      </c>
      <c r="I3471" s="14">
        <v>0.57</v>
      </c>
      <c r="J3471" s="3">
        <f t="shared" si="47"/>
        <v>1.57</v>
      </c>
    </row>
    <row r="3472" ht="15.75" customHeight="1">
      <c r="A3472" s="3">
        <f t="shared" si="46"/>
        <v>3471</v>
      </c>
      <c r="B3472" s="14">
        <v>2014.0</v>
      </c>
      <c r="C3472" s="14">
        <v>11.0</v>
      </c>
      <c r="D3472" s="14">
        <v>2.0</v>
      </c>
      <c r="E3472" s="14">
        <v>10.0</v>
      </c>
      <c r="F3472" s="14" t="s">
        <v>16</v>
      </c>
      <c r="G3472" s="3" t="s">
        <v>35</v>
      </c>
      <c r="H3472" s="14">
        <v>9.37</v>
      </c>
      <c r="I3472" s="14">
        <v>3.33</v>
      </c>
      <c r="J3472" s="3">
        <f t="shared" si="47"/>
        <v>12.7</v>
      </c>
    </row>
    <row r="3473" ht="15.75" customHeight="1">
      <c r="A3473" s="3">
        <f t="shared" si="46"/>
        <v>3472</v>
      </c>
      <c r="B3473" s="14">
        <v>2014.0</v>
      </c>
      <c r="C3473" s="14">
        <v>11.0</v>
      </c>
      <c r="D3473" s="14">
        <v>2.0</v>
      </c>
      <c r="E3473" s="14">
        <v>10.0</v>
      </c>
      <c r="F3473" s="14" t="s">
        <v>16</v>
      </c>
      <c r="G3473" s="3" t="s">
        <v>120</v>
      </c>
      <c r="H3473" s="14">
        <v>1.5</v>
      </c>
      <c r="I3473" s="14">
        <v>1.27</v>
      </c>
      <c r="J3473" s="3">
        <f t="shared" si="47"/>
        <v>2.77</v>
      </c>
    </row>
    <row r="3474" ht="15.75" customHeight="1">
      <c r="A3474" s="3">
        <f t="shared" si="46"/>
        <v>3473</v>
      </c>
      <c r="B3474" s="14">
        <v>2014.0</v>
      </c>
      <c r="C3474" s="14">
        <v>11.0</v>
      </c>
      <c r="D3474" s="14">
        <v>2.0</v>
      </c>
      <c r="E3474" s="14">
        <v>11.0</v>
      </c>
      <c r="F3474" s="14" t="s">
        <v>16</v>
      </c>
      <c r="G3474" s="3" t="s">
        <v>31</v>
      </c>
      <c r="H3474" s="14">
        <v>2.5</v>
      </c>
      <c r="I3474" s="14">
        <v>2.0</v>
      </c>
      <c r="J3474" s="3">
        <f t="shared" si="47"/>
        <v>4.5</v>
      </c>
    </row>
    <row r="3475" ht="15.75" customHeight="1">
      <c r="A3475" s="3">
        <f t="shared" si="46"/>
        <v>3474</v>
      </c>
      <c r="B3475" s="14">
        <v>2014.0</v>
      </c>
      <c r="C3475" s="14">
        <v>11.0</v>
      </c>
      <c r="D3475" s="14">
        <v>2.0</v>
      </c>
      <c r="E3475" s="14">
        <v>11.0</v>
      </c>
      <c r="F3475" s="14" t="s">
        <v>16</v>
      </c>
      <c r="G3475" s="3" t="s">
        <v>126</v>
      </c>
      <c r="H3475" s="14">
        <v>0.67</v>
      </c>
      <c r="I3475" s="14">
        <v>0.17</v>
      </c>
      <c r="J3475" s="3">
        <f t="shared" si="47"/>
        <v>0.84</v>
      </c>
    </row>
    <row r="3476" ht="15.75" customHeight="1">
      <c r="A3476" s="3">
        <f t="shared" si="46"/>
        <v>3475</v>
      </c>
      <c r="B3476" s="14">
        <v>2014.0</v>
      </c>
      <c r="C3476" s="14">
        <v>11.0</v>
      </c>
      <c r="D3476" s="14">
        <v>2.0</v>
      </c>
      <c r="E3476" s="14">
        <v>12.0</v>
      </c>
      <c r="F3476" s="14" t="s">
        <v>16</v>
      </c>
      <c r="G3476" s="3" t="s">
        <v>129</v>
      </c>
      <c r="H3476" s="14">
        <v>2.43</v>
      </c>
      <c r="I3476" s="14">
        <v>1.7</v>
      </c>
      <c r="J3476" s="3">
        <f t="shared" si="47"/>
        <v>4.13</v>
      </c>
    </row>
    <row r="3477" ht="15.75" customHeight="1">
      <c r="A3477" s="3">
        <f t="shared" si="46"/>
        <v>3476</v>
      </c>
      <c r="B3477" s="14">
        <v>2014.0</v>
      </c>
      <c r="C3477" s="14">
        <v>11.0</v>
      </c>
      <c r="D3477" s="14">
        <v>2.0</v>
      </c>
      <c r="E3477" s="14">
        <v>12.0</v>
      </c>
      <c r="F3477" s="14" t="s">
        <v>16</v>
      </c>
      <c r="G3477" s="3" t="s">
        <v>107</v>
      </c>
      <c r="H3477" s="14">
        <v>2.17</v>
      </c>
      <c r="I3477" s="14">
        <v>1.07</v>
      </c>
      <c r="J3477" s="3">
        <f t="shared" si="47"/>
        <v>3.24</v>
      </c>
    </row>
    <row r="3478" ht="15.75" customHeight="1">
      <c r="A3478" s="3">
        <f t="shared" si="46"/>
        <v>3477</v>
      </c>
      <c r="B3478" s="14">
        <v>2014.0</v>
      </c>
      <c r="C3478" s="14">
        <v>11.0</v>
      </c>
      <c r="D3478" s="14">
        <v>3.0</v>
      </c>
      <c r="E3478" s="14">
        <v>1.0</v>
      </c>
      <c r="F3478" s="14" t="s">
        <v>16</v>
      </c>
      <c r="G3478" s="3" t="s">
        <v>26</v>
      </c>
      <c r="H3478" s="14">
        <v>8.5</v>
      </c>
      <c r="I3478" s="14">
        <v>7.83</v>
      </c>
      <c r="J3478" s="3">
        <f t="shared" si="47"/>
        <v>16.33</v>
      </c>
    </row>
    <row r="3479" ht="15.75" customHeight="1">
      <c r="A3479" s="3">
        <f t="shared" si="46"/>
        <v>3478</v>
      </c>
      <c r="B3479" s="14">
        <v>2014.0</v>
      </c>
      <c r="C3479" s="14">
        <v>11.0</v>
      </c>
      <c r="D3479" s="14">
        <v>3.0</v>
      </c>
      <c r="E3479" s="14">
        <v>1.0</v>
      </c>
      <c r="F3479" s="14" t="s">
        <v>16</v>
      </c>
      <c r="G3479" s="3" t="s">
        <v>29</v>
      </c>
      <c r="H3479" s="14">
        <v>6.83</v>
      </c>
      <c r="I3479" s="14">
        <v>5.33</v>
      </c>
      <c r="J3479" s="3">
        <f t="shared" si="47"/>
        <v>12.16</v>
      </c>
    </row>
    <row r="3480" ht="15.75" customHeight="1">
      <c r="A3480" s="3">
        <f t="shared" si="46"/>
        <v>3479</v>
      </c>
      <c r="B3480" s="14">
        <v>2014.0</v>
      </c>
      <c r="C3480" s="14">
        <v>11.0</v>
      </c>
      <c r="D3480" s="14">
        <v>3.0</v>
      </c>
      <c r="E3480" s="14">
        <v>2.0</v>
      </c>
      <c r="F3480" s="14" t="s">
        <v>16</v>
      </c>
      <c r="G3480" s="3" t="s">
        <v>57</v>
      </c>
      <c r="H3480" s="14">
        <v>8.0</v>
      </c>
      <c r="I3480" s="14">
        <v>4.2</v>
      </c>
      <c r="J3480" s="3">
        <f t="shared" si="47"/>
        <v>12.2</v>
      </c>
    </row>
    <row r="3481" ht="15.75" customHeight="1">
      <c r="A3481" s="3">
        <f t="shared" si="46"/>
        <v>3480</v>
      </c>
      <c r="B3481" s="14">
        <v>2014.0</v>
      </c>
      <c r="C3481" s="14">
        <v>11.0</v>
      </c>
      <c r="D3481" s="14">
        <v>3.0</v>
      </c>
      <c r="E3481" s="14">
        <v>2.0</v>
      </c>
      <c r="F3481" s="14" t="s">
        <v>16</v>
      </c>
      <c r="G3481" s="3" t="s">
        <v>123</v>
      </c>
      <c r="H3481" s="14">
        <v>6.0</v>
      </c>
      <c r="I3481" s="14">
        <v>5.17</v>
      </c>
      <c r="J3481" s="3">
        <f t="shared" si="47"/>
        <v>11.17</v>
      </c>
    </row>
    <row r="3482" ht="15.75" customHeight="1">
      <c r="A3482" s="3">
        <f t="shared" si="46"/>
        <v>3481</v>
      </c>
      <c r="B3482" s="14">
        <v>2014.0</v>
      </c>
      <c r="C3482" s="14">
        <v>11.0</v>
      </c>
      <c r="D3482" s="14">
        <v>3.0</v>
      </c>
      <c r="E3482" s="14">
        <v>3.0</v>
      </c>
      <c r="F3482" s="14" t="s">
        <v>16</v>
      </c>
      <c r="G3482" s="3" t="s">
        <v>27</v>
      </c>
      <c r="H3482" s="14">
        <v>5.5</v>
      </c>
      <c r="I3482" s="14">
        <v>4.17</v>
      </c>
      <c r="J3482" s="3">
        <f t="shared" si="47"/>
        <v>9.67</v>
      </c>
    </row>
    <row r="3483" ht="15.75" customHeight="1">
      <c r="A3483" s="3">
        <f t="shared" si="46"/>
        <v>3482</v>
      </c>
      <c r="B3483" s="14">
        <v>2014.0</v>
      </c>
      <c r="C3483" s="14">
        <v>11.0</v>
      </c>
      <c r="D3483" s="14">
        <v>3.0</v>
      </c>
      <c r="E3483" s="14">
        <v>3.0</v>
      </c>
      <c r="F3483" s="14" t="s">
        <v>16</v>
      </c>
      <c r="G3483" s="3" t="s">
        <v>129</v>
      </c>
      <c r="H3483" s="14">
        <v>4.67</v>
      </c>
      <c r="I3483" s="14">
        <v>2.33</v>
      </c>
      <c r="J3483" s="3">
        <f t="shared" si="47"/>
        <v>7</v>
      </c>
    </row>
    <row r="3484" ht="15.75" customHeight="1">
      <c r="A3484" s="3">
        <f t="shared" si="46"/>
        <v>3483</v>
      </c>
      <c r="B3484" s="14">
        <v>2014.0</v>
      </c>
      <c r="C3484" s="14">
        <v>11.0</v>
      </c>
      <c r="D3484" s="14">
        <v>3.0</v>
      </c>
      <c r="E3484" s="14">
        <v>4.0</v>
      </c>
      <c r="F3484" s="14" t="s">
        <v>16</v>
      </c>
      <c r="G3484" s="3" t="s">
        <v>45</v>
      </c>
      <c r="H3484" s="14">
        <v>5.83</v>
      </c>
      <c r="I3484" s="14">
        <v>4.67</v>
      </c>
      <c r="J3484" s="3">
        <f t="shared" si="47"/>
        <v>10.5</v>
      </c>
    </row>
    <row r="3485" ht="15.75" customHeight="1">
      <c r="A3485" s="3">
        <f t="shared" si="46"/>
        <v>3484</v>
      </c>
      <c r="B3485" s="14">
        <v>2014.0</v>
      </c>
      <c r="C3485" s="14">
        <v>11.0</v>
      </c>
      <c r="D3485" s="14">
        <v>3.0</v>
      </c>
      <c r="E3485" s="14">
        <v>4.0</v>
      </c>
      <c r="F3485" s="14" t="s">
        <v>16</v>
      </c>
      <c r="G3485" s="3" t="s">
        <v>35</v>
      </c>
      <c r="H3485" s="14">
        <v>5.17</v>
      </c>
      <c r="I3485" s="14">
        <v>2.7</v>
      </c>
      <c r="J3485" s="3">
        <f t="shared" si="47"/>
        <v>7.87</v>
      </c>
    </row>
    <row r="3486" ht="15.75" customHeight="1">
      <c r="A3486" s="3">
        <f t="shared" si="46"/>
        <v>3485</v>
      </c>
      <c r="B3486" s="14">
        <v>2014.0</v>
      </c>
      <c r="C3486" s="14">
        <v>11.0</v>
      </c>
      <c r="D3486" s="14">
        <v>3.0</v>
      </c>
      <c r="E3486" s="14">
        <v>5.0</v>
      </c>
      <c r="F3486" s="14" t="s">
        <v>16</v>
      </c>
      <c r="G3486" s="3" t="s">
        <v>55</v>
      </c>
      <c r="H3486" s="14">
        <v>3.17</v>
      </c>
      <c r="I3486" s="14">
        <v>2.0</v>
      </c>
      <c r="J3486" s="3">
        <f t="shared" si="47"/>
        <v>5.17</v>
      </c>
    </row>
    <row r="3487" ht="15.75" customHeight="1">
      <c r="A3487" s="3">
        <f t="shared" si="46"/>
        <v>3486</v>
      </c>
      <c r="B3487" s="14">
        <v>2014.0</v>
      </c>
      <c r="C3487" s="14">
        <v>11.0</v>
      </c>
      <c r="D3487" s="14">
        <v>3.0</v>
      </c>
      <c r="E3487" s="14">
        <v>5.0</v>
      </c>
      <c r="F3487" s="14" t="s">
        <v>16</v>
      </c>
      <c r="G3487" s="3" t="s">
        <v>33</v>
      </c>
      <c r="H3487" s="14">
        <v>6.67</v>
      </c>
      <c r="I3487" s="14">
        <v>5.5</v>
      </c>
      <c r="J3487" s="3">
        <f t="shared" si="47"/>
        <v>12.17</v>
      </c>
    </row>
    <row r="3488" ht="15.75" customHeight="1">
      <c r="A3488" s="3">
        <f t="shared" si="46"/>
        <v>3487</v>
      </c>
      <c r="B3488" s="14">
        <v>2014.0</v>
      </c>
      <c r="C3488" s="14">
        <v>11.0</v>
      </c>
      <c r="D3488" s="14">
        <v>3.0</v>
      </c>
      <c r="E3488" s="14">
        <v>6.0</v>
      </c>
      <c r="F3488" s="14" t="s">
        <v>16</v>
      </c>
      <c r="G3488" s="3" t="s">
        <v>30</v>
      </c>
      <c r="H3488" s="14">
        <v>8.83</v>
      </c>
      <c r="I3488" s="14">
        <v>8.83</v>
      </c>
      <c r="J3488" s="3">
        <f t="shared" si="47"/>
        <v>17.66</v>
      </c>
    </row>
    <row r="3489" ht="15.75" customHeight="1">
      <c r="A3489" s="3">
        <f t="shared" si="46"/>
        <v>3488</v>
      </c>
      <c r="B3489" s="14">
        <v>2014.0</v>
      </c>
      <c r="C3489" s="14">
        <v>11.0</v>
      </c>
      <c r="D3489" s="14">
        <v>3.0</v>
      </c>
      <c r="E3489" s="14">
        <v>6.0</v>
      </c>
      <c r="F3489" s="14" t="s">
        <v>16</v>
      </c>
      <c r="G3489" s="3" t="s">
        <v>70</v>
      </c>
      <c r="H3489" s="14">
        <v>7.17</v>
      </c>
      <c r="I3489" s="14">
        <v>4.67</v>
      </c>
      <c r="J3489" s="3">
        <f t="shared" si="47"/>
        <v>11.84</v>
      </c>
    </row>
    <row r="3490" ht="15.75" customHeight="1">
      <c r="A3490" s="3">
        <f t="shared" si="46"/>
        <v>3489</v>
      </c>
      <c r="B3490" s="14">
        <v>2014.0</v>
      </c>
      <c r="C3490" s="14">
        <v>11.0</v>
      </c>
      <c r="D3490" s="14">
        <v>3.0</v>
      </c>
      <c r="E3490" s="14">
        <v>7.0</v>
      </c>
      <c r="F3490" s="14" t="s">
        <v>16</v>
      </c>
      <c r="G3490" s="3" t="s">
        <v>32</v>
      </c>
      <c r="H3490" s="14">
        <v>1.03</v>
      </c>
      <c r="I3490" s="14">
        <v>0.37</v>
      </c>
      <c r="J3490" s="3">
        <f t="shared" si="47"/>
        <v>1.4</v>
      </c>
    </row>
    <row r="3491" ht="15.75" customHeight="1">
      <c r="A3491" s="3">
        <f t="shared" si="46"/>
        <v>3490</v>
      </c>
      <c r="B3491" s="14">
        <v>2014.0</v>
      </c>
      <c r="C3491" s="14">
        <v>11.0</v>
      </c>
      <c r="D3491" s="14">
        <v>3.0</v>
      </c>
      <c r="E3491" s="14">
        <v>7.0</v>
      </c>
      <c r="F3491" s="14" t="s">
        <v>16</v>
      </c>
      <c r="G3491" s="3" t="s">
        <v>31</v>
      </c>
      <c r="H3491" s="14">
        <v>6.67</v>
      </c>
      <c r="I3491" s="14">
        <v>2.73</v>
      </c>
      <c r="J3491" s="3">
        <f t="shared" si="47"/>
        <v>9.4</v>
      </c>
    </row>
    <row r="3492" ht="15.75" customHeight="1">
      <c r="A3492" s="3">
        <f t="shared" si="46"/>
        <v>3491</v>
      </c>
      <c r="B3492" s="14">
        <v>2014.0</v>
      </c>
      <c r="C3492" s="14">
        <v>11.0</v>
      </c>
      <c r="D3492" s="14">
        <v>3.0</v>
      </c>
      <c r="E3492" s="14">
        <v>8.0</v>
      </c>
      <c r="F3492" s="14" t="s">
        <v>16</v>
      </c>
      <c r="G3492" s="3" t="s">
        <v>59</v>
      </c>
      <c r="H3492" s="14">
        <v>1.33</v>
      </c>
      <c r="I3492" s="14">
        <v>0.0</v>
      </c>
      <c r="J3492" s="3">
        <f t="shared" si="47"/>
        <v>1.33</v>
      </c>
    </row>
    <row r="3493" ht="15.75" customHeight="1">
      <c r="A3493" s="3">
        <f t="shared" si="46"/>
        <v>3492</v>
      </c>
      <c r="B3493" s="14">
        <v>2014.0</v>
      </c>
      <c r="C3493" s="14">
        <v>11.0</v>
      </c>
      <c r="D3493" s="14">
        <v>3.0</v>
      </c>
      <c r="E3493" s="14">
        <v>8.0</v>
      </c>
      <c r="F3493" s="14" t="s">
        <v>16</v>
      </c>
      <c r="G3493" s="3" t="s">
        <v>47</v>
      </c>
      <c r="H3493" s="14">
        <v>7.7</v>
      </c>
      <c r="I3493" s="14">
        <v>3.83</v>
      </c>
      <c r="J3493" s="3">
        <f t="shared" si="47"/>
        <v>11.53</v>
      </c>
    </row>
    <row r="3494" ht="15.75" customHeight="1">
      <c r="A3494" s="3">
        <f t="shared" si="46"/>
        <v>3493</v>
      </c>
      <c r="B3494" s="14">
        <v>2014.0</v>
      </c>
      <c r="C3494" s="14">
        <v>11.0</v>
      </c>
      <c r="D3494" s="14">
        <v>3.0</v>
      </c>
      <c r="E3494" s="14">
        <v>9.0</v>
      </c>
      <c r="F3494" s="14" t="s">
        <v>16</v>
      </c>
      <c r="G3494" s="3" t="s">
        <v>41</v>
      </c>
      <c r="H3494" s="14">
        <v>8.17</v>
      </c>
      <c r="I3494" s="14">
        <v>2.67</v>
      </c>
      <c r="J3494" s="3">
        <f t="shared" si="47"/>
        <v>10.84</v>
      </c>
    </row>
    <row r="3495" ht="15.75" customHeight="1">
      <c r="A3495" s="3">
        <f t="shared" si="46"/>
        <v>3494</v>
      </c>
      <c r="B3495" s="14">
        <v>2014.0</v>
      </c>
      <c r="C3495" s="14">
        <v>11.0</v>
      </c>
      <c r="D3495" s="14">
        <v>3.0</v>
      </c>
      <c r="E3495" s="14">
        <v>9.0</v>
      </c>
      <c r="F3495" s="14" t="s">
        <v>16</v>
      </c>
      <c r="G3495" s="3" t="s">
        <v>50</v>
      </c>
      <c r="H3495" s="14">
        <v>4.0</v>
      </c>
      <c r="I3495" s="14">
        <v>3.67</v>
      </c>
      <c r="J3495" s="3">
        <f t="shared" si="47"/>
        <v>7.67</v>
      </c>
    </row>
    <row r="3496" ht="15.75" customHeight="1">
      <c r="A3496" s="3">
        <f t="shared" si="46"/>
        <v>3495</v>
      </c>
      <c r="B3496" s="14">
        <v>2014.0</v>
      </c>
      <c r="C3496" s="14">
        <v>11.0</v>
      </c>
      <c r="D3496" s="14">
        <v>3.0</v>
      </c>
      <c r="E3496" s="14">
        <v>10.0</v>
      </c>
      <c r="F3496" s="14" t="s">
        <v>16</v>
      </c>
      <c r="G3496" s="3" t="s">
        <v>39</v>
      </c>
      <c r="H3496" s="14">
        <v>3.93</v>
      </c>
      <c r="I3496" s="14">
        <v>2.83</v>
      </c>
      <c r="J3496" s="3">
        <f t="shared" si="47"/>
        <v>6.76</v>
      </c>
    </row>
    <row r="3497" ht="15.75" customHeight="1">
      <c r="A3497" s="3">
        <f t="shared" si="46"/>
        <v>3496</v>
      </c>
      <c r="B3497" s="14">
        <v>2014.0</v>
      </c>
      <c r="C3497" s="14">
        <v>11.0</v>
      </c>
      <c r="D3497" s="14">
        <v>3.0</v>
      </c>
      <c r="E3497" s="14">
        <v>10.0</v>
      </c>
      <c r="F3497" s="14" t="s">
        <v>16</v>
      </c>
      <c r="G3497" s="3" t="s">
        <v>38</v>
      </c>
      <c r="H3497" s="14">
        <v>4.83</v>
      </c>
      <c r="I3497" s="14">
        <v>4.1</v>
      </c>
      <c r="J3497" s="3">
        <f t="shared" si="47"/>
        <v>8.93</v>
      </c>
    </row>
    <row r="3498" ht="15.75" customHeight="1">
      <c r="A3498" s="3">
        <f t="shared" si="46"/>
        <v>3497</v>
      </c>
      <c r="B3498" s="14">
        <v>2014.0</v>
      </c>
      <c r="C3498" s="14">
        <v>11.0</v>
      </c>
      <c r="D3498" s="14">
        <v>3.0</v>
      </c>
      <c r="E3498" s="14">
        <v>11.0</v>
      </c>
      <c r="F3498" s="14" t="s">
        <v>16</v>
      </c>
      <c r="G3498" s="3" t="s">
        <v>56</v>
      </c>
      <c r="H3498" s="14">
        <v>7.67</v>
      </c>
      <c r="I3498" s="14">
        <v>1.77</v>
      </c>
      <c r="J3498" s="3">
        <f t="shared" si="47"/>
        <v>9.44</v>
      </c>
    </row>
    <row r="3499" ht="15.75" customHeight="1">
      <c r="A3499" s="3">
        <f t="shared" si="46"/>
        <v>3498</v>
      </c>
      <c r="B3499" s="14">
        <v>2014.0</v>
      </c>
      <c r="C3499" s="14">
        <v>11.0</v>
      </c>
      <c r="D3499" s="14">
        <v>3.0</v>
      </c>
      <c r="E3499" s="14">
        <v>11.0</v>
      </c>
      <c r="F3499" s="14" t="s">
        <v>16</v>
      </c>
      <c r="G3499" s="3" t="s">
        <v>60</v>
      </c>
      <c r="H3499" s="14">
        <v>6.5</v>
      </c>
      <c r="I3499" s="14">
        <v>4.17</v>
      </c>
      <c r="J3499" s="3">
        <f t="shared" si="47"/>
        <v>10.67</v>
      </c>
    </row>
    <row r="3500" ht="15.75" customHeight="1">
      <c r="A3500" s="3">
        <f t="shared" si="46"/>
        <v>3499</v>
      </c>
      <c r="B3500" s="14">
        <v>2014.0</v>
      </c>
      <c r="C3500" s="14">
        <v>11.0</v>
      </c>
      <c r="D3500" s="14">
        <v>3.0</v>
      </c>
      <c r="E3500" s="14">
        <v>12.0</v>
      </c>
      <c r="F3500" s="14" t="s">
        <v>16</v>
      </c>
      <c r="G3500" s="3" t="s">
        <v>37</v>
      </c>
      <c r="H3500" s="14">
        <v>8.6</v>
      </c>
      <c r="I3500" s="14">
        <v>4.5</v>
      </c>
      <c r="J3500" s="3">
        <f t="shared" si="47"/>
        <v>13.1</v>
      </c>
    </row>
    <row r="3501" ht="15.75" customHeight="1">
      <c r="A3501" s="3">
        <f t="shared" si="46"/>
        <v>3500</v>
      </c>
      <c r="B3501" s="14">
        <v>2014.0</v>
      </c>
      <c r="C3501" s="14">
        <v>11.0</v>
      </c>
      <c r="D3501" s="14">
        <v>3.0</v>
      </c>
      <c r="E3501" s="14">
        <v>12.0</v>
      </c>
      <c r="F3501" s="14" t="s">
        <v>16</v>
      </c>
      <c r="G3501" s="3" t="s">
        <v>76</v>
      </c>
      <c r="H3501" s="14">
        <v>9.5</v>
      </c>
      <c r="I3501" s="14">
        <v>6.0</v>
      </c>
      <c r="J3501" s="3">
        <f t="shared" si="47"/>
        <v>15.5</v>
      </c>
    </row>
    <row r="3502" ht="15.75" customHeight="1">
      <c r="A3502" s="3">
        <f t="shared" si="46"/>
        <v>3501</v>
      </c>
      <c r="B3502" s="14">
        <v>2014.0</v>
      </c>
      <c r="C3502" s="14">
        <v>11.0</v>
      </c>
      <c r="D3502" s="14">
        <v>4.0</v>
      </c>
      <c r="E3502" s="14">
        <v>1.0</v>
      </c>
      <c r="F3502" s="14" t="s">
        <v>16</v>
      </c>
      <c r="G3502" s="3" t="s">
        <v>26</v>
      </c>
      <c r="H3502" s="14">
        <v>5.67</v>
      </c>
      <c r="I3502" s="14">
        <v>1.07</v>
      </c>
      <c r="J3502" s="3">
        <f t="shared" si="47"/>
        <v>6.74</v>
      </c>
    </row>
    <row r="3503" ht="15.75" customHeight="1">
      <c r="A3503" s="3">
        <f t="shared" si="46"/>
        <v>3502</v>
      </c>
      <c r="B3503" s="14">
        <v>2014.0</v>
      </c>
      <c r="C3503" s="14">
        <v>11.0</v>
      </c>
      <c r="D3503" s="14">
        <v>4.0</v>
      </c>
      <c r="E3503" s="14">
        <v>1.0</v>
      </c>
      <c r="F3503" s="14" t="s">
        <v>16</v>
      </c>
      <c r="G3503" s="3" t="s">
        <v>57</v>
      </c>
      <c r="H3503" s="14">
        <v>3.33</v>
      </c>
      <c r="I3503" s="14">
        <v>2.6</v>
      </c>
      <c r="J3503" s="3">
        <f t="shared" si="47"/>
        <v>5.93</v>
      </c>
    </row>
    <row r="3504" ht="15.75" customHeight="1">
      <c r="A3504" s="3">
        <f t="shared" si="46"/>
        <v>3503</v>
      </c>
      <c r="B3504" s="14">
        <v>2014.0</v>
      </c>
      <c r="C3504" s="14">
        <v>11.0</v>
      </c>
      <c r="D3504" s="14">
        <v>4.0</v>
      </c>
      <c r="E3504" s="14">
        <v>1.0</v>
      </c>
      <c r="F3504" s="14" t="s">
        <v>16</v>
      </c>
      <c r="G3504" s="3" t="s">
        <v>27</v>
      </c>
      <c r="H3504" s="14">
        <v>4.0</v>
      </c>
      <c r="I3504" s="3">
        <v>2.4</v>
      </c>
      <c r="J3504" s="3">
        <f t="shared" si="47"/>
        <v>6.4</v>
      </c>
    </row>
    <row r="3505" ht="15.75" customHeight="1">
      <c r="A3505" s="3">
        <f t="shared" si="46"/>
        <v>3504</v>
      </c>
      <c r="B3505" s="14">
        <v>2014.0</v>
      </c>
      <c r="C3505" s="14">
        <v>11.0</v>
      </c>
      <c r="D3505" s="14">
        <v>4.0</v>
      </c>
      <c r="E3505" s="14">
        <v>2.0</v>
      </c>
      <c r="F3505" s="14" t="s">
        <v>16</v>
      </c>
      <c r="G3505" s="3" t="s">
        <v>45</v>
      </c>
      <c r="H3505" s="14">
        <v>2.67</v>
      </c>
      <c r="I3505" s="14">
        <v>2.3</v>
      </c>
      <c r="J3505" s="3">
        <f t="shared" si="47"/>
        <v>4.97</v>
      </c>
    </row>
    <row r="3506" ht="15.75" customHeight="1">
      <c r="A3506" s="3">
        <f t="shared" si="46"/>
        <v>3505</v>
      </c>
      <c r="B3506" s="14">
        <v>2014.0</v>
      </c>
      <c r="C3506" s="14">
        <v>11.0</v>
      </c>
      <c r="D3506" s="14">
        <v>4.0</v>
      </c>
      <c r="E3506" s="14">
        <v>2.0</v>
      </c>
      <c r="F3506" s="14" t="s">
        <v>16</v>
      </c>
      <c r="G3506" s="3" t="s">
        <v>33</v>
      </c>
      <c r="H3506" s="14">
        <v>9.23</v>
      </c>
      <c r="I3506" s="14">
        <v>6.0</v>
      </c>
      <c r="J3506" s="3">
        <f t="shared" si="47"/>
        <v>15.23</v>
      </c>
    </row>
    <row r="3507" ht="15.75" customHeight="1">
      <c r="A3507" s="3">
        <f t="shared" si="46"/>
        <v>3506</v>
      </c>
      <c r="B3507" s="14">
        <v>2014.0</v>
      </c>
      <c r="C3507" s="14">
        <v>11.0</v>
      </c>
      <c r="D3507" s="14">
        <v>4.0</v>
      </c>
      <c r="E3507" s="14">
        <v>2.0</v>
      </c>
      <c r="F3507" s="14" t="s">
        <v>16</v>
      </c>
      <c r="G3507" s="3" t="s">
        <v>30</v>
      </c>
      <c r="H3507" s="14">
        <v>8.67</v>
      </c>
      <c r="I3507" s="14">
        <v>7.0</v>
      </c>
      <c r="J3507" s="3">
        <f t="shared" si="47"/>
        <v>15.67</v>
      </c>
    </row>
    <row r="3508" ht="15.75" customHeight="1">
      <c r="A3508" s="3">
        <f t="shared" si="46"/>
        <v>3507</v>
      </c>
      <c r="B3508" s="14">
        <v>2014.0</v>
      </c>
      <c r="C3508" s="14">
        <v>11.0</v>
      </c>
      <c r="D3508" s="14">
        <v>4.0</v>
      </c>
      <c r="E3508" s="14">
        <v>3.0</v>
      </c>
      <c r="F3508" s="14" t="s">
        <v>16</v>
      </c>
      <c r="G3508" s="3" t="s">
        <v>31</v>
      </c>
      <c r="H3508" s="14">
        <v>4.6</v>
      </c>
      <c r="I3508" s="14">
        <v>1.83</v>
      </c>
      <c r="J3508" s="3">
        <f t="shared" si="47"/>
        <v>6.43</v>
      </c>
    </row>
    <row r="3509" ht="15.75" customHeight="1">
      <c r="A3509" s="3">
        <f t="shared" si="46"/>
        <v>3508</v>
      </c>
      <c r="B3509" s="14">
        <v>2014.0</v>
      </c>
      <c r="C3509" s="14">
        <v>11.0</v>
      </c>
      <c r="D3509" s="14">
        <v>4.0</v>
      </c>
      <c r="E3509" s="14">
        <v>3.0</v>
      </c>
      <c r="F3509" s="14" t="s">
        <v>16</v>
      </c>
      <c r="G3509" s="3" t="s">
        <v>47</v>
      </c>
      <c r="H3509" s="14">
        <v>4.03</v>
      </c>
      <c r="I3509" s="14">
        <v>2.83</v>
      </c>
      <c r="J3509" s="3">
        <f t="shared" si="47"/>
        <v>6.86</v>
      </c>
    </row>
    <row r="3510" ht="15.75" customHeight="1">
      <c r="A3510" s="3">
        <f t="shared" si="46"/>
        <v>3509</v>
      </c>
      <c r="B3510" s="14">
        <v>2014.0</v>
      </c>
      <c r="C3510" s="14">
        <v>11.0</v>
      </c>
      <c r="D3510" s="14">
        <v>4.0</v>
      </c>
      <c r="E3510" s="14">
        <v>3.0</v>
      </c>
      <c r="F3510" s="14" t="s">
        <v>16</v>
      </c>
      <c r="G3510" s="3" t="s">
        <v>41</v>
      </c>
      <c r="H3510" s="14">
        <v>5.17</v>
      </c>
      <c r="I3510" s="14">
        <v>1.3</v>
      </c>
      <c r="J3510" s="3">
        <f t="shared" si="47"/>
        <v>6.47</v>
      </c>
    </row>
    <row r="3511" ht="15.75" customHeight="1">
      <c r="A3511" s="3">
        <f t="shared" si="46"/>
        <v>3510</v>
      </c>
      <c r="B3511" s="14">
        <v>2014.0</v>
      </c>
      <c r="C3511" s="14">
        <v>11.0</v>
      </c>
      <c r="D3511" s="14">
        <v>4.0</v>
      </c>
      <c r="E3511" s="14">
        <v>4.0</v>
      </c>
      <c r="F3511" s="14" t="s">
        <v>16</v>
      </c>
      <c r="G3511" s="3" t="s">
        <v>60</v>
      </c>
      <c r="H3511" s="14">
        <v>4.23</v>
      </c>
      <c r="I3511" s="14">
        <v>2.83</v>
      </c>
      <c r="J3511" s="3">
        <f t="shared" si="47"/>
        <v>7.06</v>
      </c>
    </row>
    <row r="3512" ht="15.75" customHeight="1">
      <c r="A3512" s="3">
        <f t="shared" si="46"/>
        <v>3511</v>
      </c>
      <c r="B3512" s="14">
        <v>2014.0</v>
      </c>
      <c r="C3512" s="14">
        <v>11.0</v>
      </c>
      <c r="D3512" s="14">
        <v>4.0</v>
      </c>
      <c r="E3512" s="14">
        <v>4.0</v>
      </c>
      <c r="F3512" s="14" t="s">
        <v>16</v>
      </c>
      <c r="G3512" s="3" t="s">
        <v>38</v>
      </c>
      <c r="H3512" s="14">
        <v>4.17</v>
      </c>
      <c r="I3512" s="14">
        <v>0.37</v>
      </c>
      <c r="J3512" s="3">
        <f t="shared" si="47"/>
        <v>4.54</v>
      </c>
    </row>
    <row r="3513" ht="15.75" customHeight="1">
      <c r="A3513" s="3">
        <f t="shared" si="46"/>
        <v>3512</v>
      </c>
      <c r="B3513" s="14">
        <v>2014.0</v>
      </c>
      <c r="C3513" s="14">
        <v>11.0</v>
      </c>
      <c r="D3513" s="14">
        <v>4.0</v>
      </c>
      <c r="E3513" s="14">
        <v>4.0</v>
      </c>
      <c r="F3513" s="14" t="s">
        <v>16</v>
      </c>
      <c r="G3513" s="3" t="s">
        <v>76</v>
      </c>
      <c r="H3513" s="14">
        <v>0.77</v>
      </c>
      <c r="I3513" s="14">
        <v>0.5</v>
      </c>
      <c r="J3513" s="3">
        <f t="shared" si="47"/>
        <v>1.27</v>
      </c>
    </row>
    <row r="3514" ht="15.75" customHeight="1">
      <c r="A3514" s="3">
        <f t="shared" si="46"/>
        <v>3513</v>
      </c>
      <c r="B3514" s="14">
        <v>2014.0</v>
      </c>
      <c r="C3514" s="14">
        <v>11.0</v>
      </c>
      <c r="D3514" s="14">
        <v>5.0</v>
      </c>
      <c r="E3514" s="14">
        <v>1.0</v>
      </c>
      <c r="F3514" s="14" t="s">
        <v>16</v>
      </c>
      <c r="G3514" s="3" t="s">
        <v>33</v>
      </c>
      <c r="H3514" s="14">
        <v>7.83</v>
      </c>
      <c r="I3514" s="14">
        <v>6.83</v>
      </c>
      <c r="J3514" s="3">
        <f t="shared" si="47"/>
        <v>14.66</v>
      </c>
    </row>
    <row r="3515" ht="15.75" customHeight="1">
      <c r="A3515" s="3">
        <f t="shared" si="46"/>
        <v>3514</v>
      </c>
      <c r="B3515" s="14">
        <v>2014.0</v>
      </c>
      <c r="C3515" s="14">
        <v>11.0</v>
      </c>
      <c r="D3515" s="14">
        <v>5.0</v>
      </c>
      <c r="E3515" s="14">
        <v>1.0</v>
      </c>
      <c r="F3515" s="14" t="s">
        <v>16</v>
      </c>
      <c r="G3515" s="3" t="s">
        <v>57</v>
      </c>
      <c r="H3515" s="14">
        <v>2.67</v>
      </c>
      <c r="I3515" s="14">
        <v>1.17</v>
      </c>
      <c r="J3515" s="3">
        <f t="shared" si="47"/>
        <v>3.84</v>
      </c>
    </row>
    <row r="3516" ht="15.75" customHeight="1">
      <c r="A3516" s="3">
        <f t="shared" si="46"/>
        <v>3515</v>
      </c>
      <c r="B3516" s="14">
        <v>2014.0</v>
      </c>
      <c r="C3516" s="14">
        <v>11.0</v>
      </c>
      <c r="D3516" s="14">
        <v>5.0</v>
      </c>
      <c r="E3516" s="14">
        <v>2.0</v>
      </c>
      <c r="F3516" s="14" t="s">
        <v>16</v>
      </c>
      <c r="G3516" s="3" t="s">
        <v>27</v>
      </c>
      <c r="H3516" s="14">
        <v>6.67</v>
      </c>
      <c r="I3516" s="14">
        <v>4.17</v>
      </c>
      <c r="J3516" s="3">
        <f t="shared" si="47"/>
        <v>10.84</v>
      </c>
    </row>
    <row r="3517" ht="15.75" customHeight="1">
      <c r="A3517" s="3">
        <f t="shared" si="46"/>
        <v>3516</v>
      </c>
      <c r="B3517" s="14">
        <v>2014.0</v>
      </c>
      <c r="C3517" s="14">
        <v>11.0</v>
      </c>
      <c r="D3517" s="14">
        <v>5.0</v>
      </c>
      <c r="E3517" s="14">
        <v>2.0</v>
      </c>
      <c r="F3517" s="14" t="s">
        <v>16</v>
      </c>
      <c r="G3517" s="3" t="s">
        <v>45</v>
      </c>
      <c r="H3517" s="14">
        <v>8.5</v>
      </c>
      <c r="I3517" s="14">
        <v>5.5</v>
      </c>
      <c r="J3517" s="3">
        <f t="shared" si="47"/>
        <v>14</v>
      </c>
    </row>
    <row r="3518" ht="15.75" customHeight="1">
      <c r="A3518" s="3">
        <f t="shared" si="46"/>
        <v>3517</v>
      </c>
      <c r="B3518" s="14">
        <v>2014.0</v>
      </c>
      <c r="C3518" s="14">
        <v>11.0</v>
      </c>
      <c r="D3518" s="14">
        <v>5.0</v>
      </c>
      <c r="E3518" s="14">
        <v>3.0</v>
      </c>
      <c r="F3518" s="14" t="s">
        <v>16</v>
      </c>
      <c r="G3518" s="3" t="s">
        <v>41</v>
      </c>
      <c r="H3518" s="14">
        <v>1.57</v>
      </c>
      <c r="I3518" s="14">
        <v>1.27</v>
      </c>
      <c r="J3518" s="3">
        <f t="shared" si="47"/>
        <v>2.84</v>
      </c>
    </row>
    <row r="3519" ht="15.75" customHeight="1">
      <c r="A3519" s="3">
        <f t="shared" si="46"/>
        <v>3518</v>
      </c>
      <c r="B3519" s="14">
        <v>2014.0</v>
      </c>
      <c r="C3519" s="14">
        <v>11.0</v>
      </c>
      <c r="D3519" s="14">
        <v>5.0</v>
      </c>
      <c r="E3519" s="14">
        <v>3.0</v>
      </c>
      <c r="F3519" s="14" t="s">
        <v>16</v>
      </c>
      <c r="G3519" s="3" t="s">
        <v>76</v>
      </c>
      <c r="H3519" s="14">
        <v>5.5</v>
      </c>
      <c r="I3519" s="14">
        <v>1.03</v>
      </c>
      <c r="J3519" s="3">
        <f t="shared" si="47"/>
        <v>6.53</v>
      </c>
    </row>
    <row r="3520" ht="15.75" customHeight="1">
      <c r="A3520" s="3">
        <f t="shared" si="46"/>
        <v>3519</v>
      </c>
      <c r="B3520" s="14">
        <v>2014.0</v>
      </c>
      <c r="C3520" s="14">
        <v>11.0</v>
      </c>
      <c r="D3520" s="14">
        <v>5.0</v>
      </c>
      <c r="E3520" s="14">
        <v>4.0</v>
      </c>
      <c r="F3520" s="14" t="s">
        <v>16</v>
      </c>
      <c r="G3520" s="3" t="s">
        <v>38</v>
      </c>
      <c r="H3520" s="14">
        <v>7.17</v>
      </c>
      <c r="I3520" s="14">
        <v>3.17</v>
      </c>
      <c r="J3520" s="3">
        <f t="shared" si="47"/>
        <v>10.34</v>
      </c>
    </row>
    <row r="3521" ht="15.75" customHeight="1">
      <c r="A3521" s="3">
        <f t="shared" si="46"/>
        <v>3520</v>
      </c>
      <c r="B3521" s="14">
        <v>2014.0</v>
      </c>
      <c r="C3521" s="14">
        <v>11.0</v>
      </c>
      <c r="D3521" s="14">
        <v>5.0</v>
      </c>
      <c r="E3521" s="14">
        <v>4.0</v>
      </c>
      <c r="F3521" s="14" t="s">
        <v>16</v>
      </c>
      <c r="G3521" s="3" t="s">
        <v>31</v>
      </c>
      <c r="H3521" s="14">
        <v>9.63</v>
      </c>
      <c r="I3521" s="14">
        <v>7.83</v>
      </c>
      <c r="J3521" s="3">
        <f t="shared" si="47"/>
        <v>17.46</v>
      </c>
    </row>
    <row r="3522" ht="15.75" customHeight="1">
      <c r="A3522" s="3">
        <f t="shared" si="46"/>
        <v>3521</v>
      </c>
      <c r="B3522" s="14">
        <v>2014.0</v>
      </c>
      <c r="C3522" s="14">
        <v>11.0</v>
      </c>
      <c r="D3522" s="14">
        <v>6.0</v>
      </c>
      <c r="E3522" s="14">
        <v>1.0</v>
      </c>
      <c r="F3522" s="14" t="s">
        <v>16</v>
      </c>
      <c r="G3522" s="3" t="s">
        <v>30</v>
      </c>
      <c r="H3522" s="14">
        <v>3.17</v>
      </c>
      <c r="I3522" s="14">
        <v>1.13</v>
      </c>
      <c r="J3522" s="3">
        <f t="shared" si="47"/>
        <v>4.3</v>
      </c>
    </row>
    <row r="3523" ht="15.75" customHeight="1">
      <c r="A3523" s="3">
        <f t="shared" si="46"/>
        <v>3522</v>
      </c>
      <c r="B3523" s="14">
        <v>2014.0</v>
      </c>
      <c r="C3523" s="14">
        <v>11.0</v>
      </c>
      <c r="D3523" s="14">
        <v>6.0</v>
      </c>
      <c r="E3523" s="14">
        <v>1.0</v>
      </c>
      <c r="F3523" s="14" t="s">
        <v>16</v>
      </c>
      <c r="G3523" s="3" t="s">
        <v>33</v>
      </c>
      <c r="H3523" s="14">
        <v>1.77</v>
      </c>
      <c r="I3523" s="14">
        <v>1.5</v>
      </c>
      <c r="J3523" s="3">
        <f t="shared" si="47"/>
        <v>3.27</v>
      </c>
    </row>
    <row r="3524" ht="15.75" customHeight="1">
      <c r="A3524" s="3">
        <f t="shared" si="46"/>
        <v>3523</v>
      </c>
      <c r="B3524" s="14">
        <v>2014.0</v>
      </c>
      <c r="C3524" s="14">
        <v>11.0</v>
      </c>
      <c r="D3524" s="14">
        <v>6.0</v>
      </c>
      <c r="E3524" s="14">
        <v>2.0</v>
      </c>
      <c r="F3524" s="14" t="s">
        <v>16</v>
      </c>
      <c r="G3524" s="3" t="s">
        <v>26</v>
      </c>
      <c r="H3524" s="14">
        <v>3.67</v>
      </c>
      <c r="I3524" s="14">
        <v>0.37</v>
      </c>
      <c r="J3524" s="3">
        <f t="shared" si="47"/>
        <v>4.04</v>
      </c>
    </row>
    <row r="3525" ht="15.75" customHeight="1">
      <c r="A3525" s="3">
        <f t="shared" si="46"/>
        <v>3524</v>
      </c>
      <c r="B3525" s="14">
        <v>2014.0</v>
      </c>
      <c r="C3525" s="14">
        <v>11.0</v>
      </c>
      <c r="D3525" s="14">
        <v>6.0</v>
      </c>
      <c r="E3525" s="14">
        <v>2.0</v>
      </c>
      <c r="F3525" s="14" t="s">
        <v>16</v>
      </c>
      <c r="G3525" s="3" t="s">
        <v>45</v>
      </c>
      <c r="H3525" s="14">
        <v>4.17</v>
      </c>
      <c r="I3525" s="14">
        <v>1.83</v>
      </c>
      <c r="J3525" s="3">
        <f t="shared" si="47"/>
        <v>6</v>
      </c>
    </row>
    <row r="3526" ht="15.75" customHeight="1">
      <c r="A3526" s="3">
        <f t="shared" si="46"/>
        <v>3525</v>
      </c>
      <c r="B3526" s="14">
        <v>2014.0</v>
      </c>
      <c r="C3526" s="14">
        <v>11.0</v>
      </c>
      <c r="D3526" s="14">
        <v>6.0</v>
      </c>
      <c r="E3526" s="14">
        <v>3.0</v>
      </c>
      <c r="F3526" s="14" t="s">
        <v>16</v>
      </c>
      <c r="G3526" s="3" t="s">
        <v>47</v>
      </c>
      <c r="H3526" s="14">
        <v>7.5</v>
      </c>
      <c r="I3526" s="14">
        <v>4.67</v>
      </c>
      <c r="J3526" s="3">
        <f t="shared" si="47"/>
        <v>12.17</v>
      </c>
    </row>
    <row r="3527" ht="15.75" customHeight="1">
      <c r="A3527" s="3">
        <f t="shared" si="46"/>
        <v>3526</v>
      </c>
      <c r="B3527" s="14">
        <v>2014.0</v>
      </c>
      <c r="C3527" s="14">
        <v>11.0</v>
      </c>
      <c r="D3527" s="14">
        <v>6.0</v>
      </c>
      <c r="E3527" s="14">
        <v>3.0</v>
      </c>
      <c r="F3527" s="14" t="s">
        <v>16</v>
      </c>
      <c r="G3527" s="3" t="s">
        <v>76</v>
      </c>
      <c r="H3527" s="14">
        <v>2.17</v>
      </c>
      <c r="I3527" s="14">
        <v>1.6</v>
      </c>
      <c r="J3527" s="3">
        <f t="shared" si="47"/>
        <v>3.77</v>
      </c>
    </row>
    <row r="3528" ht="15.75" customHeight="1">
      <c r="A3528" s="3">
        <f t="shared" si="46"/>
        <v>3527</v>
      </c>
      <c r="B3528" s="14">
        <v>2014.0</v>
      </c>
      <c r="C3528" s="14">
        <v>11.0</v>
      </c>
      <c r="D3528" s="14">
        <v>6.0</v>
      </c>
      <c r="E3528" s="14">
        <v>4.0</v>
      </c>
      <c r="F3528" s="14" t="s">
        <v>16</v>
      </c>
      <c r="G3528" s="3" t="s">
        <v>60</v>
      </c>
      <c r="H3528" s="14">
        <v>1.47</v>
      </c>
      <c r="I3528" s="14">
        <v>1.3</v>
      </c>
      <c r="J3528" s="3">
        <f t="shared" si="47"/>
        <v>2.77</v>
      </c>
    </row>
    <row r="3529" ht="15.75" customHeight="1">
      <c r="A3529" s="3">
        <f t="shared" si="46"/>
        <v>3528</v>
      </c>
      <c r="B3529" s="14">
        <v>2014.0</v>
      </c>
      <c r="C3529" s="14">
        <v>11.0</v>
      </c>
      <c r="D3529" s="14">
        <v>6.0</v>
      </c>
      <c r="E3529" s="14">
        <v>4.0</v>
      </c>
      <c r="F3529" s="14" t="s">
        <v>16</v>
      </c>
      <c r="G3529" s="3" t="s">
        <v>31</v>
      </c>
      <c r="H3529" s="14">
        <v>9.5</v>
      </c>
      <c r="I3529" s="14">
        <v>8.33</v>
      </c>
      <c r="J3529" s="3">
        <f t="shared" si="47"/>
        <v>17.83</v>
      </c>
    </row>
    <row r="3530" ht="15.75" customHeight="1">
      <c r="A3530" s="3">
        <f t="shared" si="46"/>
        <v>3529</v>
      </c>
      <c r="B3530" s="14">
        <v>2014.0</v>
      </c>
      <c r="C3530" s="14">
        <v>11.0</v>
      </c>
      <c r="D3530" s="14">
        <v>7.0</v>
      </c>
      <c r="E3530" s="14">
        <v>1.0</v>
      </c>
      <c r="F3530" s="14" t="s">
        <v>16</v>
      </c>
      <c r="G3530" s="3" t="s">
        <v>45</v>
      </c>
      <c r="H3530" s="14">
        <v>8.33</v>
      </c>
      <c r="I3530" s="14">
        <v>1.1</v>
      </c>
      <c r="J3530" s="3">
        <f t="shared" si="47"/>
        <v>9.43</v>
      </c>
    </row>
    <row r="3531" ht="15.75" customHeight="1">
      <c r="A3531" s="3">
        <f t="shared" si="46"/>
        <v>3530</v>
      </c>
      <c r="B3531" s="14">
        <v>2014.0</v>
      </c>
      <c r="C3531" s="14">
        <v>11.0</v>
      </c>
      <c r="D3531" s="14">
        <v>7.0</v>
      </c>
      <c r="E3531" s="14">
        <v>1.0</v>
      </c>
      <c r="F3531" s="14" t="s">
        <v>16</v>
      </c>
      <c r="G3531" s="3" t="s">
        <v>30</v>
      </c>
      <c r="H3531" s="14">
        <v>8.1</v>
      </c>
      <c r="I3531" s="14">
        <v>5.5</v>
      </c>
      <c r="J3531" s="3">
        <f t="shared" si="47"/>
        <v>13.6</v>
      </c>
    </row>
    <row r="3532" ht="15.75" customHeight="1">
      <c r="A3532" s="3">
        <f t="shared" si="46"/>
        <v>3531</v>
      </c>
      <c r="B3532" s="14">
        <v>2014.0</v>
      </c>
      <c r="C3532" s="14">
        <v>11.0</v>
      </c>
      <c r="D3532" s="14">
        <v>7.0</v>
      </c>
      <c r="E3532" s="14">
        <v>2.0</v>
      </c>
      <c r="F3532" s="14" t="s">
        <v>16</v>
      </c>
      <c r="G3532" s="3" t="s">
        <v>47</v>
      </c>
      <c r="H3532" s="14">
        <v>1.77</v>
      </c>
      <c r="I3532" s="14">
        <v>1.4</v>
      </c>
      <c r="J3532" s="3">
        <f t="shared" si="47"/>
        <v>3.17</v>
      </c>
    </row>
    <row r="3533" ht="15.75" customHeight="1">
      <c r="A3533" s="3">
        <f t="shared" si="46"/>
        <v>3532</v>
      </c>
      <c r="B3533" s="14">
        <v>2014.0</v>
      </c>
      <c r="C3533" s="14">
        <v>11.0</v>
      </c>
      <c r="D3533" s="14">
        <v>7.0</v>
      </c>
      <c r="E3533" s="14">
        <v>2.0</v>
      </c>
      <c r="F3533" s="14" t="s">
        <v>16</v>
      </c>
      <c r="G3533" s="3" t="s">
        <v>31</v>
      </c>
      <c r="H3533" s="14">
        <v>8.33</v>
      </c>
      <c r="I3533" s="14">
        <v>4.83</v>
      </c>
      <c r="J3533" s="3">
        <f t="shared" si="47"/>
        <v>13.16</v>
      </c>
    </row>
    <row r="3534" ht="15.75" customHeight="1">
      <c r="A3534" s="3">
        <f t="shared" si="46"/>
        <v>3533</v>
      </c>
      <c r="B3534" s="14">
        <v>2014.0</v>
      </c>
      <c r="C3534" s="14">
        <v>11.0</v>
      </c>
      <c r="D3534" s="14">
        <v>8.0</v>
      </c>
      <c r="E3534" s="14">
        <v>1.0</v>
      </c>
      <c r="F3534" s="14" t="s">
        <v>16</v>
      </c>
      <c r="G3534" s="3" t="s">
        <v>30</v>
      </c>
      <c r="H3534" s="14">
        <v>10.0</v>
      </c>
      <c r="I3534" s="14">
        <v>9.2</v>
      </c>
      <c r="J3534" s="3">
        <f t="shared" si="47"/>
        <v>19.2</v>
      </c>
    </row>
    <row r="3535" ht="15.75" customHeight="1">
      <c r="A3535" s="3">
        <f t="shared" si="46"/>
        <v>3534</v>
      </c>
      <c r="B3535" s="14">
        <v>2014.0</v>
      </c>
      <c r="C3535" s="14">
        <v>11.0</v>
      </c>
      <c r="D3535" s="14">
        <v>8.0</v>
      </c>
      <c r="E3535" s="14">
        <v>1.0</v>
      </c>
      <c r="F3535" s="14" t="s">
        <v>16</v>
      </c>
      <c r="G3535" s="3" t="s">
        <v>31</v>
      </c>
      <c r="H3535" s="14">
        <v>9.93</v>
      </c>
      <c r="I3535" s="14">
        <v>9.7</v>
      </c>
      <c r="J3535" s="3">
        <f t="shared" si="47"/>
        <v>19.63</v>
      </c>
    </row>
    <row r="3536" ht="15.75" customHeight="1">
      <c r="B3536" s="15"/>
      <c r="C3536" s="16"/>
      <c r="D3536" s="16"/>
      <c r="E3536" s="16"/>
      <c r="F3536" s="17"/>
      <c r="G3536" s="18"/>
      <c r="H3536" s="16"/>
      <c r="I3536" s="16"/>
      <c r="J3536" s="19"/>
    </row>
    <row r="3537" ht="15.75" customHeight="1">
      <c r="B3537" s="20"/>
      <c r="C3537" s="21"/>
      <c r="D3537" s="21"/>
      <c r="E3537" s="21"/>
      <c r="F3537" s="22"/>
      <c r="G3537" s="22"/>
      <c r="H3537" s="21"/>
      <c r="I3537" s="21"/>
      <c r="J3537" s="23"/>
    </row>
    <row r="3538" ht="15.75" customHeight="1">
      <c r="B3538" s="15"/>
      <c r="C3538" s="16"/>
      <c r="D3538" s="16"/>
      <c r="E3538" s="16"/>
      <c r="F3538" s="17"/>
      <c r="G3538" s="17"/>
      <c r="H3538" s="16"/>
      <c r="I3538" s="16"/>
      <c r="J3538" s="19"/>
    </row>
    <row r="3539" ht="15.75" customHeight="1">
      <c r="B3539" s="20"/>
      <c r="C3539" s="21"/>
      <c r="D3539" s="21"/>
      <c r="E3539" s="21"/>
      <c r="F3539" s="22"/>
      <c r="G3539" s="24"/>
      <c r="H3539" s="21"/>
      <c r="I3539" s="21"/>
      <c r="J3539" s="23"/>
    </row>
    <row r="3540" ht="15.75" customHeight="1">
      <c r="B3540" s="15"/>
      <c r="C3540" s="16"/>
      <c r="D3540" s="16"/>
      <c r="E3540" s="16"/>
      <c r="F3540" s="17"/>
      <c r="G3540" s="17"/>
      <c r="H3540" s="25"/>
      <c r="I3540" s="16"/>
      <c r="J3540" s="26"/>
    </row>
    <row r="3541" ht="15.75" customHeight="1">
      <c r="B3541" s="20"/>
      <c r="C3541" s="21"/>
      <c r="D3541" s="21"/>
      <c r="E3541" s="21"/>
      <c r="F3541" s="22"/>
      <c r="G3541" s="24"/>
      <c r="H3541" s="21"/>
      <c r="I3541" s="21"/>
      <c r="J3541" s="23"/>
    </row>
    <row r="3542" ht="15.75" customHeight="1">
      <c r="B3542" s="15"/>
      <c r="C3542" s="16"/>
      <c r="D3542" s="16"/>
      <c r="E3542" s="16"/>
      <c r="F3542" s="17"/>
      <c r="G3542" s="24"/>
      <c r="H3542" s="16"/>
      <c r="I3542" s="16"/>
      <c r="J3542" s="19"/>
    </row>
    <row r="3543" ht="15.75" customHeight="1">
      <c r="B3543" s="20"/>
      <c r="C3543" s="21"/>
      <c r="D3543" s="21"/>
      <c r="E3543" s="21"/>
      <c r="F3543" s="22"/>
      <c r="G3543" s="22"/>
      <c r="H3543" s="21"/>
      <c r="I3543" s="21"/>
      <c r="J3543" s="23"/>
    </row>
    <row r="3544" ht="15.75" customHeight="1">
      <c r="B3544" s="15"/>
      <c r="C3544" s="16"/>
      <c r="D3544" s="16"/>
      <c r="E3544" s="16"/>
      <c r="F3544" s="17"/>
      <c r="G3544" s="24"/>
      <c r="H3544" s="16"/>
      <c r="I3544" s="16"/>
      <c r="J3544" s="19"/>
    </row>
    <row r="3545" ht="15.75" customHeight="1">
      <c r="B3545" s="20"/>
      <c r="C3545" s="21"/>
      <c r="D3545" s="21"/>
      <c r="E3545" s="21"/>
      <c r="F3545" s="22"/>
      <c r="G3545" s="22"/>
      <c r="H3545" s="21"/>
      <c r="I3545" s="21"/>
      <c r="J3545" s="23"/>
    </row>
    <row r="3546" ht="15.75" customHeight="1">
      <c r="B3546" s="15"/>
      <c r="C3546" s="16"/>
      <c r="D3546" s="16"/>
      <c r="E3546" s="16"/>
      <c r="F3546" s="17"/>
      <c r="G3546" s="24"/>
      <c r="H3546" s="16"/>
      <c r="I3546" s="16"/>
      <c r="J3546" s="19"/>
    </row>
    <row r="3547" ht="15.75" customHeight="1">
      <c r="B3547" s="20"/>
      <c r="C3547" s="21"/>
      <c r="D3547" s="21"/>
      <c r="E3547" s="21"/>
      <c r="F3547" s="22"/>
      <c r="G3547" s="22"/>
      <c r="H3547" s="21"/>
      <c r="I3547" s="21"/>
      <c r="J3547" s="23"/>
    </row>
    <row r="3548" ht="15.75" customHeight="1">
      <c r="B3548" s="15"/>
      <c r="C3548" s="16"/>
      <c r="D3548" s="16"/>
      <c r="E3548" s="16"/>
      <c r="F3548" s="17"/>
      <c r="G3548" s="24"/>
      <c r="H3548" s="16"/>
      <c r="I3548" s="16"/>
      <c r="J3548" s="19"/>
    </row>
    <row r="3549" ht="15.75" customHeight="1">
      <c r="B3549" s="20"/>
      <c r="C3549" s="21"/>
      <c r="D3549" s="21"/>
      <c r="E3549" s="21"/>
      <c r="F3549" s="22"/>
      <c r="G3549" s="22"/>
      <c r="H3549" s="21"/>
      <c r="I3549" s="21"/>
      <c r="J3549" s="23"/>
    </row>
    <row r="3550" ht="15.75" customHeight="1">
      <c r="B3550" s="15"/>
      <c r="C3550" s="16"/>
      <c r="D3550" s="16"/>
      <c r="E3550" s="16"/>
      <c r="F3550" s="17"/>
      <c r="G3550" s="24"/>
      <c r="H3550" s="16"/>
      <c r="I3550" s="16"/>
      <c r="J3550" s="19"/>
    </row>
    <row r="3551" ht="15.75" customHeight="1">
      <c r="B3551" s="20"/>
      <c r="C3551" s="21"/>
      <c r="D3551" s="21"/>
      <c r="E3551" s="21"/>
      <c r="F3551" s="22"/>
      <c r="G3551" s="22"/>
      <c r="H3551" s="21"/>
      <c r="I3551" s="21"/>
      <c r="J3551" s="23"/>
    </row>
    <row r="3552" ht="15.75" customHeight="1">
      <c r="B3552" s="15"/>
      <c r="C3552" s="16"/>
      <c r="D3552" s="16"/>
      <c r="E3552" s="16"/>
      <c r="F3552" s="17"/>
      <c r="G3552" s="24"/>
      <c r="H3552" s="16"/>
      <c r="I3552" s="16"/>
      <c r="J3552" s="19"/>
    </row>
    <row r="3553" ht="15.75" customHeight="1">
      <c r="B3553" s="20"/>
      <c r="C3553" s="21"/>
      <c r="D3553" s="21"/>
      <c r="E3553" s="21"/>
      <c r="F3553" s="22"/>
      <c r="G3553" s="22"/>
      <c r="H3553" s="21"/>
      <c r="I3553" s="21"/>
      <c r="J3553" s="23"/>
    </row>
    <row r="3554" ht="15.75" customHeight="1">
      <c r="B3554" s="15"/>
      <c r="C3554" s="16"/>
      <c r="D3554" s="16"/>
      <c r="E3554" s="16"/>
      <c r="F3554" s="17"/>
      <c r="G3554" s="24"/>
      <c r="H3554" s="16"/>
      <c r="I3554" s="16"/>
      <c r="J3554" s="19"/>
    </row>
    <row r="3555" ht="15.75" customHeight="1">
      <c r="B3555" s="20"/>
      <c r="C3555" s="21"/>
      <c r="D3555" s="21"/>
      <c r="E3555" s="21"/>
      <c r="F3555" s="22"/>
      <c r="G3555" s="22"/>
      <c r="H3555" s="21"/>
      <c r="I3555" s="21"/>
      <c r="J3555" s="23"/>
    </row>
    <row r="3556" ht="15.75" customHeight="1">
      <c r="B3556" s="15"/>
      <c r="C3556" s="16"/>
      <c r="D3556" s="16"/>
      <c r="E3556" s="16"/>
      <c r="F3556" s="17"/>
      <c r="G3556" s="17"/>
      <c r="H3556" s="16"/>
      <c r="I3556" s="16"/>
      <c r="J3556" s="19"/>
    </row>
    <row r="3557" ht="15.75" customHeight="1">
      <c r="B3557" s="20"/>
      <c r="C3557" s="21"/>
      <c r="D3557" s="21"/>
      <c r="E3557" s="21"/>
      <c r="F3557" s="22"/>
      <c r="G3557" s="24"/>
      <c r="H3557" s="21"/>
      <c r="I3557" s="21"/>
      <c r="J3557" s="23"/>
    </row>
    <row r="3558" ht="15.75" customHeight="1">
      <c r="B3558" s="15"/>
      <c r="C3558" s="16"/>
      <c r="D3558" s="16"/>
      <c r="E3558" s="16"/>
      <c r="F3558" s="17"/>
      <c r="G3558" s="24"/>
      <c r="H3558" s="16"/>
      <c r="I3558" s="16"/>
      <c r="J3558" s="19"/>
    </row>
    <row r="3559" ht="15.75" customHeight="1">
      <c r="B3559" s="20"/>
      <c r="C3559" s="21"/>
      <c r="D3559" s="21"/>
      <c r="E3559" s="21"/>
      <c r="F3559" s="22"/>
      <c r="G3559" s="22"/>
      <c r="H3559" s="21"/>
      <c r="I3559" s="21"/>
      <c r="J3559" s="23"/>
    </row>
    <row r="3560" ht="15.75" customHeight="1">
      <c r="B3560" s="15"/>
      <c r="C3560" s="16"/>
      <c r="D3560" s="16"/>
      <c r="E3560" s="16"/>
      <c r="F3560" s="17"/>
      <c r="G3560" s="24"/>
      <c r="H3560" s="16"/>
      <c r="I3560" s="16"/>
      <c r="J3560" s="19"/>
    </row>
    <row r="3561" ht="15.75" customHeight="1">
      <c r="B3561" s="20"/>
      <c r="C3561" s="21"/>
      <c r="D3561" s="21"/>
      <c r="E3561" s="21"/>
      <c r="F3561" s="22"/>
      <c r="G3561" s="22"/>
      <c r="H3561" s="21"/>
      <c r="I3561" s="21"/>
      <c r="J3561" s="23"/>
    </row>
    <row r="3562" ht="15.75" customHeight="1">
      <c r="B3562" s="15"/>
      <c r="C3562" s="16"/>
      <c r="D3562" s="16"/>
      <c r="E3562" s="16"/>
      <c r="F3562" s="17"/>
      <c r="G3562" s="17"/>
      <c r="H3562" s="16"/>
      <c r="I3562" s="16"/>
      <c r="J3562" s="19"/>
    </row>
    <row r="3563" ht="15.75" customHeight="1">
      <c r="B3563" s="20"/>
      <c r="C3563" s="21"/>
      <c r="D3563" s="21"/>
      <c r="E3563" s="21"/>
      <c r="F3563" s="22"/>
      <c r="G3563" s="22"/>
      <c r="H3563" s="21"/>
      <c r="I3563" s="21"/>
      <c r="J3563" s="23"/>
    </row>
    <row r="3564" ht="15.75" customHeight="1">
      <c r="B3564" s="15"/>
      <c r="C3564" s="16"/>
      <c r="D3564" s="16"/>
      <c r="E3564" s="16"/>
      <c r="F3564" s="17"/>
      <c r="G3564" s="24"/>
      <c r="H3564" s="16"/>
      <c r="I3564" s="16"/>
      <c r="J3564" s="19"/>
    </row>
    <row r="3565" ht="15.75" customHeight="1">
      <c r="B3565" s="20"/>
      <c r="C3565" s="21"/>
      <c r="D3565" s="21"/>
      <c r="E3565" s="21"/>
      <c r="F3565" s="22"/>
      <c r="G3565" s="22"/>
      <c r="H3565" s="21"/>
      <c r="I3565" s="21"/>
      <c r="J3565" s="23"/>
    </row>
    <row r="3566" ht="15.75" customHeight="1">
      <c r="B3566" s="15"/>
      <c r="C3566" s="16"/>
      <c r="D3566" s="16"/>
      <c r="E3566" s="16"/>
      <c r="F3566" s="17"/>
      <c r="G3566" s="17"/>
      <c r="H3566" s="16"/>
      <c r="I3566" s="16"/>
      <c r="J3566" s="19"/>
    </row>
    <row r="3567" ht="15.75" customHeight="1">
      <c r="B3567" s="20"/>
      <c r="C3567" s="21"/>
      <c r="D3567" s="21"/>
      <c r="E3567" s="21"/>
      <c r="F3567" s="22"/>
      <c r="G3567" s="24"/>
      <c r="H3567" s="21"/>
      <c r="I3567" s="21"/>
      <c r="J3567" s="23"/>
    </row>
    <row r="3568" ht="15.75" customHeight="1">
      <c r="B3568" s="15"/>
      <c r="C3568" s="16"/>
      <c r="D3568" s="16"/>
      <c r="E3568" s="16"/>
      <c r="F3568" s="17"/>
      <c r="G3568" s="17"/>
      <c r="H3568" s="16"/>
      <c r="I3568" s="16"/>
      <c r="J3568" s="19"/>
    </row>
    <row r="3569" ht="15.75" customHeight="1">
      <c r="B3569" s="20"/>
      <c r="C3569" s="21"/>
      <c r="D3569" s="21"/>
      <c r="E3569" s="21"/>
      <c r="F3569" s="22"/>
      <c r="G3569" s="22"/>
      <c r="H3569" s="21"/>
      <c r="I3569" s="21"/>
      <c r="J3569" s="23"/>
    </row>
    <row r="3570" ht="15.75" customHeight="1">
      <c r="B3570" s="15"/>
      <c r="C3570" s="16"/>
      <c r="D3570" s="16"/>
      <c r="E3570" s="16"/>
      <c r="F3570" s="17"/>
      <c r="G3570" s="17"/>
      <c r="H3570" s="16"/>
      <c r="I3570" s="16"/>
      <c r="J3570" s="19"/>
    </row>
    <row r="3571" ht="15.75" customHeight="1">
      <c r="B3571" s="20"/>
      <c r="C3571" s="21"/>
      <c r="D3571" s="21"/>
      <c r="E3571" s="21"/>
      <c r="F3571" s="22"/>
      <c r="G3571" s="24"/>
      <c r="H3571" s="21"/>
      <c r="I3571" s="21"/>
      <c r="J3571" s="23"/>
    </row>
    <row r="3572" ht="15.75" customHeight="1">
      <c r="B3572" s="15"/>
      <c r="C3572" s="16"/>
      <c r="D3572" s="16"/>
      <c r="E3572" s="16"/>
      <c r="F3572" s="17"/>
      <c r="G3572" s="17"/>
      <c r="H3572" s="16"/>
      <c r="I3572" s="16"/>
      <c r="J3572" s="19"/>
    </row>
    <row r="3573" ht="15.75" customHeight="1">
      <c r="B3573" s="20"/>
      <c r="C3573" s="21"/>
      <c r="D3573" s="21"/>
      <c r="E3573" s="21"/>
      <c r="F3573" s="22"/>
      <c r="G3573" s="24"/>
      <c r="H3573" s="21"/>
      <c r="I3573" s="21"/>
      <c r="J3573" s="23"/>
    </row>
    <row r="3574" ht="15.75" customHeight="1">
      <c r="B3574" s="15"/>
      <c r="C3574" s="16"/>
      <c r="D3574" s="16"/>
      <c r="E3574" s="16"/>
      <c r="F3574" s="17"/>
      <c r="G3574" s="24"/>
      <c r="H3574" s="16"/>
      <c r="I3574" s="16"/>
      <c r="J3574" s="19"/>
    </row>
    <row r="3575" ht="15.75" customHeight="1">
      <c r="B3575" s="20"/>
      <c r="C3575" s="21"/>
      <c r="D3575" s="21"/>
      <c r="E3575" s="21"/>
      <c r="F3575" s="22"/>
      <c r="G3575" s="22"/>
      <c r="H3575" s="21"/>
      <c r="I3575" s="21"/>
      <c r="J3575" s="23"/>
    </row>
    <row r="3576" ht="15.75" customHeight="1">
      <c r="B3576" s="15"/>
      <c r="C3576" s="16"/>
      <c r="D3576" s="16"/>
      <c r="E3576" s="16"/>
      <c r="F3576" s="17"/>
      <c r="G3576" s="24"/>
      <c r="H3576" s="16"/>
      <c r="I3576" s="16"/>
      <c r="J3576" s="19"/>
    </row>
    <row r="3577" ht="15.75" customHeight="1">
      <c r="B3577" s="20"/>
      <c r="C3577" s="21"/>
      <c r="D3577" s="21"/>
      <c r="E3577" s="21"/>
      <c r="F3577" s="22"/>
      <c r="G3577" s="22"/>
      <c r="H3577" s="21"/>
      <c r="I3577" s="21"/>
      <c r="J3577" s="23"/>
    </row>
    <row r="3578" ht="15.75" customHeight="1">
      <c r="B3578" s="15"/>
      <c r="C3578" s="16"/>
      <c r="D3578" s="16"/>
      <c r="E3578" s="16"/>
      <c r="F3578" s="17"/>
      <c r="G3578" s="24"/>
      <c r="H3578" s="16"/>
      <c r="I3578" s="16"/>
      <c r="J3578" s="19"/>
    </row>
    <row r="3579" ht="15.75" customHeight="1">
      <c r="B3579" s="20"/>
      <c r="C3579" s="21"/>
      <c r="D3579" s="21"/>
      <c r="E3579" s="21"/>
      <c r="F3579" s="22"/>
      <c r="G3579" s="22"/>
      <c r="H3579" s="21"/>
      <c r="I3579" s="21"/>
      <c r="J3579" s="23"/>
    </row>
    <row r="3580" ht="15.75" customHeight="1">
      <c r="B3580" s="15"/>
      <c r="C3580" s="16"/>
      <c r="D3580" s="16"/>
      <c r="E3580" s="16"/>
      <c r="F3580" s="17"/>
      <c r="G3580" s="24"/>
      <c r="H3580" s="16"/>
      <c r="I3580" s="16"/>
      <c r="J3580" s="19"/>
    </row>
    <row r="3581" ht="15.75" customHeight="1">
      <c r="B3581" s="20"/>
      <c r="C3581" s="21"/>
      <c r="D3581" s="21"/>
      <c r="E3581" s="21"/>
      <c r="F3581" s="22"/>
      <c r="G3581" s="22"/>
      <c r="H3581" s="21"/>
      <c r="I3581" s="21"/>
      <c r="J3581" s="23"/>
    </row>
    <row r="3582" ht="15.75" customHeight="1">
      <c r="B3582" s="15"/>
      <c r="C3582" s="16"/>
      <c r="D3582" s="16"/>
      <c r="E3582" s="16"/>
      <c r="F3582" s="17"/>
      <c r="G3582" s="24"/>
      <c r="H3582" s="16"/>
      <c r="I3582" s="16"/>
      <c r="J3582" s="19"/>
    </row>
    <row r="3583" ht="15.75" customHeight="1">
      <c r="B3583" s="20"/>
      <c r="C3583" s="21"/>
      <c r="D3583" s="21"/>
      <c r="E3583" s="21"/>
      <c r="F3583" s="22"/>
      <c r="G3583" s="22"/>
      <c r="H3583" s="21"/>
      <c r="I3583" s="21"/>
      <c r="J3583" s="23"/>
    </row>
    <row r="3584" ht="15.75" customHeight="1">
      <c r="B3584" s="15"/>
      <c r="C3584" s="16"/>
      <c r="D3584" s="16"/>
      <c r="E3584" s="16"/>
      <c r="F3584" s="17"/>
      <c r="G3584" s="24"/>
      <c r="H3584" s="16"/>
      <c r="I3584" s="16"/>
      <c r="J3584" s="19"/>
    </row>
    <row r="3585" ht="15.75" customHeight="1">
      <c r="B3585" s="20"/>
      <c r="C3585" s="21"/>
      <c r="D3585" s="21"/>
      <c r="E3585" s="21"/>
      <c r="F3585" s="22"/>
      <c r="G3585" s="22"/>
      <c r="H3585" s="21"/>
      <c r="I3585" s="21"/>
      <c r="J3585" s="23"/>
    </row>
    <row r="3586" ht="15.75" customHeight="1">
      <c r="B3586" s="15"/>
      <c r="C3586" s="16"/>
      <c r="D3586" s="16"/>
      <c r="E3586" s="16"/>
      <c r="F3586" s="17"/>
      <c r="G3586" s="24"/>
      <c r="H3586" s="16"/>
      <c r="I3586" s="16"/>
      <c r="J3586" s="19"/>
    </row>
    <row r="3587" ht="15.75" customHeight="1">
      <c r="B3587" s="20"/>
      <c r="C3587" s="21"/>
      <c r="D3587" s="21"/>
      <c r="E3587" s="21"/>
      <c r="F3587" s="22"/>
      <c r="G3587" s="22"/>
      <c r="H3587" s="21"/>
      <c r="I3587" s="21"/>
      <c r="J3587" s="23"/>
    </row>
    <row r="3588" ht="15.75" customHeight="1">
      <c r="B3588" s="15"/>
      <c r="C3588" s="16"/>
      <c r="D3588" s="16"/>
      <c r="E3588" s="16"/>
      <c r="F3588" s="17"/>
      <c r="G3588" s="17"/>
      <c r="H3588" s="16"/>
      <c r="I3588" s="16"/>
      <c r="J3588" s="19"/>
    </row>
    <row r="3589" ht="15.75" customHeight="1">
      <c r="B3589" s="20"/>
      <c r="C3589" s="21"/>
      <c r="D3589" s="21"/>
      <c r="E3589" s="21"/>
      <c r="F3589" s="22"/>
      <c r="G3589" s="24"/>
      <c r="H3589" s="21"/>
      <c r="I3589" s="21"/>
      <c r="J3589" s="23"/>
    </row>
    <row r="3590" ht="15.75" customHeight="1">
      <c r="B3590" s="15"/>
      <c r="C3590" s="16"/>
      <c r="D3590" s="16"/>
      <c r="E3590" s="16"/>
      <c r="F3590" s="17"/>
      <c r="G3590" s="17"/>
      <c r="H3590" s="16"/>
      <c r="I3590" s="16"/>
      <c r="J3590" s="19"/>
    </row>
    <row r="3591" ht="15.75" customHeight="1">
      <c r="B3591" s="20"/>
      <c r="C3591" s="21"/>
      <c r="D3591" s="21"/>
      <c r="E3591" s="21"/>
      <c r="F3591" s="22"/>
      <c r="G3591" s="24"/>
      <c r="H3591" s="21"/>
      <c r="I3591" s="21"/>
      <c r="J3591" s="23"/>
    </row>
    <row r="3592" ht="15.75" customHeight="1">
      <c r="B3592" s="15"/>
      <c r="C3592" s="16"/>
      <c r="D3592" s="16"/>
      <c r="E3592" s="16"/>
      <c r="F3592" s="17"/>
      <c r="G3592" s="24"/>
      <c r="H3592" s="16"/>
      <c r="I3592" s="16"/>
      <c r="J3592" s="19"/>
    </row>
    <row r="3593" ht="15.75" customHeight="1">
      <c r="B3593" s="20"/>
      <c r="C3593" s="21"/>
      <c r="D3593" s="21"/>
      <c r="E3593" s="21"/>
      <c r="F3593" s="22"/>
      <c r="G3593" s="22"/>
      <c r="H3593" s="21"/>
      <c r="I3593" s="21"/>
      <c r="J3593" s="23"/>
    </row>
    <row r="3594" ht="15.75" customHeight="1">
      <c r="B3594" s="15"/>
      <c r="C3594" s="16"/>
      <c r="D3594" s="16"/>
      <c r="E3594" s="16"/>
      <c r="F3594" s="17"/>
      <c r="G3594" s="17"/>
      <c r="H3594" s="16"/>
      <c r="I3594" s="16"/>
      <c r="J3594" s="19"/>
    </row>
    <row r="3595" ht="15.75" customHeight="1">
      <c r="B3595" s="20"/>
      <c r="C3595" s="21"/>
      <c r="D3595" s="21"/>
      <c r="E3595" s="21"/>
      <c r="F3595" s="22"/>
      <c r="G3595" s="27"/>
      <c r="H3595" s="21"/>
      <c r="I3595" s="21"/>
      <c r="J3595" s="23"/>
    </row>
    <row r="3596" ht="15.75" customHeight="1">
      <c r="B3596" s="15"/>
      <c r="C3596" s="16"/>
      <c r="D3596" s="16"/>
      <c r="E3596" s="16"/>
      <c r="F3596" s="17"/>
      <c r="G3596" s="27"/>
      <c r="H3596" s="16"/>
      <c r="I3596" s="16"/>
      <c r="J3596" s="19"/>
    </row>
    <row r="3597" ht="15.75" customHeight="1">
      <c r="B3597" s="20"/>
      <c r="C3597" s="21"/>
      <c r="D3597" s="21"/>
      <c r="E3597" s="21"/>
      <c r="F3597" s="22"/>
      <c r="G3597" s="22"/>
      <c r="H3597" s="21"/>
      <c r="I3597" s="21"/>
      <c r="J3597" s="23"/>
    </row>
    <row r="3598" ht="15.75" customHeight="1">
      <c r="B3598" s="15"/>
      <c r="C3598" s="16"/>
      <c r="D3598" s="16"/>
      <c r="E3598" s="16"/>
      <c r="F3598" s="17"/>
      <c r="G3598" s="27"/>
      <c r="H3598" s="16"/>
      <c r="I3598" s="16"/>
      <c r="J3598" s="19"/>
    </row>
    <row r="3599" ht="15.75" customHeight="1">
      <c r="B3599" s="20"/>
      <c r="C3599" s="21"/>
      <c r="D3599" s="21"/>
      <c r="E3599" s="21"/>
      <c r="F3599" s="22"/>
      <c r="G3599" s="22"/>
      <c r="H3599" s="21"/>
      <c r="I3599" s="21"/>
      <c r="J3599" s="23"/>
    </row>
    <row r="3600" ht="15.75" customHeight="1">
      <c r="B3600" s="15"/>
      <c r="C3600" s="16"/>
      <c r="D3600" s="16"/>
      <c r="E3600" s="16"/>
      <c r="F3600" s="17"/>
      <c r="G3600" s="17"/>
      <c r="H3600" s="16"/>
      <c r="I3600" s="16"/>
      <c r="J3600" s="19"/>
    </row>
    <row r="3601" ht="15.75" customHeight="1">
      <c r="B3601" s="20"/>
      <c r="C3601" s="21"/>
      <c r="D3601" s="21"/>
      <c r="E3601" s="21"/>
      <c r="F3601" s="22"/>
      <c r="G3601" s="27"/>
      <c r="H3601" s="21"/>
      <c r="I3601" s="21"/>
      <c r="J3601" s="23"/>
    </row>
    <row r="3602" ht="15.75" customHeight="1">
      <c r="B3602" s="15"/>
      <c r="C3602" s="16"/>
      <c r="D3602" s="16"/>
      <c r="E3602" s="16"/>
      <c r="F3602" s="17"/>
      <c r="G3602" s="27"/>
      <c r="H3602" s="16"/>
      <c r="I3602" s="16"/>
      <c r="J3602" s="19"/>
    </row>
    <row r="3603" ht="15.75" customHeight="1">
      <c r="B3603" s="20"/>
      <c r="C3603" s="21"/>
      <c r="D3603" s="21"/>
      <c r="E3603" s="21"/>
      <c r="F3603" s="22"/>
      <c r="G3603" s="22"/>
      <c r="H3603" s="21"/>
      <c r="I3603" s="21"/>
      <c r="J3603" s="23"/>
    </row>
    <row r="3604" ht="15.75" customHeight="1">
      <c r="B3604" s="15"/>
      <c r="C3604" s="16"/>
      <c r="D3604" s="16"/>
      <c r="E3604" s="16"/>
      <c r="F3604" s="17"/>
      <c r="G3604" s="17"/>
      <c r="H3604" s="16"/>
      <c r="I3604" s="16"/>
      <c r="J3604" s="19"/>
    </row>
    <row r="3605" ht="15.75" customHeight="1">
      <c r="B3605" s="20"/>
      <c r="C3605" s="21"/>
      <c r="D3605" s="21"/>
      <c r="E3605" s="21"/>
      <c r="F3605" s="22"/>
      <c r="G3605" s="27"/>
      <c r="H3605" s="21"/>
      <c r="I3605" s="21"/>
      <c r="J3605" s="23"/>
    </row>
    <row r="3606" ht="15.75" customHeight="1">
      <c r="B3606" s="15"/>
      <c r="C3606" s="16"/>
      <c r="D3606" s="16"/>
      <c r="E3606" s="16"/>
      <c r="F3606" s="17"/>
      <c r="G3606" s="27"/>
      <c r="H3606" s="16"/>
      <c r="I3606" s="16"/>
      <c r="J3606" s="19"/>
    </row>
    <row r="3607" ht="15.75" customHeight="1">
      <c r="B3607" s="20"/>
      <c r="C3607" s="21"/>
      <c r="D3607" s="21"/>
      <c r="E3607" s="21"/>
      <c r="F3607" s="22"/>
      <c r="G3607" s="22"/>
      <c r="H3607" s="21"/>
      <c r="I3607" s="21"/>
      <c r="J3607" s="23"/>
    </row>
    <row r="3608" ht="15.75" customHeight="1">
      <c r="B3608" s="15"/>
      <c r="C3608" s="16"/>
      <c r="D3608" s="16"/>
      <c r="E3608" s="16"/>
      <c r="F3608" s="17"/>
      <c r="G3608" s="17"/>
      <c r="H3608" s="16"/>
      <c r="I3608" s="16"/>
      <c r="J3608" s="19"/>
    </row>
    <row r="3609" ht="15.75" customHeight="1">
      <c r="B3609" s="20"/>
      <c r="C3609" s="21"/>
      <c r="D3609" s="21"/>
      <c r="E3609" s="21"/>
      <c r="F3609" s="22"/>
      <c r="G3609" s="27"/>
      <c r="H3609" s="21"/>
      <c r="I3609" s="21"/>
      <c r="J3609" s="23"/>
    </row>
    <row r="3610" ht="15.75" customHeight="1">
      <c r="B3610" s="15"/>
      <c r="C3610" s="16"/>
      <c r="D3610" s="16"/>
      <c r="E3610" s="16"/>
      <c r="F3610" s="17"/>
      <c r="G3610" s="17"/>
      <c r="H3610" s="16"/>
      <c r="I3610" s="16"/>
      <c r="J3610" s="19"/>
    </row>
    <row r="3611" ht="15.75" customHeight="1">
      <c r="B3611" s="20"/>
      <c r="C3611" s="21"/>
      <c r="D3611" s="21"/>
      <c r="E3611" s="21"/>
      <c r="F3611" s="22"/>
      <c r="G3611" s="27"/>
      <c r="H3611" s="21"/>
      <c r="I3611" s="21"/>
      <c r="J3611" s="23"/>
    </row>
    <row r="3612" ht="15.75" customHeight="1">
      <c r="B3612" s="15"/>
      <c r="C3612" s="16"/>
      <c r="D3612" s="16"/>
      <c r="E3612" s="16"/>
      <c r="F3612" s="17"/>
      <c r="G3612" s="27"/>
      <c r="H3612" s="16"/>
      <c r="I3612" s="16"/>
      <c r="J3612" s="19"/>
    </row>
    <row r="3613" ht="15.75" customHeight="1">
      <c r="B3613" s="20"/>
      <c r="C3613" s="21"/>
      <c r="D3613" s="21"/>
      <c r="E3613" s="21"/>
      <c r="F3613" s="22"/>
      <c r="G3613" s="22"/>
      <c r="H3613" s="21"/>
      <c r="I3613" s="21"/>
      <c r="J3613" s="23"/>
    </row>
    <row r="3614" ht="15.75" customHeight="1">
      <c r="B3614" s="15"/>
      <c r="C3614" s="16"/>
      <c r="D3614" s="16"/>
      <c r="E3614" s="16"/>
      <c r="F3614" s="17"/>
      <c r="G3614" s="27"/>
      <c r="H3614" s="16"/>
      <c r="I3614" s="16"/>
      <c r="J3614" s="19"/>
    </row>
    <row r="3615" ht="15.75" customHeight="1">
      <c r="B3615" s="20"/>
      <c r="C3615" s="21"/>
      <c r="D3615" s="21"/>
      <c r="E3615" s="21"/>
      <c r="F3615" s="22"/>
      <c r="G3615" s="22"/>
      <c r="H3615" s="21"/>
      <c r="I3615" s="21"/>
      <c r="J3615" s="23"/>
    </row>
    <row r="3616" ht="15.75" customHeight="1">
      <c r="B3616" s="15"/>
      <c r="C3616" s="16"/>
      <c r="D3616" s="16"/>
      <c r="E3616" s="16"/>
      <c r="F3616" s="17"/>
      <c r="G3616" s="27"/>
      <c r="H3616" s="16"/>
      <c r="I3616" s="16"/>
      <c r="J3616" s="19"/>
    </row>
    <row r="3617" ht="15.75" customHeight="1">
      <c r="B3617" s="20"/>
      <c r="C3617" s="21"/>
      <c r="D3617" s="21"/>
      <c r="E3617" s="21"/>
      <c r="F3617" s="22"/>
      <c r="G3617" s="22"/>
      <c r="H3617" s="21"/>
      <c r="I3617" s="21"/>
      <c r="J3617" s="23"/>
    </row>
    <row r="3618" ht="15.75" customHeight="1">
      <c r="B3618" s="15"/>
      <c r="C3618" s="16"/>
      <c r="D3618" s="16"/>
      <c r="E3618" s="16"/>
      <c r="F3618" s="17"/>
      <c r="G3618" s="27"/>
      <c r="H3618" s="16"/>
      <c r="I3618" s="16"/>
      <c r="J3618" s="19"/>
    </row>
    <row r="3619" ht="15.75" customHeight="1">
      <c r="B3619" s="20"/>
      <c r="C3619" s="21"/>
      <c r="D3619" s="21"/>
      <c r="E3619" s="21"/>
      <c r="F3619" s="22"/>
      <c r="G3619" s="22"/>
      <c r="H3619" s="21"/>
      <c r="I3619" s="21"/>
      <c r="J3619" s="23"/>
    </row>
    <row r="3620" ht="15.75" customHeight="1">
      <c r="B3620" s="15"/>
      <c r="C3620" s="16"/>
      <c r="D3620" s="16"/>
      <c r="E3620" s="16"/>
      <c r="F3620" s="17"/>
      <c r="G3620" s="17"/>
      <c r="H3620" s="16"/>
      <c r="I3620" s="16"/>
      <c r="J3620" s="19"/>
    </row>
    <row r="3621" ht="15.75" customHeight="1">
      <c r="B3621" s="20"/>
      <c r="C3621" s="21"/>
      <c r="D3621" s="21"/>
      <c r="E3621" s="21"/>
      <c r="F3621" s="22"/>
      <c r="G3621" s="22"/>
      <c r="H3621" s="21"/>
      <c r="I3621" s="21"/>
      <c r="J3621" s="23"/>
    </row>
    <row r="3622" ht="15.75" customHeight="1">
      <c r="B3622" s="15"/>
      <c r="C3622" s="16"/>
      <c r="D3622" s="16"/>
      <c r="E3622" s="16"/>
      <c r="F3622" s="17"/>
      <c r="G3622" s="27"/>
      <c r="H3622" s="16"/>
      <c r="I3622" s="16"/>
      <c r="J3622" s="19"/>
    </row>
    <row r="3623" ht="15.75" customHeight="1">
      <c r="B3623" s="20"/>
      <c r="C3623" s="21"/>
      <c r="D3623" s="21"/>
      <c r="E3623" s="21"/>
      <c r="F3623" s="22"/>
      <c r="G3623" s="22"/>
      <c r="H3623" s="21"/>
      <c r="I3623" s="21"/>
      <c r="J3623" s="23"/>
    </row>
    <row r="3624" ht="15.75" customHeight="1">
      <c r="B3624" s="15"/>
      <c r="C3624" s="16"/>
      <c r="D3624" s="16"/>
      <c r="E3624" s="16"/>
      <c r="F3624" s="17"/>
      <c r="G3624" s="27"/>
      <c r="H3624" s="16"/>
      <c r="I3624" s="16"/>
      <c r="J3624" s="19"/>
    </row>
    <row r="3625" ht="15.75" customHeight="1">
      <c r="B3625" s="20"/>
      <c r="C3625" s="21"/>
      <c r="D3625" s="21"/>
      <c r="E3625" s="21"/>
      <c r="F3625" s="22"/>
      <c r="G3625" s="22"/>
      <c r="H3625" s="21"/>
      <c r="I3625" s="21"/>
      <c r="J3625" s="23"/>
    </row>
    <row r="3626" ht="15.75" customHeight="1">
      <c r="B3626" s="15"/>
      <c r="C3626" s="16"/>
      <c r="D3626" s="16"/>
      <c r="E3626" s="16"/>
      <c r="F3626" s="17"/>
      <c r="G3626" s="17"/>
      <c r="H3626" s="16"/>
      <c r="I3626" s="16"/>
      <c r="J3626" s="19"/>
    </row>
    <row r="3627" ht="15.75" customHeight="1">
      <c r="B3627" s="20"/>
      <c r="C3627" s="21"/>
      <c r="D3627" s="21"/>
      <c r="E3627" s="21"/>
      <c r="F3627" s="22"/>
      <c r="G3627" s="27"/>
      <c r="H3627" s="21"/>
      <c r="I3627" s="21"/>
      <c r="J3627" s="23"/>
    </row>
    <row r="3628" ht="15.75" customHeight="1">
      <c r="B3628" s="15"/>
      <c r="C3628" s="16"/>
      <c r="D3628" s="16"/>
      <c r="E3628" s="16"/>
      <c r="F3628" s="17"/>
      <c r="G3628" s="17"/>
      <c r="H3628" s="16"/>
      <c r="I3628" s="16"/>
      <c r="J3628" s="19"/>
    </row>
    <row r="3629" ht="15.75" customHeight="1">
      <c r="B3629" s="20"/>
      <c r="C3629" s="21"/>
      <c r="D3629" s="21"/>
      <c r="E3629" s="21"/>
      <c r="F3629" s="22"/>
      <c r="G3629" s="22"/>
      <c r="H3629" s="21"/>
      <c r="I3629" s="21"/>
      <c r="J3629" s="23"/>
    </row>
    <row r="3630" ht="15.75" customHeight="1">
      <c r="B3630" s="15"/>
      <c r="C3630" s="16"/>
      <c r="D3630" s="16"/>
      <c r="E3630" s="16"/>
      <c r="F3630" s="17"/>
      <c r="G3630" s="27"/>
      <c r="H3630" s="16"/>
      <c r="I3630" s="16"/>
      <c r="J3630" s="19"/>
    </row>
    <row r="3631" ht="15.75" customHeight="1">
      <c r="B3631" s="20"/>
      <c r="C3631" s="21"/>
      <c r="D3631" s="21"/>
      <c r="E3631" s="21"/>
      <c r="F3631" s="22"/>
      <c r="G3631" s="22"/>
      <c r="H3631" s="21"/>
      <c r="I3631" s="21"/>
      <c r="J3631" s="23"/>
    </row>
    <row r="3632" ht="15.75" customHeight="1">
      <c r="B3632" s="15"/>
      <c r="C3632" s="16"/>
      <c r="D3632" s="16"/>
      <c r="E3632" s="16"/>
      <c r="F3632" s="17"/>
      <c r="G3632" s="17"/>
      <c r="H3632" s="16"/>
      <c r="I3632" s="16"/>
      <c r="J3632" s="19"/>
    </row>
    <row r="3633" ht="15.75" customHeight="1">
      <c r="B3633" s="20"/>
      <c r="C3633" s="21"/>
      <c r="D3633" s="21"/>
      <c r="E3633" s="21"/>
      <c r="F3633" s="22"/>
      <c r="G3633" s="27"/>
      <c r="H3633" s="21"/>
      <c r="I3633" s="21"/>
      <c r="J3633" s="23"/>
    </row>
    <row r="3634" ht="15.75" customHeight="1">
      <c r="B3634" s="15"/>
      <c r="C3634" s="16"/>
      <c r="D3634" s="16"/>
      <c r="E3634" s="16"/>
      <c r="F3634" s="17"/>
      <c r="G3634" s="17"/>
      <c r="H3634" s="16"/>
      <c r="I3634" s="16"/>
      <c r="J3634" s="19"/>
    </row>
    <row r="3635" ht="15.75" customHeight="1">
      <c r="B3635" s="20"/>
      <c r="C3635" s="21"/>
      <c r="D3635" s="21"/>
      <c r="E3635" s="21"/>
      <c r="F3635" s="22"/>
      <c r="G3635" s="27"/>
      <c r="H3635" s="21"/>
      <c r="I3635" s="21"/>
      <c r="J3635" s="23"/>
    </row>
    <row r="3636" ht="15.75" customHeight="1">
      <c r="B3636" s="15"/>
      <c r="C3636" s="16"/>
      <c r="D3636" s="16"/>
      <c r="E3636" s="16"/>
      <c r="F3636" s="17"/>
      <c r="G3636" s="17"/>
      <c r="H3636" s="16"/>
      <c r="I3636" s="16"/>
      <c r="J3636" s="19"/>
    </row>
    <row r="3637" ht="15.75" customHeight="1">
      <c r="B3637" s="20"/>
      <c r="C3637" s="21"/>
      <c r="D3637" s="21"/>
      <c r="E3637" s="21"/>
      <c r="F3637" s="22"/>
      <c r="G3637" s="27"/>
      <c r="H3637" s="21"/>
      <c r="I3637" s="21"/>
      <c r="J3637" s="23"/>
    </row>
    <row r="3638" ht="15.75" customHeight="1">
      <c r="B3638" s="15"/>
      <c r="C3638" s="16"/>
      <c r="D3638" s="16"/>
      <c r="E3638" s="16"/>
      <c r="F3638" s="17"/>
      <c r="G3638" s="27"/>
      <c r="H3638" s="16"/>
      <c r="I3638" s="16"/>
      <c r="J3638" s="19"/>
    </row>
    <row r="3639" ht="15.75" customHeight="1">
      <c r="B3639" s="20"/>
      <c r="C3639" s="21"/>
      <c r="D3639" s="21"/>
      <c r="E3639" s="21"/>
      <c r="F3639" s="22"/>
      <c r="G3639" s="22"/>
      <c r="H3639" s="21"/>
      <c r="I3639" s="21"/>
      <c r="J3639" s="23"/>
    </row>
    <row r="3640" ht="15.75" customHeight="1">
      <c r="B3640" s="15"/>
      <c r="C3640" s="16"/>
      <c r="D3640" s="16"/>
      <c r="E3640" s="16"/>
      <c r="F3640" s="17"/>
      <c r="G3640" s="17"/>
      <c r="H3640" s="16"/>
      <c r="I3640" s="16"/>
      <c r="J3640" s="19"/>
    </row>
    <row r="3641" ht="15.75" customHeight="1">
      <c r="B3641" s="20"/>
      <c r="C3641" s="21"/>
      <c r="D3641" s="21"/>
      <c r="E3641" s="21"/>
      <c r="F3641" s="22"/>
      <c r="G3641" s="27"/>
      <c r="H3641" s="21"/>
      <c r="I3641" s="21"/>
      <c r="J3641" s="23"/>
    </row>
    <row r="3642" ht="15.75" customHeight="1">
      <c r="B3642" s="15"/>
      <c r="C3642" s="16"/>
      <c r="D3642" s="16"/>
      <c r="E3642" s="16"/>
      <c r="F3642" s="17"/>
      <c r="G3642" s="27"/>
      <c r="H3642" s="16"/>
      <c r="I3642" s="16"/>
      <c r="J3642" s="19"/>
    </row>
    <row r="3643" ht="15.75" customHeight="1">
      <c r="B3643" s="20"/>
      <c r="C3643" s="21"/>
      <c r="D3643" s="21"/>
      <c r="E3643" s="21"/>
      <c r="F3643" s="22"/>
      <c r="G3643" s="22"/>
      <c r="H3643" s="21"/>
      <c r="I3643" s="21"/>
      <c r="J3643" s="23"/>
    </row>
    <row r="3644" ht="15.75" customHeight="1">
      <c r="B3644" s="15"/>
      <c r="C3644" s="16"/>
      <c r="D3644" s="16"/>
      <c r="E3644" s="16"/>
      <c r="F3644" s="17"/>
      <c r="G3644" s="17"/>
      <c r="H3644" s="16"/>
      <c r="I3644" s="16"/>
      <c r="J3644" s="19"/>
    </row>
    <row r="3645" ht="15.75" customHeight="1">
      <c r="B3645" s="20"/>
      <c r="C3645" s="21"/>
      <c r="D3645" s="21"/>
      <c r="E3645" s="21"/>
      <c r="F3645" s="22"/>
      <c r="G3645" s="27"/>
      <c r="H3645" s="21"/>
      <c r="I3645" s="21"/>
      <c r="J3645" s="23"/>
    </row>
    <row r="3646" ht="15.75" customHeight="1">
      <c r="B3646" s="15"/>
      <c r="C3646" s="16"/>
      <c r="D3646" s="16"/>
      <c r="E3646" s="16"/>
      <c r="F3646" s="17"/>
      <c r="G3646" s="17"/>
      <c r="H3646" s="16"/>
      <c r="I3646" s="16"/>
      <c r="J3646" s="19"/>
    </row>
    <row r="3647" ht="15.75" customHeight="1">
      <c r="B3647" s="20"/>
      <c r="C3647" s="21"/>
      <c r="D3647" s="21"/>
      <c r="E3647" s="21"/>
      <c r="F3647" s="22"/>
      <c r="G3647" s="27"/>
      <c r="H3647" s="21"/>
      <c r="I3647" s="21"/>
      <c r="J3647" s="23"/>
    </row>
    <row r="3648" ht="15.75" customHeight="1">
      <c r="B3648" s="15"/>
      <c r="C3648" s="16"/>
      <c r="D3648" s="16"/>
      <c r="E3648" s="16"/>
      <c r="F3648" s="17"/>
      <c r="G3648" s="17"/>
      <c r="H3648" s="16"/>
      <c r="I3648" s="16"/>
      <c r="J3648" s="19"/>
    </row>
    <row r="3649" ht="15.75" customHeight="1">
      <c r="B3649" s="20"/>
      <c r="C3649" s="21"/>
      <c r="D3649" s="21"/>
      <c r="E3649" s="21"/>
      <c r="F3649" s="22"/>
      <c r="G3649" s="27"/>
      <c r="H3649" s="21"/>
      <c r="I3649" s="21"/>
      <c r="J3649" s="23"/>
    </row>
    <row r="3650" ht="15.75" customHeight="1">
      <c r="B3650" s="15"/>
      <c r="C3650" s="16"/>
      <c r="D3650" s="16"/>
      <c r="E3650" s="16"/>
      <c r="F3650" s="17"/>
      <c r="G3650" s="17"/>
      <c r="H3650" s="16"/>
      <c r="I3650" s="16"/>
      <c r="J3650" s="19"/>
    </row>
    <row r="3651" ht="15.75" customHeight="1">
      <c r="B3651" s="20"/>
      <c r="C3651" s="21"/>
      <c r="D3651" s="21"/>
      <c r="E3651" s="21"/>
      <c r="F3651" s="22"/>
      <c r="G3651" s="27"/>
      <c r="H3651" s="21"/>
      <c r="I3651" s="21"/>
      <c r="J3651" s="23"/>
    </row>
    <row r="3652" ht="15.75" customHeight="1">
      <c r="B3652" s="15"/>
      <c r="C3652" s="16"/>
      <c r="D3652" s="16"/>
      <c r="E3652" s="16"/>
      <c r="F3652" s="17"/>
      <c r="G3652" s="17"/>
      <c r="H3652" s="16"/>
      <c r="I3652" s="16"/>
      <c r="J3652" s="19"/>
    </row>
    <row r="3653" ht="15.75" customHeight="1">
      <c r="B3653" s="20"/>
      <c r="C3653" s="21"/>
      <c r="D3653" s="21"/>
      <c r="E3653" s="21"/>
      <c r="F3653" s="22"/>
      <c r="G3653" s="22"/>
      <c r="H3653" s="21"/>
      <c r="I3653" s="21"/>
      <c r="J3653" s="23"/>
    </row>
    <row r="3654" ht="15.75" customHeight="1">
      <c r="B3654" s="15"/>
      <c r="C3654" s="16"/>
      <c r="D3654" s="16"/>
      <c r="E3654" s="16"/>
      <c r="F3654" s="17"/>
      <c r="G3654" s="17"/>
      <c r="H3654" s="16"/>
      <c r="I3654" s="16"/>
      <c r="J3654" s="19"/>
    </row>
    <row r="3655" ht="15.75" customHeight="1">
      <c r="B3655" s="20"/>
      <c r="C3655" s="21"/>
      <c r="D3655" s="21"/>
      <c r="E3655" s="21"/>
      <c r="F3655" s="22"/>
      <c r="G3655" s="22"/>
      <c r="H3655" s="21"/>
      <c r="I3655" s="21"/>
      <c r="J3655" s="23"/>
    </row>
    <row r="3656" ht="15.75" customHeight="1">
      <c r="B3656" s="15"/>
      <c r="C3656" s="16"/>
      <c r="D3656" s="16"/>
      <c r="E3656" s="16"/>
      <c r="F3656" s="17"/>
      <c r="G3656" s="17"/>
      <c r="H3656" s="16"/>
      <c r="I3656" s="16"/>
      <c r="J3656" s="19"/>
    </row>
    <row r="3657" ht="15.75" customHeight="1">
      <c r="B3657" s="20"/>
      <c r="C3657" s="21"/>
      <c r="D3657" s="21"/>
      <c r="E3657" s="21"/>
      <c r="F3657" s="22"/>
      <c r="G3657" s="22"/>
      <c r="H3657" s="21"/>
      <c r="I3657" s="21"/>
      <c r="J3657" s="23"/>
    </row>
    <row r="3658" ht="15.75" customHeight="1">
      <c r="B3658" s="15"/>
      <c r="C3658" s="16"/>
      <c r="D3658" s="16"/>
      <c r="E3658" s="16"/>
      <c r="F3658" s="17"/>
      <c r="G3658" s="17"/>
      <c r="H3658" s="16"/>
      <c r="I3658" s="16"/>
      <c r="J3658" s="19"/>
    </row>
    <row r="3659" ht="15.75" customHeight="1">
      <c r="B3659" s="20"/>
      <c r="C3659" s="21"/>
      <c r="D3659" s="21"/>
      <c r="E3659" s="21"/>
      <c r="F3659" s="22"/>
      <c r="G3659" s="22"/>
      <c r="H3659" s="21"/>
      <c r="I3659" s="21"/>
      <c r="J3659" s="23"/>
    </row>
    <row r="3660" ht="15.75" customHeight="1">
      <c r="B3660" s="15"/>
      <c r="C3660" s="16"/>
      <c r="D3660" s="16"/>
      <c r="E3660" s="16"/>
      <c r="F3660" s="17"/>
      <c r="G3660" s="17"/>
      <c r="H3660" s="16"/>
      <c r="I3660" s="16"/>
      <c r="J3660" s="19"/>
    </row>
    <row r="3661" ht="15.75" customHeight="1">
      <c r="B3661" s="20"/>
      <c r="C3661" s="21"/>
      <c r="D3661" s="21"/>
      <c r="E3661" s="21"/>
      <c r="F3661" s="22"/>
      <c r="G3661" s="22"/>
      <c r="H3661" s="21"/>
      <c r="I3661" s="21"/>
      <c r="J3661" s="23"/>
    </row>
    <row r="3662" ht="15.75" customHeight="1">
      <c r="B3662" s="15"/>
      <c r="C3662" s="16"/>
      <c r="D3662" s="16"/>
      <c r="E3662" s="16"/>
      <c r="F3662" s="17"/>
      <c r="G3662" s="17"/>
      <c r="H3662" s="16"/>
      <c r="I3662" s="16"/>
      <c r="J3662" s="19"/>
    </row>
    <row r="3663" ht="15.75" customHeight="1">
      <c r="B3663" s="20"/>
      <c r="C3663" s="21"/>
      <c r="D3663" s="21"/>
      <c r="E3663" s="21"/>
      <c r="F3663" s="22"/>
      <c r="G3663" s="22"/>
      <c r="H3663" s="21"/>
      <c r="I3663" s="21"/>
      <c r="J3663" s="23"/>
    </row>
    <row r="3664" ht="15.75" customHeight="1">
      <c r="B3664" s="15"/>
      <c r="C3664" s="16"/>
      <c r="D3664" s="16"/>
      <c r="E3664" s="16"/>
      <c r="F3664" s="17"/>
      <c r="G3664" s="17"/>
      <c r="H3664" s="16"/>
      <c r="I3664" s="16"/>
      <c r="J3664" s="19"/>
    </row>
    <row r="3665" ht="15.75" customHeight="1">
      <c r="B3665" s="20"/>
      <c r="C3665" s="21"/>
      <c r="D3665" s="21"/>
      <c r="E3665" s="21"/>
      <c r="F3665" s="22"/>
      <c r="G3665" s="22"/>
      <c r="H3665" s="21"/>
      <c r="I3665" s="21"/>
      <c r="J3665" s="23"/>
    </row>
    <row r="3666" ht="15.75" customHeight="1">
      <c r="B3666" s="15"/>
      <c r="C3666" s="16"/>
      <c r="D3666" s="16"/>
      <c r="E3666" s="16"/>
      <c r="F3666" s="17"/>
      <c r="G3666" s="17"/>
      <c r="H3666" s="16"/>
      <c r="I3666" s="16"/>
      <c r="J3666" s="19"/>
    </row>
    <row r="3667" ht="15.75" customHeight="1">
      <c r="B3667" s="20"/>
      <c r="C3667" s="21"/>
      <c r="D3667" s="21"/>
      <c r="E3667" s="21"/>
      <c r="F3667" s="22"/>
      <c r="G3667" s="22"/>
      <c r="H3667" s="21"/>
      <c r="I3667" s="21"/>
      <c r="J3667" s="23"/>
    </row>
    <row r="3668" ht="15.75" customHeight="1">
      <c r="B3668" s="15"/>
      <c r="C3668" s="16"/>
      <c r="D3668" s="16"/>
      <c r="E3668" s="16"/>
      <c r="F3668" s="17"/>
      <c r="G3668" s="17"/>
      <c r="H3668" s="16"/>
      <c r="I3668" s="16"/>
      <c r="J3668" s="19"/>
    </row>
    <row r="3669" ht="15.75" customHeight="1">
      <c r="B3669" s="20"/>
      <c r="C3669" s="21"/>
      <c r="D3669" s="21"/>
      <c r="E3669" s="21"/>
      <c r="F3669" s="22"/>
      <c r="G3669" s="22"/>
      <c r="H3669" s="21"/>
      <c r="I3669" s="21"/>
      <c r="J3669" s="23"/>
    </row>
    <row r="3670" ht="15.75" customHeight="1">
      <c r="B3670" s="15"/>
      <c r="C3670" s="16"/>
      <c r="D3670" s="16"/>
      <c r="E3670" s="16"/>
      <c r="F3670" s="17"/>
      <c r="G3670" s="17"/>
      <c r="H3670" s="16"/>
      <c r="I3670" s="16"/>
      <c r="J3670" s="19"/>
    </row>
    <row r="3671" ht="15.75" customHeight="1">
      <c r="B3671" s="20"/>
      <c r="C3671" s="21"/>
      <c r="D3671" s="21"/>
      <c r="E3671" s="21"/>
      <c r="F3671" s="22"/>
      <c r="G3671" s="22"/>
      <c r="H3671" s="21"/>
      <c r="I3671" s="21"/>
      <c r="J3671" s="23"/>
    </row>
    <row r="3672" ht="15.75" customHeight="1">
      <c r="B3672" s="15"/>
      <c r="C3672" s="16"/>
      <c r="D3672" s="16"/>
      <c r="E3672" s="16"/>
      <c r="F3672" s="17"/>
      <c r="G3672" s="17"/>
      <c r="H3672" s="16"/>
      <c r="I3672" s="16"/>
      <c r="J3672" s="19"/>
    </row>
    <row r="3673" ht="15.75" customHeight="1">
      <c r="B3673" s="20"/>
      <c r="C3673" s="21"/>
      <c r="D3673" s="21"/>
      <c r="E3673" s="21"/>
      <c r="F3673" s="22"/>
      <c r="G3673" s="22"/>
      <c r="H3673" s="21"/>
      <c r="I3673" s="21"/>
      <c r="J3673" s="23"/>
    </row>
    <row r="3674" ht="15.75" customHeight="1">
      <c r="B3674" s="15"/>
      <c r="C3674" s="16"/>
      <c r="D3674" s="16"/>
      <c r="E3674" s="16"/>
      <c r="F3674" s="17"/>
      <c r="G3674" s="17"/>
      <c r="H3674" s="16"/>
      <c r="I3674" s="16"/>
      <c r="J3674" s="19"/>
    </row>
    <row r="3675" ht="15.75" customHeight="1">
      <c r="B3675" s="20"/>
      <c r="C3675" s="21"/>
      <c r="D3675" s="21"/>
      <c r="E3675" s="21"/>
      <c r="F3675" s="22"/>
      <c r="G3675" s="22"/>
      <c r="H3675" s="21"/>
      <c r="I3675" s="21"/>
      <c r="J3675" s="23"/>
    </row>
    <row r="3676" ht="15.75" customHeight="1">
      <c r="B3676" s="15"/>
      <c r="C3676" s="16"/>
      <c r="D3676" s="16"/>
      <c r="E3676" s="16"/>
      <c r="F3676" s="17"/>
      <c r="G3676" s="17"/>
      <c r="H3676" s="16"/>
      <c r="I3676" s="16"/>
      <c r="J3676" s="19"/>
    </row>
    <row r="3677" ht="15.75" customHeight="1">
      <c r="B3677" s="20"/>
      <c r="C3677" s="21"/>
      <c r="D3677" s="21"/>
      <c r="E3677" s="21"/>
      <c r="F3677" s="22"/>
      <c r="G3677" s="22"/>
      <c r="H3677" s="21"/>
      <c r="I3677" s="21"/>
      <c r="J3677" s="23"/>
    </row>
    <row r="3678" ht="15.75" customHeight="1">
      <c r="B3678" s="15"/>
      <c r="C3678" s="16"/>
      <c r="D3678" s="16"/>
      <c r="E3678" s="16"/>
      <c r="F3678" s="17"/>
      <c r="G3678" s="17"/>
      <c r="H3678" s="16"/>
      <c r="I3678" s="16"/>
      <c r="J3678" s="19"/>
    </row>
    <row r="3679" ht="15.75" customHeight="1">
      <c r="B3679" s="20"/>
      <c r="C3679" s="21"/>
      <c r="D3679" s="21"/>
      <c r="E3679" s="21"/>
      <c r="F3679" s="22"/>
      <c r="G3679" s="22"/>
      <c r="H3679" s="21"/>
      <c r="I3679" s="21"/>
      <c r="J3679" s="23"/>
    </row>
    <row r="3680" ht="15.75" customHeight="1">
      <c r="B3680" s="15"/>
      <c r="C3680" s="16"/>
      <c r="D3680" s="16"/>
      <c r="E3680" s="16"/>
      <c r="F3680" s="17"/>
      <c r="G3680" s="17"/>
      <c r="H3680" s="16"/>
      <c r="I3680" s="16"/>
      <c r="J3680" s="19"/>
    </row>
    <row r="3681" ht="15.75" customHeight="1">
      <c r="B3681" s="20"/>
      <c r="C3681" s="21"/>
      <c r="D3681" s="21"/>
      <c r="E3681" s="21"/>
      <c r="F3681" s="22"/>
      <c r="G3681" s="22"/>
      <c r="H3681" s="21"/>
      <c r="I3681" s="21"/>
      <c r="J3681" s="23"/>
    </row>
    <row r="3682" ht="15.75" customHeight="1">
      <c r="B3682" s="15"/>
      <c r="C3682" s="16"/>
      <c r="D3682" s="16"/>
      <c r="E3682" s="16"/>
      <c r="F3682" s="17"/>
      <c r="G3682" s="17"/>
      <c r="H3682" s="16"/>
      <c r="I3682" s="16"/>
      <c r="J3682" s="19"/>
    </row>
    <row r="3683" ht="15.75" customHeight="1">
      <c r="B3683" s="20"/>
      <c r="C3683" s="21"/>
      <c r="D3683" s="21"/>
      <c r="E3683" s="21"/>
      <c r="F3683" s="22"/>
      <c r="G3683" s="22"/>
      <c r="H3683" s="21"/>
      <c r="I3683" s="21"/>
      <c r="J3683" s="23"/>
    </row>
    <row r="3684" ht="15.75" customHeight="1">
      <c r="B3684" s="15"/>
      <c r="C3684" s="16"/>
      <c r="D3684" s="16"/>
      <c r="E3684" s="16"/>
      <c r="F3684" s="17"/>
      <c r="G3684" s="17"/>
      <c r="H3684" s="16"/>
      <c r="I3684" s="16"/>
      <c r="J3684" s="19"/>
    </row>
    <row r="3685" ht="15.75" customHeight="1">
      <c r="B3685" s="20"/>
      <c r="C3685" s="21"/>
      <c r="D3685" s="21"/>
      <c r="E3685" s="21"/>
      <c r="F3685" s="22"/>
      <c r="G3685" s="22"/>
      <c r="H3685" s="21"/>
      <c r="I3685" s="21"/>
      <c r="J3685" s="23"/>
    </row>
    <row r="3686" ht="15.75" customHeight="1">
      <c r="B3686" s="15"/>
      <c r="C3686" s="16"/>
      <c r="D3686" s="16"/>
      <c r="E3686" s="16"/>
      <c r="F3686" s="17"/>
      <c r="G3686" s="17"/>
      <c r="H3686" s="16"/>
      <c r="I3686" s="16"/>
      <c r="J3686" s="19"/>
    </row>
    <row r="3687" ht="15.75" customHeight="1">
      <c r="B3687" s="20"/>
      <c r="C3687" s="21"/>
      <c r="D3687" s="21"/>
      <c r="E3687" s="21"/>
      <c r="F3687" s="22"/>
      <c r="G3687" s="22"/>
      <c r="H3687" s="21"/>
      <c r="I3687" s="21"/>
      <c r="J3687" s="23"/>
    </row>
    <row r="3688" ht="15.75" customHeight="1">
      <c r="B3688" s="15"/>
      <c r="C3688" s="16"/>
      <c r="D3688" s="16"/>
      <c r="E3688" s="16"/>
      <c r="F3688" s="17"/>
      <c r="G3688" s="17"/>
      <c r="H3688" s="16"/>
      <c r="I3688" s="16"/>
      <c r="J3688" s="19"/>
    </row>
    <row r="3689" ht="15.75" customHeight="1">
      <c r="B3689" s="20"/>
      <c r="C3689" s="21"/>
      <c r="D3689" s="21"/>
      <c r="E3689" s="21"/>
      <c r="F3689" s="22"/>
      <c r="G3689" s="22"/>
      <c r="H3689" s="21"/>
      <c r="I3689" s="21"/>
      <c r="J3689" s="23"/>
    </row>
    <row r="3690" ht="15.75" customHeight="1">
      <c r="B3690" s="15"/>
      <c r="C3690" s="16"/>
      <c r="D3690" s="16"/>
      <c r="E3690" s="16"/>
      <c r="F3690" s="17"/>
      <c r="G3690" s="17"/>
      <c r="H3690" s="16"/>
      <c r="I3690" s="16"/>
      <c r="J3690" s="19"/>
    </row>
    <row r="3691" ht="15.75" customHeight="1">
      <c r="B3691" s="20"/>
      <c r="C3691" s="21"/>
      <c r="D3691" s="21"/>
      <c r="E3691" s="21"/>
      <c r="F3691" s="22"/>
      <c r="G3691" s="22"/>
      <c r="H3691" s="21"/>
      <c r="I3691" s="21"/>
      <c r="J3691" s="23"/>
    </row>
    <row r="3692" ht="15.75" customHeight="1">
      <c r="B3692" s="15"/>
      <c r="C3692" s="16"/>
      <c r="D3692" s="16"/>
      <c r="E3692" s="16"/>
      <c r="F3692" s="17"/>
      <c r="G3692" s="17"/>
      <c r="H3692" s="16"/>
      <c r="I3692" s="16"/>
      <c r="J3692" s="19"/>
    </row>
    <row r="3693" ht="15.75" customHeight="1">
      <c r="B3693" s="20"/>
      <c r="C3693" s="21"/>
      <c r="D3693" s="21"/>
      <c r="E3693" s="21"/>
      <c r="F3693" s="22"/>
      <c r="G3693" s="22"/>
      <c r="H3693" s="21"/>
      <c r="I3693" s="21"/>
      <c r="J3693" s="23"/>
    </row>
    <row r="3694" ht="15.75" customHeight="1">
      <c r="B3694" s="15"/>
      <c r="C3694" s="16"/>
      <c r="D3694" s="16"/>
      <c r="E3694" s="16"/>
      <c r="F3694" s="17"/>
      <c r="G3694" s="17"/>
      <c r="H3694" s="16"/>
      <c r="I3694" s="16"/>
      <c r="J3694" s="19"/>
    </row>
    <row r="3695" ht="15.75" customHeight="1">
      <c r="B3695" s="20"/>
      <c r="C3695" s="21"/>
      <c r="D3695" s="21"/>
      <c r="E3695" s="21"/>
      <c r="F3695" s="22"/>
      <c r="G3695" s="22"/>
      <c r="H3695" s="21"/>
      <c r="I3695" s="21"/>
      <c r="J3695" s="23"/>
    </row>
    <row r="3696" ht="15.75" customHeight="1">
      <c r="B3696" s="15"/>
      <c r="C3696" s="16"/>
      <c r="D3696" s="16"/>
      <c r="E3696" s="16"/>
      <c r="F3696" s="17"/>
      <c r="G3696" s="17"/>
      <c r="H3696" s="16"/>
      <c r="I3696" s="16"/>
      <c r="J3696" s="19"/>
    </row>
    <row r="3697" ht="15.75" customHeight="1">
      <c r="B3697" s="20"/>
      <c r="C3697" s="21"/>
      <c r="D3697" s="21"/>
      <c r="E3697" s="21"/>
      <c r="F3697" s="22"/>
      <c r="G3697" s="22"/>
      <c r="H3697" s="21"/>
      <c r="I3697" s="21"/>
      <c r="J3697" s="23"/>
    </row>
    <row r="3698" ht="15.75" customHeight="1">
      <c r="B3698" s="15"/>
      <c r="C3698" s="16"/>
      <c r="D3698" s="16"/>
      <c r="E3698" s="16"/>
      <c r="F3698" s="17"/>
      <c r="G3698" s="17"/>
      <c r="H3698" s="16"/>
      <c r="I3698" s="16"/>
      <c r="J3698" s="19"/>
    </row>
    <row r="3699" ht="15.75" customHeight="1">
      <c r="B3699" s="20"/>
      <c r="C3699" s="21"/>
      <c r="D3699" s="21"/>
      <c r="E3699" s="21"/>
      <c r="F3699" s="22"/>
      <c r="G3699" s="22"/>
      <c r="H3699" s="21"/>
      <c r="I3699" s="21"/>
      <c r="J3699" s="23"/>
    </row>
    <row r="3700" ht="15.75" customHeight="1">
      <c r="B3700" s="15"/>
      <c r="C3700" s="16"/>
      <c r="D3700" s="16"/>
      <c r="E3700" s="16"/>
      <c r="F3700" s="17"/>
      <c r="G3700" s="17"/>
      <c r="H3700" s="16"/>
      <c r="I3700" s="16"/>
      <c r="J3700" s="19"/>
    </row>
    <row r="3701" ht="15.75" customHeight="1">
      <c r="B3701" s="20"/>
      <c r="C3701" s="21"/>
      <c r="D3701" s="21"/>
      <c r="E3701" s="21"/>
      <c r="F3701" s="22"/>
      <c r="G3701" s="22"/>
      <c r="H3701" s="21"/>
      <c r="I3701" s="21"/>
      <c r="J3701" s="23"/>
    </row>
    <row r="3702" ht="15.75" customHeight="1">
      <c r="B3702" s="15"/>
      <c r="C3702" s="16"/>
      <c r="D3702" s="16"/>
      <c r="E3702" s="16"/>
      <c r="F3702" s="17"/>
      <c r="G3702" s="17"/>
      <c r="H3702" s="16"/>
      <c r="I3702" s="16"/>
      <c r="J3702" s="19"/>
    </row>
    <row r="3703" ht="15.75" customHeight="1">
      <c r="B3703" s="20"/>
      <c r="C3703" s="21"/>
      <c r="D3703" s="21"/>
      <c r="E3703" s="21"/>
      <c r="F3703" s="22"/>
      <c r="G3703" s="22"/>
      <c r="H3703" s="21"/>
      <c r="I3703" s="21"/>
      <c r="J3703" s="23"/>
    </row>
    <row r="3704" ht="15.75" customHeight="1">
      <c r="B3704" s="15"/>
      <c r="C3704" s="16"/>
      <c r="D3704" s="16"/>
      <c r="E3704" s="16"/>
      <c r="F3704" s="17"/>
      <c r="G3704" s="17"/>
      <c r="H3704" s="16"/>
      <c r="I3704" s="16"/>
      <c r="J3704" s="19"/>
    </row>
    <row r="3705" ht="15.75" customHeight="1">
      <c r="B3705" s="20"/>
      <c r="C3705" s="21"/>
      <c r="D3705" s="21"/>
      <c r="E3705" s="21"/>
      <c r="F3705" s="22"/>
      <c r="G3705" s="22"/>
      <c r="H3705" s="21"/>
      <c r="I3705" s="21"/>
      <c r="J3705" s="23"/>
    </row>
    <row r="3706" ht="15.75" customHeight="1">
      <c r="B3706" s="15"/>
      <c r="C3706" s="16"/>
      <c r="D3706" s="16"/>
      <c r="E3706" s="16"/>
      <c r="F3706" s="17"/>
      <c r="G3706" s="17"/>
      <c r="H3706" s="16"/>
      <c r="I3706" s="16"/>
      <c r="J3706" s="19"/>
    </row>
    <row r="3707" ht="15.75" customHeight="1">
      <c r="B3707" s="20"/>
      <c r="C3707" s="21"/>
      <c r="D3707" s="21"/>
      <c r="E3707" s="21"/>
      <c r="F3707" s="22"/>
      <c r="G3707" s="22"/>
      <c r="H3707" s="21"/>
      <c r="I3707" s="21"/>
      <c r="J3707" s="23"/>
    </row>
    <row r="3708" ht="15.75" customHeight="1">
      <c r="B3708" s="15"/>
      <c r="C3708" s="16"/>
      <c r="D3708" s="16"/>
      <c r="E3708" s="16"/>
      <c r="F3708" s="17"/>
      <c r="G3708" s="17"/>
      <c r="H3708" s="16"/>
      <c r="I3708" s="16"/>
      <c r="J3708" s="19"/>
    </row>
    <row r="3709" ht="15.75" customHeight="1">
      <c r="B3709" s="20"/>
      <c r="C3709" s="21"/>
      <c r="D3709" s="21"/>
      <c r="E3709" s="21"/>
      <c r="F3709" s="22"/>
      <c r="G3709" s="22"/>
      <c r="H3709" s="21"/>
      <c r="I3709" s="21"/>
      <c r="J3709" s="23"/>
    </row>
    <row r="3710" ht="15.75" customHeight="1">
      <c r="B3710" s="15"/>
      <c r="C3710" s="16"/>
      <c r="D3710" s="16"/>
      <c r="E3710" s="16"/>
      <c r="F3710" s="17"/>
      <c r="G3710" s="17"/>
      <c r="H3710" s="16"/>
      <c r="I3710" s="16"/>
      <c r="J3710" s="19"/>
    </row>
    <row r="3711" ht="15.75" customHeight="1">
      <c r="B3711" s="20"/>
      <c r="C3711" s="21"/>
      <c r="D3711" s="21"/>
      <c r="E3711" s="21"/>
      <c r="F3711" s="22"/>
      <c r="G3711" s="22"/>
      <c r="H3711" s="21"/>
      <c r="I3711" s="21"/>
      <c r="J3711" s="23"/>
    </row>
    <row r="3712" ht="15.75" customHeight="1">
      <c r="B3712" s="15"/>
      <c r="C3712" s="16"/>
      <c r="D3712" s="16"/>
      <c r="E3712" s="16"/>
      <c r="F3712" s="17"/>
      <c r="G3712" s="17"/>
      <c r="H3712" s="16"/>
      <c r="I3712" s="16"/>
      <c r="J3712" s="19"/>
    </row>
    <row r="3713" ht="15.75" customHeight="1">
      <c r="B3713" s="20"/>
      <c r="C3713" s="21"/>
      <c r="D3713" s="21"/>
      <c r="E3713" s="21"/>
      <c r="F3713" s="22"/>
      <c r="G3713" s="22"/>
      <c r="H3713" s="21"/>
      <c r="I3713" s="21"/>
      <c r="J3713" s="23"/>
    </row>
    <row r="3714" ht="15.75" customHeight="1">
      <c r="B3714" s="15"/>
      <c r="C3714" s="16"/>
      <c r="D3714" s="16"/>
      <c r="E3714" s="16"/>
      <c r="F3714" s="17"/>
      <c r="G3714" s="17"/>
      <c r="H3714" s="16"/>
      <c r="I3714" s="16"/>
      <c r="J3714" s="19"/>
    </row>
    <row r="3715" ht="15.75" customHeight="1">
      <c r="B3715" s="20"/>
      <c r="C3715" s="21"/>
      <c r="D3715" s="21"/>
      <c r="E3715" s="21"/>
      <c r="F3715" s="22"/>
      <c r="G3715" s="22"/>
      <c r="H3715" s="21"/>
      <c r="I3715" s="21"/>
      <c r="J3715" s="23"/>
    </row>
    <row r="3716" ht="15.75" customHeight="1">
      <c r="B3716" s="15"/>
      <c r="C3716" s="16"/>
      <c r="D3716" s="16"/>
      <c r="E3716" s="16"/>
      <c r="F3716" s="17"/>
      <c r="G3716" s="17"/>
      <c r="H3716" s="16"/>
      <c r="I3716" s="16"/>
      <c r="J3716" s="19"/>
    </row>
    <row r="3717" ht="15.75" customHeight="1">
      <c r="B3717" s="20"/>
      <c r="C3717" s="21"/>
      <c r="D3717" s="21"/>
      <c r="E3717" s="21"/>
      <c r="F3717" s="22"/>
      <c r="G3717" s="22"/>
      <c r="H3717" s="21"/>
      <c r="I3717" s="21"/>
      <c r="J3717" s="23"/>
    </row>
    <row r="3718" ht="15.75" customHeight="1">
      <c r="B3718" s="15"/>
      <c r="C3718" s="16"/>
      <c r="D3718" s="16"/>
      <c r="E3718" s="16"/>
      <c r="F3718" s="17"/>
      <c r="G3718" s="17"/>
      <c r="H3718" s="16"/>
      <c r="I3718" s="16"/>
      <c r="J3718" s="19"/>
    </row>
    <row r="3719" ht="15.75" customHeight="1">
      <c r="B3719" s="20"/>
      <c r="C3719" s="21"/>
      <c r="D3719" s="21"/>
      <c r="E3719" s="21"/>
      <c r="F3719" s="22"/>
      <c r="G3719" s="22"/>
      <c r="H3719" s="21"/>
      <c r="I3719" s="21"/>
      <c r="J3719" s="23"/>
    </row>
    <row r="3720" ht="15.75" customHeight="1">
      <c r="B3720" s="15"/>
      <c r="C3720" s="16"/>
      <c r="D3720" s="16"/>
      <c r="E3720" s="16"/>
      <c r="F3720" s="17"/>
      <c r="G3720" s="17"/>
      <c r="H3720" s="16"/>
      <c r="I3720" s="16"/>
      <c r="J3720" s="19"/>
    </row>
    <row r="3721" ht="15.75" customHeight="1">
      <c r="B3721" s="20"/>
      <c r="C3721" s="21"/>
      <c r="D3721" s="21"/>
      <c r="E3721" s="21"/>
      <c r="F3721" s="22"/>
      <c r="G3721" s="22"/>
      <c r="H3721" s="21"/>
      <c r="I3721" s="21"/>
      <c r="J3721" s="23"/>
    </row>
    <row r="3722" ht="15.75" customHeight="1">
      <c r="B3722" s="15"/>
      <c r="C3722" s="16"/>
      <c r="D3722" s="16"/>
      <c r="E3722" s="16"/>
      <c r="F3722" s="17"/>
      <c r="G3722" s="17"/>
      <c r="H3722" s="16"/>
      <c r="I3722" s="16"/>
      <c r="J3722" s="19"/>
    </row>
    <row r="3723" ht="15.75" customHeight="1">
      <c r="B3723" s="20"/>
      <c r="C3723" s="21"/>
      <c r="D3723" s="21"/>
      <c r="E3723" s="21"/>
      <c r="F3723" s="22"/>
      <c r="G3723" s="22"/>
      <c r="H3723" s="21"/>
      <c r="I3723" s="21"/>
      <c r="J3723" s="23"/>
    </row>
    <row r="3724" ht="15.75" customHeight="1">
      <c r="B3724" s="15"/>
      <c r="C3724" s="16"/>
      <c r="D3724" s="16"/>
      <c r="E3724" s="16"/>
      <c r="F3724" s="17"/>
      <c r="G3724" s="17"/>
      <c r="H3724" s="16"/>
      <c r="I3724" s="16"/>
      <c r="J3724" s="19"/>
    </row>
    <row r="3725" ht="15.75" customHeight="1">
      <c r="B3725" s="20"/>
      <c r="C3725" s="21"/>
      <c r="D3725" s="21"/>
      <c r="E3725" s="21"/>
      <c r="F3725" s="22"/>
      <c r="G3725" s="22"/>
      <c r="H3725" s="21"/>
      <c r="I3725" s="21"/>
      <c r="J3725" s="23"/>
    </row>
    <row r="3726" ht="15.75" customHeight="1">
      <c r="B3726" s="15"/>
      <c r="C3726" s="16"/>
      <c r="D3726" s="16"/>
      <c r="E3726" s="16"/>
      <c r="F3726" s="17"/>
      <c r="G3726" s="17"/>
      <c r="H3726" s="16"/>
      <c r="I3726" s="16"/>
      <c r="J3726" s="19"/>
    </row>
    <row r="3727" ht="15.75" customHeight="1">
      <c r="B3727" s="20"/>
      <c r="C3727" s="21"/>
      <c r="D3727" s="21"/>
      <c r="E3727" s="21"/>
      <c r="F3727" s="22"/>
      <c r="G3727" s="22"/>
      <c r="H3727" s="21"/>
      <c r="I3727" s="21"/>
      <c r="J3727" s="23"/>
    </row>
    <row r="3728" ht="15.75" customHeight="1">
      <c r="B3728" s="15"/>
      <c r="C3728" s="16"/>
      <c r="D3728" s="16"/>
      <c r="E3728" s="16"/>
      <c r="F3728" s="17"/>
      <c r="G3728" s="17"/>
      <c r="H3728" s="16"/>
      <c r="I3728" s="16"/>
      <c r="J3728" s="19"/>
    </row>
    <row r="3729" ht="15.75" customHeight="1">
      <c r="B3729" s="20"/>
      <c r="C3729" s="21"/>
      <c r="D3729" s="21"/>
      <c r="E3729" s="21"/>
      <c r="F3729" s="22"/>
      <c r="G3729" s="22"/>
      <c r="H3729" s="21"/>
      <c r="I3729" s="21"/>
      <c r="J3729" s="23"/>
    </row>
    <row r="3730" ht="15.75" customHeight="1">
      <c r="B3730" s="15"/>
      <c r="C3730" s="16"/>
      <c r="D3730" s="16"/>
      <c r="E3730" s="16"/>
      <c r="F3730" s="17"/>
      <c r="G3730" s="17"/>
      <c r="H3730" s="16"/>
      <c r="I3730" s="16"/>
      <c r="J3730" s="19"/>
    </row>
    <row r="3731" ht="15.75" customHeight="1">
      <c r="B3731" s="20"/>
      <c r="C3731" s="21"/>
      <c r="D3731" s="21"/>
      <c r="E3731" s="21"/>
      <c r="F3731" s="22"/>
      <c r="G3731" s="22"/>
      <c r="H3731" s="21"/>
      <c r="I3731" s="21"/>
      <c r="J3731" s="23"/>
    </row>
    <row r="3732" ht="15.75" customHeight="1">
      <c r="B3732" s="15"/>
      <c r="C3732" s="16"/>
      <c r="D3732" s="16"/>
      <c r="E3732" s="16"/>
      <c r="F3732" s="17"/>
      <c r="G3732" s="17"/>
      <c r="H3732" s="16"/>
      <c r="I3732" s="16"/>
      <c r="J3732" s="19"/>
    </row>
    <row r="3733" ht="15.75" customHeight="1">
      <c r="B3733" s="20"/>
      <c r="C3733" s="21"/>
      <c r="D3733" s="21"/>
      <c r="E3733" s="21"/>
      <c r="F3733" s="22"/>
      <c r="G3733" s="22"/>
      <c r="H3733" s="21"/>
      <c r="I3733" s="21"/>
      <c r="J3733" s="23"/>
    </row>
    <row r="3734" ht="15.75" customHeight="1">
      <c r="B3734" s="15"/>
      <c r="C3734" s="16"/>
      <c r="D3734" s="16"/>
      <c r="E3734" s="16"/>
      <c r="F3734" s="17"/>
      <c r="G3734" s="17"/>
      <c r="H3734" s="16"/>
      <c r="I3734" s="16"/>
      <c r="J3734" s="19"/>
    </row>
    <row r="3735" ht="15.75" customHeight="1">
      <c r="B3735" s="20"/>
      <c r="C3735" s="21"/>
      <c r="D3735" s="21"/>
      <c r="E3735" s="21"/>
      <c r="F3735" s="22"/>
      <c r="G3735" s="22"/>
      <c r="H3735" s="21"/>
      <c r="I3735" s="21"/>
      <c r="J3735" s="23"/>
    </row>
    <row r="3736" ht="15.75" customHeight="1">
      <c r="B3736" s="15"/>
      <c r="C3736" s="16"/>
      <c r="D3736" s="16"/>
      <c r="E3736" s="16"/>
      <c r="F3736" s="17"/>
      <c r="G3736" s="17"/>
      <c r="H3736" s="16"/>
      <c r="I3736" s="16"/>
      <c r="J3736" s="19"/>
    </row>
    <row r="3737" ht="15.75" customHeight="1">
      <c r="B3737" s="20"/>
      <c r="C3737" s="21"/>
      <c r="D3737" s="21"/>
      <c r="E3737" s="21"/>
      <c r="F3737" s="22"/>
      <c r="G3737" s="22"/>
      <c r="H3737" s="21"/>
      <c r="I3737" s="21"/>
      <c r="J3737" s="23"/>
    </row>
    <row r="3738" ht="15.75" customHeight="1">
      <c r="B3738" s="15"/>
      <c r="C3738" s="16"/>
      <c r="D3738" s="16"/>
      <c r="E3738" s="16"/>
      <c r="F3738" s="17"/>
      <c r="G3738" s="17"/>
      <c r="H3738" s="16"/>
      <c r="I3738" s="16"/>
      <c r="J3738" s="19"/>
    </row>
    <row r="3739" ht="15.75" customHeight="1">
      <c r="B3739" s="20"/>
      <c r="C3739" s="21"/>
      <c r="D3739" s="21"/>
      <c r="E3739" s="21"/>
      <c r="F3739" s="22"/>
      <c r="G3739" s="22"/>
      <c r="H3739" s="21"/>
      <c r="I3739" s="21"/>
      <c r="J3739" s="23"/>
    </row>
    <row r="3740" ht="15.75" customHeight="1">
      <c r="B3740" s="15"/>
      <c r="C3740" s="16"/>
      <c r="D3740" s="16"/>
      <c r="E3740" s="16"/>
      <c r="F3740" s="17"/>
      <c r="G3740" s="17"/>
      <c r="H3740" s="16"/>
      <c r="I3740" s="16"/>
      <c r="J3740" s="19"/>
    </row>
    <row r="3741" ht="15.75" customHeight="1">
      <c r="B3741" s="20"/>
      <c r="C3741" s="21"/>
      <c r="D3741" s="21"/>
      <c r="E3741" s="21"/>
      <c r="F3741" s="22"/>
      <c r="G3741" s="22"/>
      <c r="H3741" s="21"/>
      <c r="I3741" s="21"/>
      <c r="J3741" s="23"/>
    </row>
    <row r="3742" ht="15.75" customHeight="1">
      <c r="B3742" s="15"/>
      <c r="C3742" s="16"/>
      <c r="D3742" s="16"/>
      <c r="E3742" s="16"/>
      <c r="F3742" s="17"/>
      <c r="G3742" s="17"/>
      <c r="H3742" s="16"/>
      <c r="I3742" s="16"/>
      <c r="J3742" s="19"/>
    </row>
    <row r="3743" ht="15.75" customHeight="1">
      <c r="B3743" s="20"/>
      <c r="C3743" s="21"/>
      <c r="D3743" s="21"/>
      <c r="E3743" s="21"/>
      <c r="F3743" s="22"/>
      <c r="G3743" s="22"/>
      <c r="H3743" s="21"/>
      <c r="I3743" s="21"/>
      <c r="J3743" s="23"/>
    </row>
    <row r="3744" ht="15.75" customHeight="1">
      <c r="B3744" s="15"/>
      <c r="C3744" s="16"/>
      <c r="D3744" s="16"/>
      <c r="E3744" s="16"/>
      <c r="F3744" s="17"/>
      <c r="G3744" s="17"/>
      <c r="H3744" s="16"/>
      <c r="I3744" s="16"/>
      <c r="J3744" s="19"/>
    </row>
    <row r="3745" ht="15.75" customHeight="1">
      <c r="B3745" s="20"/>
      <c r="C3745" s="21"/>
      <c r="D3745" s="21"/>
      <c r="E3745" s="21"/>
      <c r="F3745" s="22"/>
      <c r="G3745" s="22"/>
      <c r="H3745" s="21"/>
      <c r="I3745" s="21"/>
      <c r="J3745" s="23"/>
    </row>
    <row r="3746" ht="15.75" customHeight="1">
      <c r="B3746" s="15"/>
      <c r="C3746" s="16"/>
      <c r="D3746" s="16"/>
      <c r="E3746" s="16"/>
      <c r="F3746" s="17"/>
      <c r="G3746" s="17"/>
      <c r="H3746" s="16"/>
      <c r="I3746" s="16"/>
      <c r="J3746" s="19"/>
    </row>
    <row r="3747" ht="15.75" customHeight="1">
      <c r="B3747" s="20"/>
      <c r="C3747" s="21"/>
      <c r="D3747" s="21"/>
      <c r="E3747" s="21"/>
      <c r="F3747" s="22"/>
      <c r="G3747" s="22"/>
      <c r="H3747" s="21"/>
      <c r="I3747" s="21"/>
      <c r="J3747" s="23"/>
    </row>
    <row r="3748" ht="15.75" customHeight="1">
      <c r="B3748" s="15"/>
      <c r="C3748" s="16"/>
      <c r="D3748" s="16"/>
      <c r="E3748" s="16"/>
      <c r="F3748" s="17"/>
      <c r="G3748" s="17"/>
      <c r="H3748" s="16"/>
      <c r="I3748" s="16"/>
      <c r="J3748" s="19"/>
    </row>
    <row r="3749" ht="15.75" customHeight="1">
      <c r="B3749" s="20"/>
      <c r="C3749" s="21"/>
      <c r="D3749" s="21"/>
      <c r="E3749" s="21"/>
      <c r="F3749" s="22"/>
      <c r="G3749" s="22"/>
      <c r="H3749" s="21"/>
      <c r="I3749" s="21"/>
      <c r="J3749" s="23"/>
    </row>
    <row r="3750" ht="15.75" customHeight="1">
      <c r="B3750" s="15"/>
      <c r="C3750" s="16"/>
      <c r="D3750" s="16"/>
      <c r="E3750" s="16"/>
      <c r="F3750" s="17"/>
      <c r="G3750" s="17"/>
      <c r="H3750" s="16"/>
      <c r="I3750" s="16"/>
      <c r="J3750" s="19"/>
    </row>
    <row r="3751" ht="15.75" customHeight="1">
      <c r="B3751" s="20"/>
      <c r="C3751" s="21"/>
      <c r="D3751" s="21"/>
      <c r="E3751" s="21"/>
      <c r="F3751" s="22"/>
      <c r="G3751" s="22"/>
      <c r="H3751" s="21"/>
      <c r="I3751" s="21"/>
      <c r="J3751" s="23"/>
    </row>
    <row r="3752" ht="15.75" customHeight="1">
      <c r="B3752" s="15"/>
      <c r="C3752" s="16"/>
      <c r="D3752" s="16"/>
      <c r="E3752" s="16"/>
      <c r="F3752" s="17"/>
      <c r="G3752" s="17"/>
      <c r="H3752" s="16"/>
      <c r="I3752" s="16"/>
      <c r="J3752" s="19"/>
    </row>
    <row r="3753" ht="15.75" customHeight="1">
      <c r="B3753" s="20"/>
      <c r="C3753" s="21"/>
      <c r="D3753" s="21"/>
      <c r="E3753" s="21"/>
      <c r="F3753" s="22"/>
      <c r="G3753" s="22"/>
      <c r="H3753" s="21"/>
      <c r="I3753" s="21"/>
      <c r="J3753" s="23"/>
    </row>
    <row r="3754" ht="15.75" customHeight="1">
      <c r="B3754" s="15"/>
      <c r="C3754" s="16"/>
      <c r="D3754" s="16"/>
      <c r="E3754" s="16"/>
      <c r="F3754" s="17"/>
      <c r="G3754" s="17"/>
      <c r="H3754" s="16"/>
      <c r="I3754" s="16"/>
      <c r="J3754" s="19"/>
    </row>
    <row r="3755" ht="15.75" customHeight="1">
      <c r="B3755" s="20"/>
      <c r="C3755" s="21"/>
      <c r="D3755" s="21"/>
      <c r="E3755" s="21"/>
      <c r="F3755" s="22"/>
      <c r="G3755" s="22"/>
      <c r="H3755" s="21"/>
      <c r="I3755" s="21"/>
      <c r="J3755" s="23"/>
    </row>
    <row r="3756" ht="15.75" customHeight="1">
      <c r="B3756" s="15"/>
      <c r="C3756" s="16"/>
      <c r="D3756" s="16"/>
      <c r="E3756" s="16"/>
      <c r="F3756" s="17"/>
      <c r="G3756" s="17"/>
      <c r="H3756" s="16"/>
      <c r="I3756" s="16"/>
      <c r="J3756" s="19"/>
    </row>
    <row r="3757" ht="15.75" customHeight="1">
      <c r="B3757" s="20"/>
      <c r="C3757" s="21"/>
      <c r="D3757" s="21"/>
      <c r="E3757" s="21"/>
      <c r="F3757" s="22"/>
      <c r="G3757" s="22"/>
      <c r="H3757" s="21"/>
      <c r="I3757" s="21"/>
      <c r="J3757" s="23"/>
    </row>
    <row r="3758" ht="15.75" customHeight="1">
      <c r="B3758" s="15"/>
      <c r="C3758" s="16"/>
      <c r="D3758" s="16"/>
      <c r="E3758" s="16"/>
      <c r="F3758" s="17"/>
      <c r="G3758" s="17"/>
      <c r="H3758" s="16"/>
      <c r="I3758" s="16"/>
      <c r="J3758" s="19"/>
    </row>
    <row r="3759" ht="15.75" customHeight="1">
      <c r="B3759" s="20"/>
      <c r="C3759" s="21"/>
      <c r="D3759" s="21"/>
      <c r="E3759" s="21"/>
      <c r="F3759" s="22"/>
      <c r="G3759" s="22"/>
      <c r="H3759" s="21"/>
      <c r="I3759" s="21"/>
      <c r="J3759" s="23"/>
    </row>
    <row r="3760" ht="15.75" customHeight="1">
      <c r="B3760" s="15"/>
      <c r="C3760" s="16"/>
      <c r="D3760" s="16"/>
      <c r="E3760" s="16"/>
      <c r="F3760" s="17"/>
      <c r="G3760" s="17"/>
      <c r="H3760" s="16"/>
      <c r="I3760" s="16"/>
      <c r="J3760" s="19"/>
    </row>
    <row r="3761" ht="15.75" customHeight="1">
      <c r="B3761" s="20"/>
      <c r="C3761" s="21"/>
      <c r="D3761" s="21"/>
      <c r="E3761" s="21"/>
      <c r="F3761" s="22"/>
      <c r="G3761" s="22"/>
      <c r="H3761" s="21"/>
      <c r="I3761" s="21"/>
      <c r="J3761" s="23"/>
    </row>
    <row r="3762" ht="15.75" customHeight="1">
      <c r="B3762" s="15"/>
      <c r="C3762" s="16"/>
      <c r="D3762" s="16"/>
      <c r="E3762" s="16"/>
      <c r="F3762" s="17"/>
      <c r="G3762" s="17"/>
      <c r="H3762" s="16"/>
      <c r="I3762" s="16"/>
      <c r="J3762" s="19"/>
    </row>
    <row r="3763" ht="15.75" customHeight="1">
      <c r="B3763" s="20"/>
      <c r="C3763" s="21"/>
      <c r="D3763" s="21"/>
      <c r="E3763" s="21"/>
      <c r="F3763" s="22"/>
      <c r="G3763" s="22"/>
      <c r="H3763" s="21"/>
      <c r="I3763" s="21"/>
      <c r="J3763" s="23"/>
    </row>
    <row r="3764" ht="15.75" customHeight="1">
      <c r="B3764" s="15"/>
      <c r="C3764" s="16"/>
      <c r="D3764" s="16"/>
      <c r="E3764" s="16"/>
      <c r="F3764" s="17"/>
      <c r="G3764" s="17"/>
      <c r="H3764" s="16"/>
      <c r="I3764" s="16"/>
      <c r="J3764" s="19"/>
    </row>
    <row r="3765" ht="15.75" customHeight="1">
      <c r="B3765" s="20"/>
      <c r="C3765" s="21"/>
      <c r="D3765" s="21"/>
      <c r="E3765" s="21"/>
      <c r="F3765" s="22"/>
      <c r="G3765" s="22"/>
      <c r="H3765" s="21"/>
      <c r="I3765" s="21"/>
      <c r="J3765" s="23"/>
    </row>
    <row r="3766" ht="15.75" customHeight="1">
      <c r="B3766" s="15"/>
      <c r="C3766" s="16"/>
      <c r="D3766" s="16"/>
      <c r="E3766" s="16"/>
      <c r="F3766" s="17"/>
      <c r="G3766" s="17"/>
      <c r="H3766" s="16"/>
      <c r="I3766" s="16"/>
      <c r="J3766" s="19"/>
    </row>
    <row r="3767" ht="15.75" customHeight="1">
      <c r="B3767" s="20"/>
      <c r="C3767" s="21"/>
      <c r="D3767" s="21"/>
      <c r="E3767" s="21"/>
      <c r="F3767" s="22"/>
      <c r="G3767" s="22"/>
      <c r="H3767" s="21"/>
      <c r="I3767" s="21"/>
      <c r="J3767" s="23"/>
    </row>
    <row r="3768" ht="15.75" customHeight="1">
      <c r="B3768" s="15"/>
      <c r="C3768" s="16"/>
      <c r="D3768" s="16"/>
      <c r="E3768" s="16"/>
      <c r="F3768" s="17"/>
      <c r="G3768" s="17"/>
      <c r="H3768" s="16"/>
      <c r="I3768" s="16"/>
      <c r="J3768" s="19"/>
    </row>
    <row r="3769" ht="15.75" customHeight="1">
      <c r="B3769" s="20"/>
      <c r="C3769" s="21"/>
      <c r="D3769" s="21"/>
      <c r="E3769" s="21"/>
      <c r="F3769" s="22"/>
      <c r="G3769" s="22"/>
      <c r="H3769" s="21"/>
      <c r="I3769" s="21"/>
      <c r="J3769" s="23"/>
    </row>
    <row r="3770" ht="15.75" customHeight="1">
      <c r="B3770" s="15"/>
      <c r="C3770" s="16"/>
      <c r="D3770" s="16"/>
      <c r="E3770" s="16"/>
      <c r="F3770" s="17"/>
      <c r="G3770" s="17"/>
      <c r="H3770" s="16"/>
      <c r="I3770" s="16"/>
      <c r="J3770" s="19"/>
    </row>
    <row r="3771" ht="15.75" customHeight="1">
      <c r="B3771" s="20"/>
      <c r="C3771" s="21"/>
      <c r="D3771" s="21"/>
      <c r="E3771" s="21"/>
      <c r="F3771" s="22"/>
      <c r="G3771" s="22"/>
      <c r="H3771" s="21"/>
      <c r="I3771" s="21"/>
      <c r="J3771" s="23"/>
    </row>
    <row r="3772" ht="15.75" customHeight="1">
      <c r="B3772" s="15"/>
      <c r="C3772" s="16"/>
      <c r="D3772" s="16"/>
      <c r="E3772" s="16"/>
      <c r="F3772" s="17"/>
      <c r="G3772" s="17"/>
      <c r="H3772" s="16"/>
      <c r="I3772" s="16"/>
      <c r="J3772" s="19"/>
    </row>
    <row r="3773" ht="15.75" customHeight="1">
      <c r="B3773" s="20"/>
      <c r="C3773" s="21"/>
      <c r="D3773" s="21"/>
      <c r="E3773" s="21"/>
      <c r="F3773" s="22"/>
      <c r="G3773" s="22"/>
      <c r="H3773" s="21"/>
      <c r="I3773" s="21"/>
      <c r="J3773" s="23"/>
    </row>
    <row r="3774" ht="15.75" customHeight="1">
      <c r="B3774" s="15"/>
      <c r="C3774" s="16"/>
      <c r="D3774" s="16"/>
      <c r="E3774" s="16"/>
      <c r="F3774" s="17"/>
      <c r="G3774" s="17"/>
      <c r="H3774" s="16"/>
      <c r="I3774" s="16"/>
      <c r="J3774" s="19"/>
    </row>
    <row r="3775" ht="15.75" customHeight="1">
      <c r="B3775" s="20"/>
      <c r="C3775" s="21"/>
      <c r="D3775" s="21"/>
      <c r="E3775" s="21"/>
      <c r="F3775" s="22"/>
      <c r="G3775" s="22"/>
      <c r="H3775" s="21"/>
      <c r="I3775" s="21"/>
      <c r="J3775" s="23"/>
    </row>
    <row r="3776" ht="15.75" customHeight="1">
      <c r="B3776" s="15"/>
      <c r="C3776" s="16"/>
      <c r="D3776" s="16"/>
      <c r="E3776" s="16"/>
      <c r="F3776" s="17"/>
      <c r="G3776" s="17"/>
      <c r="H3776" s="16"/>
      <c r="I3776" s="16"/>
      <c r="J3776" s="19"/>
    </row>
    <row r="3777" ht="15.75" customHeight="1">
      <c r="B3777" s="20"/>
      <c r="C3777" s="21"/>
      <c r="D3777" s="21"/>
      <c r="E3777" s="21"/>
      <c r="F3777" s="22"/>
      <c r="G3777" s="22"/>
      <c r="H3777" s="21"/>
      <c r="I3777" s="21"/>
      <c r="J3777" s="23"/>
    </row>
    <row r="3778" ht="15.75" customHeight="1">
      <c r="B3778" s="15"/>
      <c r="C3778" s="16"/>
      <c r="D3778" s="16"/>
      <c r="E3778" s="16"/>
      <c r="F3778" s="17"/>
      <c r="G3778" s="17"/>
      <c r="H3778" s="16"/>
      <c r="I3778" s="16"/>
      <c r="J3778" s="19"/>
    </row>
    <row r="3779" ht="15.75" customHeight="1">
      <c r="B3779" s="20"/>
      <c r="C3779" s="21"/>
      <c r="D3779" s="21"/>
      <c r="E3779" s="21"/>
      <c r="F3779" s="22"/>
      <c r="G3779" s="22"/>
      <c r="H3779" s="21"/>
      <c r="I3779" s="21"/>
      <c r="J3779" s="23"/>
    </row>
    <row r="3780" ht="15.75" customHeight="1">
      <c r="B3780" s="15"/>
      <c r="C3780" s="16"/>
      <c r="D3780" s="16"/>
      <c r="E3780" s="16"/>
      <c r="F3780" s="17"/>
      <c r="G3780" s="17"/>
      <c r="H3780" s="16"/>
      <c r="I3780" s="16"/>
      <c r="J3780" s="19"/>
    </row>
    <row r="3781" ht="15.75" customHeight="1">
      <c r="B3781" s="20"/>
      <c r="C3781" s="21"/>
      <c r="D3781" s="21"/>
      <c r="E3781" s="21"/>
      <c r="F3781" s="22"/>
      <c r="G3781" s="22"/>
      <c r="H3781" s="21"/>
      <c r="I3781" s="21"/>
      <c r="J3781" s="23"/>
    </row>
    <row r="3782" ht="15.75" customHeight="1">
      <c r="B3782" s="15"/>
      <c r="C3782" s="16"/>
      <c r="D3782" s="16"/>
      <c r="E3782" s="16"/>
      <c r="F3782" s="17"/>
      <c r="G3782" s="17"/>
      <c r="H3782" s="16"/>
      <c r="I3782" s="16"/>
      <c r="J3782" s="19"/>
    </row>
    <row r="3783" ht="15.75" customHeight="1">
      <c r="B3783" s="20"/>
      <c r="C3783" s="21"/>
      <c r="D3783" s="21"/>
      <c r="E3783" s="21"/>
      <c r="F3783" s="22"/>
      <c r="G3783" s="22"/>
      <c r="H3783" s="21"/>
      <c r="I3783" s="21"/>
      <c r="J3783" s="23"/>
    </row>
    <row r="3784" ht="15.75" customHeight="1">
      <c r="B3784" s="15"/>
      <c r="C3784" s="16"/>
      <c r="D3784" s="16"/>
      <c r="E3784" s="16"/>
      <c r="F3784" s="17"/>
      <c r="G3784" s="17"/>
      <c r="H3784" s="16"/>
      <c r="I3784" s="16"/>
      <c r="J3784" s="19"/>
    </row>
    <row r="3785" ht="15.75" customHeight="1">
      <c r="B3785" s="20"/>
      <c r="C3785" s="21"/>
      <c r="D3785" s="21"/>
      <c r="E3785" s="21"/>
      <c r="F3785" s="22"/>
      <c r="G3785" s="22"/>
      <c r="H3785" s="21"/>
      <c r="I3785" s="21"/>
      <c r="J3785" s="23"/>
    </row>
    <row r="3786" ht="15.75" customHeight="1">
      <c r="B3786" s="15"/>
      <c r="C3786" s="16"/>
      <c r="D3786" s="16"/>
      <c r="E3786" s="16"/>
      <c r="F3786" s="17"/>
      <c r="G3786" s="17"/>
      <c r="H3786" s="16"/>
      <c r="I3786" s="16"/>
      <c r="J3786" s="19"/>
    </row>
    <row r="3787" ht="15.75" customHeight="1">
      <c r="B3787" s="20"/>
      <c r="C3787" s="21"/>
      <c r="D3787" s="21"/>
      <c r="E3787" s="21"/>
      <c r="F3787" s="22"/>
      <c r="G3787" s="22"/>
      <c r="H3787" s="21"/>
      <c r="I3787" s="21"/>
      <c r="J3787" s="23"/>
    </row>
    <row r="3788" ht="15.75" customHeight="1">
      <c r="B3788" s="15"/>
      <c r="C3788" s="16"/>
      <c r="D3788" s="16"/>
      <c r="E3788" s="16"/>
      <c r="F3788" s="17"/>
      <c r="G3788" s="17"/>
      <c r="H3788" s="16"/>
      <c r="I3788" s="16"/>
      <c r="J3788" s="19"/>
    </row>
    <row r="3789" ht="15.75" customHeight="1">
      <c r="B3789" s="20"/>
      <c r="C3789" s="21"/>
      <c r="D3789" s="21"/>
      <c r="E3789" s="21"/>
      <c r="F3789" s="22"/>
      <c r="G3789" s="22"/>
      <c r="H3789" s="21"/>
      <c r="I3789" s="21"/>
      <c r="J3789" s="23"/>
    </row>
    <row r="3790" ht="15.75" customHeight="1">
      <c r="B3790" s="15"/>
      <c r="C3790" s="16"/>
      <c r="D3790" s="16"/>
      <c r="E3790" s="16"/>
      <c r="F3790" s="17"/>
      <c r="G3790" s="17"/>
      <c r="H3790" s="16"/>
      <c r="I3790" s="16"/>
      <c r="J3790" s="19"/>
    </row>
    <row r="3791" ht="15.75" customHeight="1">
      <c r="B3791" s="20"/>
      <c r="C3791" s="21"/>
      <c r="D3791" s="21"/>
      <c r="E3791" s="21"/>
      <c r="F3791" s="22"/>
      <c r="G3791" s="22"/>
      <c r="H3791" s="21"/>
      <c r="I3791" s="21"/>
      <c r="J3791" s="23"/>
    </row>
    <row r="3792" ht="15.75" customHeight="1">
      <c r="B3792" s="15"/>
      <c r="C3792" s="16"/>
      <c r="D3792" s="16"/>
      <c r="E3792" s="16"/>
      <c r="F3792" s="17"/>
      <c r="G3792" s="17"/>
      <c r="H3792" s="16"/>
      <c r="I3792" s="16"/>
      <c r="J3792" s="19"/>
    </row>
    <row r="3793" ht="15.75" customHeight="1">
      <c r="B3793" s="20"/>
      <c r="C3793" s="21"/>
      <c r="D3793" s="21"/>
      <c r="E3793" s="21"/>
      <c r="F3793" s="22"/>
      <c r="G3793" s="22"/>
      <c r="H3793" s="21"/>
      <c r="I3793" s="21"/>
      <c r="J3793" s="23"/>
    </row>
    <row r="3794" ht="15.75" customHeight="1">
      <c r="B3794" s="15"/>
      <c r="C3794" s="16"/>
      <c r="D3794" s="16"/>
      <c r="E3794" s="16"/>
      <c r="F3794" s="17"/>
      <c r="G3794" s="17"/>
      <c r="H3794" s="16"/>
      <c r="I3794" s="16"/>
      <c r="J3794" s="19"/>
    </row>
    <row r="3795" ht="15.75" customHeight="1">
      <c r="B3795" s="20"/>
      <c r="C3795" s="21"/>
      <c r="D3795" s="21"/>
      <c r="E3795" s="21"/>
      <c r="F3795" s="22"/>
      <c r="G3795" s="22"/>
      <c r="H3795" s="21"/>
      <c r="I3795" s="21"/>
      <c r="J3795" s="23"/>
    </row>
    <row r="3796" ht="15.75" customHeight="1">
      <c r="B3796" s="15"/>
      <c r="C3796" s="16"/>
      <c r="D3796" s="16"/>
      <c r="E3796" s="16"/>
      <c r="F3796" s="17"/>
      <c r="G3796" s="17"/>
      <c r="H3796" s="16"/>
      <c r="I3796" s="16"/>
      <c r="J3796" s="19"/>
    </row>
    <row r="3797" ht="15.75" customHeight="1">
      <c r="B3797" s="20"/>
      <c r="C3797" s="21"/>
      <c r="D3797" s="21"/>
      <c r="E3797" s="21"/>
      <c r="F3797" s="22"/>
      <c r="G3797" s="22"/>
      <c r="H3797" s="21"/>
      <c r="I3797" s="21"/>
      <c r="J3797" s="23"/>
    </row>
    <row r="3798" ht="15.75" customHeight="1">
      <c r="B3798" s="15"/>
      <c r="C3798" s="16"/>
      <c r="D3798" s="16"/>
      <c r="E3798" s="16"/>
      <c r="F3798" s="17"/>
      <c r="G3798" s="17"/>
      <c r="H3798" s="16"/>
      <c r="I3798" s="16"/>
      <c r="J3798" s="19"/>
    </row>
    <row r="3799" ht="15.75" customHeight="1">
      <c r="B3799" s="20"/>
      <c r="C3799" s="21"/>
      <c r="D3799" s="21"/>
      <c r="E3799" s="21"/>
      <c r="F3799" s="22"/>
      <c r="G3799" s="22"/>
      <c r="H3799" s="21"/>
      <c r="I3799" s="21"/>
      <c r="J3799" s="23"/>
    </row>
    <row r="3800" ht="15.75" customHeight="1">
      <c r="B3800" s="15"/>
      <c r="C3800" s="16"/>
      <c r="D3800" s="16"/>
      <c r="E3800" s="16"/>
      <c r="F3800" s="17"/>
      <c r="G3800" s="17"/>
      <c r="H3800" s="16"/>
      <c r="I3800" s="16"/>
      <c r="J3800" s="19"/>
    </row>
    <row r="3801" ht="15.75" customHeight="1">
      <c r="B3801" s="20"/>
      <c r="C3801" s="21"/>
      <c r="D3801" s="21"/>
      <c r="E3801" s="21"/>
      <c r="F3801" s="22"/>
      <c r="G3801" s="22"/>
      <c r="H3801" s="21"/>
      <c r="I3801" s="21"/>
      <c r="J3801" s="28"/>
    </row>
    <row r="3802" ht="15.75" customHeight="1">
      <c r="B3802" s="15"/>
      <c r="C3802" s="16"/>
      <c r="D3802" s="16"/>
      <c r="E3802" s="16"/>
      <c r="F3802" s="17"/>
      <c r="G3802" s="17"/>
      <c r="H3802" s="16"/>
      <c r="I3802" s="16"/>
      <c r="J3802" s="19"/>
    </row>
    <row r="3803" ht="15.75" customHeight="1">
      <c r="B3803" s="20"/>
      <c r="C3803" s="21"/>
      <c r="D3803" s="21"/>
      <c r="E3803" s="21"/>
      <c r="F3803" s="22"/>
      <c r="G3803" s="22"/>
      <c r="H3803" s="21"/>
      <c r="I3803" s="21"/>
      <c r="J3803" s="23"/>
    </row>
    <row r="3804" ht="15.75" customHeight="1">
      <c r="B3804" s="15"/>
      <c r="C3804" s="16"/>
      <c r="D3804" s="16"/>
      <c r="E3804" s="16"/>
      <c r="F3804" s="17"/>
      <c r="G3804" s="17"/>
      <c r="H3804" s="16"/>
      <c r="I3804" s="16"/>
      <c r="J3804" s="19"/>
    </row>
    <row r="3805" ht="15.75" customHeight="1">
      <c r="B3805" s="20"/>
      <c r="C3805" s="21"/>
      <c r="D3805" s="21"/>
      <c r="E3805" s="21"/>
      <c r="F3805" s="22"/>
      <c r="G3805" s="22"/>
      <c r="H3805" s="21"/>
      <c r="I3805" s="21"/>
      <c r="J3805" s="23"/>
    </row>
    <row r="3806" ht="15.75" customHeight="1">
      <c r="B3806" s="15"/>
      <c r="C3806" s="16"/>
      <c r="D3806" s="16"/>
      <c r="E3806" s="16"/>
      <c r="F3806" s="17"/>
      <c r="G3806" s="17"/>
      <c r="H3806" s="16"/>
      <c r="I3806" s="16"/>
      <c r="J3806" s="19"/>
    </row>
    <row r="3807" ht="15.75" customHeight="1">
      <c r="B3807" s="20"/>
      <c r="C3807" s="21"/>
      <c r="D3807" s="21"/>
      <c r="E3807" s="21"/>
      <c r="F3807" s="22"/>
      <c r="G3807" s="22"/>
      <c r="H3807" s="21"/>
      <c r="I3807" s="21"/>
      <c r="J3807" s="23"/>
    </row>
    <row r="3808" ht="15.75" customHeight="1">
      <c r="B3808" s="15"/>
      <c r="C3808" s="16"/>
      <c r="D3808" s="16"/>
      <c r="E3808" s="16"/>
      <c r="F3808" s="17"/>
      <c r="G3808" s="17"/>
      <c r="H3808" s="16"/>
      <c r="I3808" s="16"/>
      <c r="J3808" s="19"/>
    </row>
    <row r="3809" ht="15.75" customHeight="1">
      <c r="B3809" s="20"/>
      <c r="C3809" s="21"/>
      <c r="D3809" s="21"/>
      <c r="E3809" s="21"/>
      <c r="F3809" s="22"/>
      <c r="G3809" s="22"/>
      <c r="H3809" s="21"/>
      <c r="I3809" s="21"/>
      <c r="J3809" s="23"/>
    </row>
    <row r="3810" ht="15.75" customHeight="1">
      <c r="B3810" s="15"/>
      <c r="C3810" s="16"/>
      <c r="D3810" s="16"/>
      <c r="E3810" s="16"/>
      <c r="F3810" s="17"/>
      <c r="G3810" s="17"/>
      <c r="H3810" s="16"/>
      <c r="I3810" s="16"/>
      <c r="J3810" s="19"/>
    </row>
    <row r="3811" ht="15.75" customHeight="1">
      <c r="B3811" s="20"/>
      <c r="C3811" s="21"/>
      <c r="D3811" s="21"/>
      <c r="E3811" s="21"/>
      <c r="F3811" s="22"/>
      <c r="G3811" s="22"/>
      <c r="H3811" s="21"/>
      <c r="I3811" s="21"/>
      <c r="J3811" s="23"/>
    </row>
    <row r="3812" ht="15.75" customHeight="1">
      <c r="B3812" s="15"/>
      <c r="C3812" s="16"/>
      <c r="D3812" s="16"/>
      <c r="E3812" s="16"/>
      <c r="F3812" s="17"/>
      <c r="G3812" s="17"/>
      <c r="H3812" s="16"/>
      <c r="I3812" s="16"/>
      <c r="J3812" s="19"/>
    </row>
    <row r="3813" ht="15.75" customHeight="1">
      <c r="B3813" s="20"/>
      <c r="C3813" s="21"/>
      <c r="D3813" s="21"/>
      <c r="E3813" s="21"/>
      <c r="F3813" s="22"/>
      <c r="G3813" s="22"/>
      <c r="H3813" s="21"/>
      <c r="I3813" s="21"/>
      <c r="J3813" s="23"/>
    </row>
    <row r="3814" ht="15.75" customHeight="1">
      <c r="B3814" s="15"/>
      <c r="C3814" s="16"/>
      <c r="D3814" s="16"/>
      <c r="E3814" s="16"/>
      <c r="F3814" s="17"/>
      <c r="G3814" s="17"/>
      <c r="H3814" s="16"/>
      <c r="I3814" s="16"/>
      <c r="J3814" s="19"/>
    </row>
    <row r="3815" ht="15.75" customHeight="1">
      <c r="B3815" s="20"/>
      <c r="C3815" s="21"/>
      <c r="D3815" s="21"/>
      <c r="E3815" s="21"/>
      <c r="F3815" s="22"/>
      <c r="G3815" s="22"/>
      <c r="H3815" s="21"/>
      <c r="I3815" s="21"/>
      <c r="J3815" s="23"/>
    </row>
    <row r="3816" ht="15.75" customHeight="1">
      <c r="B3816" s="15"/>
      <c r="C3816" s="16"/>
      <c r="D3816" s="16"/>
      <c r="E3816" s="16"/>
      <c r="F3816" s="17"/>
      <c r="G3816" s="17"/>
      <c r="H3816" s="16"/>
      <c r="I3816" s="16"/>
      <c r="J3816" s="19"/>
    </row>
    <row r="3817" ht="15.75" customHeight="1">
      <c r="B3817" s="20"/>
      <c r="C3817" s="21"/>
      <c r="D3817" s="21"/>
      <c r="E3817" s="21"/>
      <c r="F3817" s="22"/>
      <c r="G3817" s="22"/>
      <c r="H3817" s="21"/>
      <c r="I3817" s="21"/>
      <c r="J3817" s="23"/>
    </row>
    <row r="3818" ht="15.75" customHeight="1">
      <c r="B3818" s="15"/>
      <c r="C3818" s="16"/>
      <c r="D3818" s="16"/>
      <c r="E3818" s="16"/>
      <c r="F3818" s="17"/>
      <c r="G3818" s="17"/>
      <c r="H3818" s="16"/>
      <c r="I3818" s="16"/>
      <c r="J3818" s="19"/>
    </row>
    <row r="3819" ht="15.75" customHeight="1">
      <c r="B3819" s="20"/>
      <c r="C3819" s="21"/>
      <c r="D3819" s="21"/>
      <c r="E3819" s="21"/>
      <c r="F3819" s="22"/>
      <c r="G3819" s="22"/>
      <c r="H3819" s="21"/>
      <c r="I3819" s="21"/>
      <c r="J3819" s="23"/>
    </row>
    <row r="3820" ht="15.75" customHeight="1">
      <c r="B3820" s="15"/>
      <c r="C3820" s="16"/>
      <c r="D3820" s="16"/>
      <c r="E3820" s="16"/>
      <c r="F3820" s="17"/>
      <c r="G3820" s="17"/>
      <c r="H3820" s="16"/>
      <c r="I3820" s="16"/>
      <c r="J3820" s="19"/>
    </row>
    <row r="3821" ht="15.75" customHeight="1">
      <c r="B3821" s="20"/>
      <c r="C3821" s="21"/>
      <c r="D3821" s="21"/>
      <c r="E3821" s="21"/>
      <c r="F3821" s="22"/>
      <c r="G3821" s="22"/>
      <c r="H3821" s="21"/>
      <c r="I3821" s="21"/>
      <c r="J3821" s="23"/>
    </row>
    <row r="3822" ht="15.75" customHeight="1">
      <c r="B3822" s="15"/>
      <c r="C3822" s="16"/>
      <c r="D3822" s="16"/>
      <c r="E3822" s="16"/>
      <c r="F3822" s="17"/>
      <c r="G3822" s="17"/>
      <c r="H3822" s="16"/>
      <c r="I3822" s="16"/>
      <c r="J3822" s="19"/>
    </row>
    <row r="3823" ht="15.75" customHeight="1">
      <c r="B3823" s="20"/>
      <c r="C3823" s="21"/>
      <c r="D3823" s="21"/>
      <c r="E3823" s="21"/>
      <c r="F3823" s="22"/>
      <c r="G3823" s="22"/>
      <c r="H3823" s="21"/>
      <c r="I3823" s="21"/>
      <c r="J3823" s="23"/>
    </row>
    <row r="3824" ht="15.75" customHeight="1">
      <c r="B3824" s="15"/>
      <c r="C3824" s="16"/>
      <c r="D3824" s="16"/>
      <c r="E3824" s="16"/>
      <c r="F3824" s="17"/>
      <c r="G3824" s="17"/>
      <c r="H3824" s="16"/>
      <c r="I3824" s="16"/>
      <c r="J3824" s="19"/>
    </row>
    <row r="3825" ht="15.75" customHeight="1">
      <c r="B3825" s="20"/>
      <c r="C3825" s="21"/>
      <c r="D3825" s="21"/>
      <c r="E3825" s="21"/>
      <c r="F3825" s="22"/>
      <c r="G3825" s="22"/>
      <c r="H3825" s="21"/>
      <c r="I3825" s="21"/>
      <c r="J3825" s="23"/>
    </row>
    <row r="3826" ht="15.75" customHeight="1">
      <c r="B3826" s="15"/>
      <c r="C3826" s="16"/>
      <c r="D3826" s="16"/>
      <c r="E3826" s="16"/>
      <c r="F3826" s="17"/>
      <c r="G3826" s="17"/>
      <c r="H3826" s="16"/>
      <c r="I3826" s="16"/>
      <c r="J3826" s="19"/>
    </row>
    <row r="3827" ht="15.75" customHeight="1">
      <c r="B3827" s="20"/>
      <c r="C3827" s="21"/>
      <c r="D3827" s="21"/>
      <c r="E3827" s="21"/>
      <c r="F3827" s="22"/>
      <c r="G3827" s="22"/>
      <c r="H3827" s="21"/>
      <c r="I3827" s="21"/>
      <c r="J3827" s="23"/>
    </row>
    <row r="3828" ht="15.75" customHeight="1">
      <c r="B3828" s="15"/>
      <c r="C3828" s="16"/>
      <c r="D3828" s="16"/>
      <c r="E3828" s="16"/>
      <c r="F3828" s="17"/>
      <c r="G3828" s="17"/>
      <c r="H3828" s="16"/>
      <c r="I3828" s="16"/>
      <c r="J3828" s="19"/>
    </row>
    <row r="3829" ht="15.75" customHeight="1">
      <c r="B3829" s="20"/>
      <c r="C3829" s="21"/>
      <c r="D3829" s="21"/>
      <c r="E3829" s="21"/>
      <c r="F3829" s="22"/>
      <c r="G3829" s="22"/>
      <c r="H3829" s="21"/>
      <c r="I3829" s="21"/>
      <c r="J3829" s="23"/>
    </row>
    <row r="3830" ht="15.75" customHeight="1">
      <c r="B3830" s="15"/>
      <c r="C3830" s="16"/>
      <c r="D3830" s="16"/>
      <c r="E3830" s="16"/>
      <c r="F3830" s="17"/>
      <c r="G3830" s="17"/>
      <c r="H3830" s="16"/>
      <c r="I3830" s="16"/>
      <c r="J3830" s="19"/>
    </row>
    <row r="3831" ht="15.75" customHeight="1">
      <c r="B3831" s="20"/>
      <c r="C3831" s="21"/>
      <c r="D3831" s="21"/>
      <c r="E3831" s="21"/>
      <c r="F3831" s="22"/>
      <c r="G3831" s="22"/>
      <c r="H3831" s="21"/>
      <c r="I3831" s="21"/>
      <c r="J3831" s="23"/>
    </row>
    <row r="3832" ht="15.75" customHeight="1">
      <c r="B3832" s="15"/>
      <c r="C3832" s="16"/>
      <c r="D3832" s="16"/>
      <c r="E3832" s="16"/>
      <c r="F3832" s="17"/>
      <c r="G3832" s="17"/>
      <c r="H3832" s="16"/>
      <c r="I3832" s="16"/>
      <c r="J3832" s="19"/>
    </row>
    <row r="3833" ht="15.75" customHeight="1">
      <c r="B3833" s="20"/>
      <c r="C3833" s="21"/>
      <c r="D3833" s="21"/>
      <c r="E3833" s="21"/>
      <c r="F3833" s="22"/>
      <c r="G3833" s="22"/>
      <c r="H3833" s="21"/>
      <c r="I3833" s="21"/>
      <c r="J3833" s="23"/>
    </row>
    <row r="3834" ht="15.75" customHeight="1">
      <c r="B3834" s="15"/>
      <c r="C3834" s="16"/>
      <c r="D3834" s="16"/>
      <c r="E3834" s="16"/>
      <c r="F3834" s="17"/>
      <c r="G3834" s="17"/>
      <c r="H3834" s="16"/>
      <c r="I3834" s="16"/>
      <c r="J3834" s="19"/>
    </row>
    <row r="3835" ht="15.75" customHeight="1">
      <c r="B3835" s="20"/>
      <c r="C3835" s="21"/>
      <c r="D3835" s="21"/>
      <c r="E3835" s="21"/>
      <c r="F3835" s="22"/>
      <c r="G3835" s="22"/>
      <c r="H3835" s="21"/>
      <c r="I3835" s="21"/>
      <c r="J3835" s="23"/>
    </row>
    <row r="3836" ht="15.75" customHeight="1">
      <c r="B3836" s="15"/>
      <c r="C3836" s="16"/>
      <c r="D3836" s="16"/>
      <c r="E3836" s="16"/>
      <c r="F3836" s="17"/>
      <c r="G3836" s="17"/>
      <c r="H3836" s="16"/>
      <c r="I3836" s="16"/>
      <c r="J3836" s="19"/>
    </row>
    <row r="3837" ht="15.75" customHeight="1">
      <c r="B3837" s="20"/>
      <c r="C3837" s="21"/>
      <c r="D3837" s="21"/>
      <c r="E3837" s="21"/>
      <c r="F3837" s="22"/>
      <c r="G3837" s="22"/>
      <c r="H3837" s="21"/>
      <c r="I3837" s="21"/>
      <c r="J3837" s="23"/>
    </row>
    <row r="3838" ht="15.75" customHeight="1">
      <c r="B3838" s="15"/>
      <c r="C3838" s="16"/>
      <c r="D3838" s="16"/>
      <c r="E3838" s="16"/>
      <c r="F3838" s="17"/>
      <c r="G3838" s="17"/>
      <c r="H3838" s="16"/>
      <c r="I3838" s="16"/>
      <c r="J3838" s="19"/>
    </row>
    <row r="3839" ht="15.75" customHeight="1">
      <c r="B3839" s="20"/>
      <c r="C3839" s="21"/>
      <c r="D3839" s="21"/>
      <c r="E3839" s="21"/>
      <c r="F3839" s="22"/>
      <c r="G3839" s="22"/>
      <c r="H3839" s="21"/>
      <c r="I3839" s="21"/>
      <c r="J3839" s="23"/>
    </row>
    <row r="3840" ht="15.75" customHeight="1">
      <c r="B3840" s="15"/>
      <c r="C3840" s="16"/>
      <c r="D3840" s="16"/>
      <c r="E3840" s="16"/>
      <c r="F3840" s="17"/>
      <c r="G3840" s="17"/>
      <c r="H3840" s="16"/>
      <c r="I3840" s="16"/>
      <c r="J3840" s="19"/>
    </row>
    <row r="3841" ht="15.75" customHeight="1">
      <c r="B3841" s="20"/>
      <c r="C3841" s="21"/>
      <c r="D3841" s="21"/>
      <c r="E3841" s="21"/>
      <c r="F3841" s="22"/>
      <c r="G3841" s="22"/>
      <c r="H3841" s="21"/>
      <c r="I3841" s="21"/>
      <c r="J3841" s="23"/>
    </row>
    <row r="3842" ht="15.75" customHeight="1">
      <c r="B3842" s="15"/>
      <c r="C3842" s="16"/>
      <c r="D3842" s="16"/>
      <c r="E3842" s="16"/>
      <c r="F3842" s="17"/>
      <c r="G3842" s="17"/>
      <c r="H3842" s="16"/>
      <c r="I3842" s="16"/>
      <c r="J3842" s="19"/>
    </row>
    <row r="3843" ht="15.75" customHeight="1">
      <c r="B3843" s="20"/>
      <c r="C3843" s="21"/>
      <c r="D3843" s="21"/>
      <c r="E3843" s="21"/>
      <c r="F3843" s="22"/>
      <c r="G3843" s="22"/>
      <c r="H3843" s="21"/>
      <c r="I3843" s="21"/>
      <c r="J3843" s="23"/>
    </row>
    <row r="3844" ht="15.75" customHeight="1">
      <c r="B3844" s="15"/>
      <c r="C3844" s="16"/>
      <c r="D3844" s="16"/>
      <c r="E3844" s="16"/>
      <c r="F3844" s="17"/>
      <c r="G3844" s="17"/>
      <c r="H3844" s="16"/>
      <c r="I3844" s="16"/>
      <c r="J3844" s="19"/>
    </row>
    <row r="3845" ht="15.75" customHeight="1">
      <c r="B3845" s="20"/>
      <c r="C3845" s="21"/>
      <c r="D3845" s="21"/>
      <c r="E3845" s="21"/>
      <c r="F3845" s="22"/>
      <c r="G3845" s="22"/>
      <c r="H3845" s="21"/>
      <c r="I3845" s="21"/>
      <c r="J3845" s="23"/>
    </row>
    <row r="3846" ht="15.75" customHeight="1">
      <c r="B3846" s="15"/>
      <c r="C3846" s="16"/>
      <c r="D3846" s="16"/>
      <c r="E3846" s="16"/>
      <c r="F3846" s="17"/>
      <c r="G3846" s="17"/>
      <c r="H3846" s="16"/>
      <c r="I3846" s="16"/>
      <c r="J3846" s="19"/>
    </row>
    <row r="3847" ht="15.75" customHeight="1">
      <c r="B3847" s="20"/>
      <c r="C3847" s="21"/>
      <c r="D3847" s="21"/>
      <c r="E3847" s="21"/>
      <c r="F3847" s="22"/>
      <c r="G3847" s="22"/>
      <c r="H3847" s="21"/>
      <c r="I3847" s="21"/>
      <c r="J3847" s="23"/>
    </row>
    <row r="3848" ht="15.75" customHeight="1">
      <c r="B3848" s="15"/>
      <c r="C3848" s="16"/>
      <c r="D3848" s="16"/>
      <c r="E3848" s="16"/>
      <c r="F3848" s="17"/>
      <c r="G3848" s="17"/>
      <c r="H3848" s="16"/>
      <c r="I3848" s="16"/>
      <c r="J3848" s="19"/>
    </row>
    <row r="3849" ht="15.75" customHeight="1">
      <c r="B3849" s="20"/>
      <c r="C3849" s="21"/>
      <c r="D3849" s="21"/>
      <c r="E3849" s="21"/>
      <c r="F3849" s="22"/>
      <c r="G3849" s="22"/>
      <c r="H3849" s="21"/>
      <c r="I3849" s="21"/>
      <c r="J3849" s="23"/>
    </row>
    <row r="3850" ht="15.75" customHeight="1">
      <c r="B3850" s="15"/>
      <c r="C3850" s="16"/>
      <c r="D3850" s="16"/>
      <c r="E3850" s="16"/>
      <c r="F3850" s="17"/>
      <c r="G3850" s="17"/>
      <c r="H3850" s="16"/>
      <c r="I3850" s="16"/>
      <c r="J3850" s="19"/>
    </row>
    <row r="3851" ht="15.75" customHeight="1">
      <c r="B3851" s="20"/>
      <c r="C3851" s="21"/>
      <c r="D3851" s="21"/>
      <c r="E3851" s="21"/>
      <c r="F3851" s="22"/>
      <c r="G3851" s="22"/>
      <c r="H3851" s="21"/>
      <c r="I3851" s="21"/>
      <c r="J3851" s="23"/>
    </row>
    <row r="3852" ht="15.75" customHeight="1">
      <c r="B3852" s="15"/>
      <c r="C3852" s="16"/>
      <c r="D3852" s="16"/>
      <c r="E3852" s="16"/>
      <c r="F3852" s="17"/>
      <c r="G3852" s="17"/>
      <c r="H3852" s="16"/>
      <c r="I3852" s="16"/>
      <c r="J3852" s="19"/>
    </row>
    <row r="3853" ht="15.75" customHeight="1">
      <c r="B3853" s="20"/>
      <c r="C3853" s="21"/>
      <c r="D3853" s="21"/>
      <c r="E3853" s="21"/>
      <c r="F3853" s="22"/>
      <c r="G3853" s="22"/>
      <c r="H3853" s="21"/>
      <c r="I3853" s="21"/>
      <c r="J3853" s="23"/>
    </row>
    <row r="3854" ht="15.75" customHeight="1">
      <c r="B3854" s="15"/>
      <c r="C3854" s="16"/>
      <c r="D3854" s="16"/>
      <c r="E3854" s="16"/>
      <c r="F3854" s="17"/>
      <c r="G3854" s="17"/>
      <c r="H3854" s="16"/>
      <c r="I3854" s="16"/>
      <c r="J3854" s="19"/>
    </row>
    <row r="3855" ht="15.75" customHeight="1">
      <c r="B3855" s="20"/>
      <c r="C3855" s="21"/>
      <c r="D3855" s="21"/>
      <c r="E3855" s="21"/>
      <c r="F3855" s="22"/>
      <c r="G3855" s="22"/>
      <c r="H3855" s="21"/>
      <c r="I3855" s="21"/>
      <c r="J3855" s="23"/>
    </row>
    <row r="3856" ht="15.75" customHeight="1">
      <c r="B3856" s="15"/>
      <c r="C3856" s="16"/>
      <c r="D3856" s="16"/>
      <c r="E3856" s="16"/>
      <c r="F3856" s="17"/>
      <c r="G3856" s="17"/>
      <c r="H3856" s="16"/>
      <c r="I3856" s="16"/>
      <c r="J3856" s="19"/>
    </row>
    <row r="3857" ht="15.75" customHeight="1">
      <c r="B3857" s="20"/>
      <c r="C3857" s="21"/>
      <c r="D3857" s="21"/>
      <c r="E3857" s="21"/>
      <c r="F3857" s="22"/>
      <c r="G3857" s="22"/>
      <c r="H3857" s="21"/>
      <c r="I3857" s="21"/>
      <c r="J3857" s="23"/>
    </row>
    <row r="3858" ht="15.75" customHeight="1">
      <c r="B3858" s="15"/>
      <c r="C3858" s="16"/>
      <c r="D3858" s="16"/>
      <c r="E3858" s="16"/>
      <c r="F3858" s="17"/>
      <c r="G3858" s="17"/>
      <c r="H3858" s="16"/>
      <c r="I3858" s="16"/>
      <c r="J3858" s="19"/>
    </row>
    <row r="3859" ht="15.75" customHeight="1">
      <c r="B3859" s="20"/>
      <c r="C3859" s="21"/>
      <c r="D3859" s="21"/>
      <c r="E3859" s="21"/>
      <c r="F3859" s="22"/>
      <c r="G3859" s="22"/>
      <c r="H3859" s="21"/>
      <c r="I3859" s="21"/>
      <c r="J3859" s="23"/>
    </row>
    <row r="3860" ht="15.75" customHeight="1">
      <c r="B3860" s="15"/>
      <c r="C3860" s="16"/>
      <c r="D3860" s="16"/>
      <c r="E3860" s="16"/>
      <c r="F3860" s="17"/>
      <c r="G3860" s="17"/>
      <c r="H3860" s="16"/>
      <c r="I3860" s="16"/>
      <c r="J3860" s="19"/>
    </row>
    <row r="3861" ht="15.75" customHeight="1">
      <c r="B3861" s="20"/>
      <c r="C3861" s="21"/>
      <c r="D3861" s="21"/>
      <c r="E3861" s="21"/>
      <c r="F3861" s="22"/>
      <c r="G3861" s="22"/>
      <c r="H3861" s="21"/>
      <c r="I3861" s="21"/>
      <c r="J3861" s="23"/>
    </row>
    <row r="3862" ht="15.75" customHeight="1">
      <c r="B3862" s="15"/>
      <c r="C3862" s="16"/>
      <c r="D3862" s="16"/>
      <c r="E3862" s="16"/>
      <c r="F3862" s="17"/>
      <c r="G3862" s="17"/>
      <c r="H3862" s="16"/>
      <c r="I3862" s="16"/>
      <c r="J3862" s="19"/>
    </row>
    <row r="3863" ht="15.75" customHeight="1">
      <c r="B3863" s="20"/>
      <c r="C3863" s="21"/>
      <c r="D3863" s="21"/>
      <c r="E3863" s="21"/>
      <c r="F3863" s="22"/>
      <c r="G3863" s="22"/>
      <c r="H3863" s="21"/>
      <c r="I3863" s="21"/>
      <c r="J3863" s="23"/>
    </row>
    <row r="3864" ht="15.75" customHeight="1">
      <c r="B3864" s="15"/>
      <c r="C3864" s="16"/>
      <c r="D3864" s="16"/>
      <c r="E3864" s="16"/>
      <c r="F3864" s="17"/>
      <c r="G3864" s="17"/>
      <c r="H3864" s="16"/>
      <c r="I3864" s="16"/>
      <c r="J3864" s="19"/>
    </row>
    <row r="3865" ht="15.75" customHeight="1">
      <c r="B3865" s="20"/>
      <c r="C3865" s="21"/>
      <c r="D3865" s="21"/>
      <c r="E3865" s="21"/>
      <c r="F3865" s="22"/>
      <c r="G3865" s="22"/>
      <c r="H3865" s="21"/>
      <c r="I3865" s="21"/>
      <c r="J3865" s="23"/>
    </row>
    <row r="3866" ht="15.75" customHeight="1">
      <c r="B3866" s="15"/>
      <c r="C3866" s="16"/>
      <c r="D3866" s="16"/>
      <c r="E3866" s="16"/>
      <c r="F3866" s="17"/>
      <c r="G3866" s="17"/>
      <c r="H3866" s="16"/>
      <c r="I3866" s="16"/>
      <c r="J3866" s="19"/>
    </row>
    <row r="3867" ht="15.75" customHeight="1">
      <c r="B3867" s="20"/>
      <c r="C3867" s="21"/>
      <c r="D3867" s="21"/>
      <c r="E3867" s="21"/>
      <c r="F3867" s="22"/>
      <c r="G3867" s="22"/>
      <c r="H3867" s="21"/>
      <c r="I3867" s="21"/>
      <c r="J3867" s="23"/>
    </row>
    <row r="3868" ht="15.75" customHeight="1">
      <c r="B3868" s="15"/>
      <c r="C3868" s="16"/>
      <c r="D3868" s="16"/>
      <c r="E3868" s="16"/>
      <c r="F3868" s="17"/>
      <c r="G3868" s="17"/>
      <c r="H3868" s="16"/>
      <c r="I3868" s="16"/>
      <c r="J3868" s="19"/>
    </row>
    <row r="3869" ht="15.75" customHeight="1">
      <c r="B3869" s="20"/>
      <c r="C3869" s="21"/>
      <c r="D3869" s="21"/>
      <c r="E3869" s="21"/>
      <c r="F3869" s="22"/>
      <c r="G3869" s="22"/>
      <c r="H3869" s="21"/>
      <c r="I3869" s="21"/>
      <c r="J3869" s="23"/>
    </row>
    <row r="3870" ht="15.75" customHeight="1">
      <c r="B3870" s="15"/>
      <c r="C3870" s="16"/>
      <c r="D3870" s="16"/>
      <c r="E3870" s="16"/>
      <c r="F3870" s="17"/>
      <c r="G3870" s="17"/>
      <c r="H3870" s="16"/>
      <c r="I3870" s="16"/>
      <c r="J3870" s="19"/>
    </row>
    <row r="3871" ht="15.75" customHeight="1">
      <c r="B3871" s="20"/>
      <c r="C3871" s="21"/>
      <c r="D3871" s="21"/>
      <c r="E3871" s="21"/>
      <c r="F3871" s="22"/>
      <c r="G3871" s="22"/>
      <c r="H3871" s="21"/>
      <c r="I3871" s="21"/>
      <c r="J3871" s="23"/>
    </row>
    <row r="3872" ht="15.75" customHeight="1">
      <c r="B3872" s="15"/>
      <c r="C3872" s="16"/>
      <c r="D3872" s="16"/>
      <c r="E3872" s="16"/>
      <c r="F3872" s="17"/>
      <c r="G3872" s="17"/>
      <c r="H3872" s="16"/>
      <c r="I3872" s="16"/>
      <c r="J3872" s="19"/>
    </row>
    <row r="3873" ht="15.75" customHeight="1">
      <c r="B3873" s="20"/>
      <c r="C3873" s="21"/>
      <c r="D3873" s="21"/>
      <c r="E3873" s="21"/>
      <c r="F3873" s="22"/>
      <c r="G3873" s="22"/>
      <c r="H3873" s="21"/>
      <c r="I3873" s="21"/>
      <c r="J3873" s="23"/>
    </row>
    <row r="3874" ht="15.75" customHeight="1">
      <c r="B3874" s="15"/>
      <c r="C3874" s="16"/>
      <c r="D3874" s="16"/>
      <c r="E3874" s="16"/>
      <c r="F3874" s="17"/>
      <c r="G3874" s="17"/>
      <c r="H3874" s="16"/>
      <c r="I3874" s="16"/>
      <c r="J3874" s="19"/>
    </row>
    <row r="3875" ht="15.75" customHeight="1">
      <c r="B3875" s="20"/>
      <c r="C3875" s="21"/>
      <c r="D3875" s="21"/>
      <c r="E3875" s="21"/>
      <c r="F3875" s="22"/>
      <c r="G3875" s="22"/>
      <c r="H3875" s="21"/>
      <c r="I3875" s="21"/>
      <c r="J3875" s="23"/>
    </row>
    <row r="3876" ht="15.75" customHeight="1">
      <c r="B3876" s="15"/>
      <c r="C3876" s="16"/>
      <c r="D3876" s="16"/>
      <c r="E3876" s="16"/>
      <c r="F3876" s="17"/>
      <c r="G3876" s="17"/>
      <c r="H3876" s="16"/>
      <c r="I3876" s="16"/>
      <c r="J3876" s="19"/>
    </row>
    <row r="3877" ht="15.75" customHeight="1">
      <c r="B3877" s="20"/>
      <c r="C3877" s="21"/>
      <c r="D3877" s="21"/>
      <c r="E3877" s="21"/>
      <c r="F3877" s="22"/>
      <c r="G3877" s="22"/>
      <c r="H3877" s="21"/>
      <c r="I3877" s="21"/>
      <c r="J3877" s="23"/>
    </row>
    <row r="3878" ht="15.75" customHeight="1">
      <c r="B3878" s="15"/>
      <c r="C3878" s="16"/>
      <c r="D3878" s="16"/>
      <c r="E3878" s="16"/>
      <c r="F3878" s="17"/>
      <c r="G3878" s="17"/>
      <c r="H3878" s="16"/>
      <c r="I3878" s="16"/>
      <c r="J3878" s="19"/>
    </row>
    <row r="3879" ht="15.75" customHeight="1">
      <c r="B3879" s="20"/>
      <c r="C3879" s="21"/>
      <c r="D3879" s="21"/>
      <c r="E3879" s="21"/>
      <c r="F3879" s="22"/>
      <c r="G3879" s="22"/>
      <c r="H3879" s="21"/>
      <c r="I3879" s="21"/>
      <c r="J3879" s="23"/>
    </row>
    <row r="3880" ht="15.75" customHeight="1">
      <c r="B3880" s="15"/>
      <c r="C3880" s="16"/>
      <c r="D3880" s="16"/>
      <c r="E3880" s="16"/>
      <c r="F3880" s="17"/>
      <c r="G3880" s="17"/>
      <c r="H3880" s="16"/>
      <c r="I3880" s="16"/>
      <c r="J3880" s="19"/>
    </row>
    <row r="3881" ht="15.75" customHeight="1">
      <c r="B3881" s="20"/>
      <c r="C3881" s="21"/>
      <c r="D3881" s="21"/>
      <c r="E3881" s="21"/>
      <c r="F3881" s="22"/>
      <c r="G3881" s="22"/>
      <c r="H3881" s="21"/>
      <c r="I3881" s="21"/>
      <c r="J3881" s="23"/>
    </row>
    <row r="3882" ht="15.75" customHeight="1">
      <c r="B3882" s="15"/>
      <c r="C3882" s="16"/>
      <c r="D3882" s="16"/>
      <c r="E3882" s="16"/>
      <c r="F3882" s="17"/>
      <c r="G3882" s="17"/>
      <c r="H3882" s="16"/>
      <c r="I3882" s="16"/>
      <c r="J3882" s="19"/>
    </row>
    <row r="3883" ht="15.75" customHeight="1">
      <c r="B3883" s="20"/>
      <c r="C3883" s="21"/>
      <c r="D3883" s="21"/>
      <c r="E3883" s="21"/>
      <c r="F3883" s="22"/>
      <c r="G3883" s="22"/>
      <c r="H3883" s="21"/>
      <c r="I3883" s="21"/>
      <c r="J3883" s="23"/>
    </row>
    <row r="3884" ht="15.75" customHeight="1">
      <c r="B3884" s="15"/>
      <c r="C3884" s="16"/>
      <c r="D3884" s="16"/>
      <c r="E3884" s="16"/>
      <c r="F3884" s="17"/>
      <c r="G3884" s="17"/>
      <c r="H3884" s="16"/>
      <c r="I3884" s="16"/>
      <c r="J3884" s="19"/>
    </row>
    <row r="3885" ht="15.75" customHeight="1">
      <c r="B3885" s="20"/>
      <c r="C3885" s="21"/>
      <c r="D3885" s="21"/>
      <c r="E3885" s="21"/>
      <c r="F3885" s="22"/>
      <c r="G3885" s="22"/>
      <c r="H3885" s="21"/>
      <c r="I3885" s="21"/>
      <c r="J3885" s="23"/>
    </row>
    <row r="3886" ht="15.75" customHeight="1">
      <c r="B3886" s="15"/>
      <c r="C3886" s="16"/>
      <c r="D3886" s="16"/>
      <c r="E3886" s="16"/>
      <c r="F3886" s="17"/>
      <c r="G3886" s="17"/>
      <c r="H3886" s="16"/>
      <c r="I3886" s="16"/>
      <c r="J3886" s="19"/>
    </row>
    <row r="3887" ht="15.75" customHeight="1">
      <c r="B3887" s="20"/>
      <c r="C3887" s="21"/>
      <c r="D3887" s="21"/>
      <c r="E3887" s="21"/>
      <c r="F3887" s="22"/>
      <c r="G3887" s="22"/>
      <c r="H3887" s="21"/>
      <c r="I3887" s="21"/>
      <c r="J3887" s="23"/>
    </row>
    <row r="3888" ht="15.75" customHeight="1">
      <c r="B3888" s="15"/>
      <c r="C3888" s="16"/>
      <c r="D3888" s="16"/>
      <c r="E3888" s="16"/>
      <c r="F3888" s="17"/>
      <c r="G3888" s="17"/>
      <c r="H3888" s="16"/>
      <c r="I3888" s="16"/>
      <c r="J3888" s="19"/>
    </row>
    <row r="3889" ht="15.75" customHeight="1">
      <c r="B3889" s="20"/>
      <c r="C3889" s="21"/>
      <c r="D3889" s="21"/>
      <c r="E3889" s="21"/>
      <c r="F3889" s="22"/>
      <c r="G3889" s="22"/>
      <c r="H3889" s="21"/>
      <c r="I3889" s="21"/>
      <c r="J3889" s="23"/>
    </row>
    <row r="3890" ht="15.75" customHeight="1">
      <c r="B3890" s="15"/>
      <c r="C3890" s="16"/>
      <c r="D3890" s="16"/>
      <c r="E3890" s="16"/>
      <c r="F3890" s="17"/>
      <c r="G3890" s="17"/>
      <c r="H3890" s="16"/>
      <c r="I3890" s="16"/>
      <c r="J3890" s="19"/>
    </row>
    <row r="3891" ht="15.75" customHeight="1">
      <c r="B3891" s="20"/>
      <c r="C3891" s="21"/>
      <c r="D3891" s="21"/>
      <c r="E3891" s="21"/>
      <c r="F3891" s="22"/>
      <c r="G3891" s="22"/>
      <c r="H3891" s="21"/>
      <c r="I3891" s="21"/>
      <c r="J3891" s="23"/>
    </row>
    <row r="3892" ht="15.75" customHeight="1">
      <c r="B3892" s="15"/>
      <c r="C3892" s="16"/>
      <c r="D3892" s="16"/>
      <c r="E3892" s="16"/>
      <c r="F3892" s="17"/>
      <c r="G3892" s="17"/>
      <c r="H3892" s="16"/>
      <c r="I3892" s="16"/>
      <c r="J3892" s="19"/>
    </row>
    <row r="3893" ht="15.75" customHeight="1">
      <c r="B3893" s="20"/>
      <c r="C3893" s="21"/>
      <c r="D3893" s="21"/>
      <c r="E3893" s="21"/>
      <c r="F3893" s="22"/>
      <c r="G3893" s="22"/>
      <c r="H3893" s="21"/>
      <c r="I3893" s="21"/>
      <c r="J3893" s="23"/>
    </row>
    <row r="3894" ht="15.75" customHeight="1">
      <c r="B3894" s="15"/>
      <c r="C3894" s="16"/>
      <c r="D3894" s="16"/>
      <c r="E3894" s="16"/>
      <c r="F3894" s="17"/>
      <c r="G3894" s="17"/>
      <c r="H3894" s="16"/>
      <c r="I3894" s="16"/>
      <c r="J3894" s="19"/>
    </row>
    <row r="3895" ht="15.75" customHeight="1">
      <c r="B3895" s="20"/>
      <c r="C3895" s="21"/>
      <c r="D3895" s="21"/>
      <c r="E3895" s="21"/>
      <c r="F3895" s="22"/>
      <c r="G3895" s="22"/>
      <c r="H3895" s="21"/>
      <c r="I3895" s="21"/>
      <c r="J3895" s="23"/>
    </row>
    <row r="3896" ht="15.75" customHeight="1">
      <c r="B3896" s="15"/>
      <c r="C3896" s="16"/>
      <c r="D3896" s="16"/>
      <c r="E3896" s="16"/>
      <c r="F3896" s="17"/>
      <c r="G3896" s="17"/>
      <c r="H3896" s="16"/>
      <c r="I3896" s="16"/>
      <c r="J3896" s="19"/>
    </row>
    <row r="3897" ht="15.75" customHeight="1">
      <c r="B3897" s="20"/>
      <c r="C3897" s="21"/>
      <c r="D3897" s="21"/>
      <c r="E3897" s="21"/>
      <c r="F3897" s="22"/>
      <c r="G3897" s="22"/>
      <c r="H3897" s="21"/>
      <c r="I3897" s="21"/>
      <c r="J3897" s="23"/>
    </row>
    <row r="3898" ht="15.75" customHeight="1">
      <c r="B3898" s="15"/>
      <c r="C3898" s="16"/>
      <c r="D3898" s="16"/>
      <c r="E3898" s="16"/>
      <c r="F3898" s="17"/>
      <c r="G3898" s="17"/>
      <c r="H3898" s="16"/>
      <c r="I3898" s="16"/>
      <c r="J3898" s="19"/>
    </row>
    <row r="3899" ht="15.75" customHeight="1">
      <c r="B3899" s="20"/>
      <c r="C3899" s="21"/>
      <c r="D3899" s="21"/>
      <c r="E3899" s="21"/>
      <c r="F3899" s="22"/>
      <c r="G3899" s="22"/>
      <c r="H3899" s="21"/>
      <c r="I3899" s="21"/>
      <c r="J3899" s="23"/>
    </row>
    <row r="3900" ht="15.75" customHeight="1">
      <c r="B3900" s="15"/>
      <c r="C3900" s="16"/>
      <c r="D3900" s="16"/>
      <c r="E3900" s="16"/>
      <c r="F3900" s="17"/>
      <c r="G3900" s="17"/>
      <c r="H3900" s="16"/>
      <c r="I3900" s="16"/>
      <c r="J3900" s="19"/>
    </row>
    <row r="3901" ht="15.75" customHeight="1">
      <c r="B3901" s="20"/>
      <c r="C3901" s="21"/>
      <c r="D3901" s="21"/>
      <c r="E3901" s="21"/>
      <c r="F3901" s="22"/>
      <c r="G3901" s="22"/>
      <c r="H3901" s="21"/>
      <c r="I3901" s="21"/>
      <c r="J3901" s="23"/>
    </row>
    <row r="3902" ht="15.75" customHeight="1">
      <c r="B3902" s="15"/>
      <c r="C3902" s="16"/>
      <c r="D3902" s="16"/>
      <c r="E3902" s="16"/>
      <c r="F3902" s="17"/>
      <c r="G3902" s="17"/>
      <c r="H3902" s="16"/>
      <c r="I3902" s="16"/>
      <c r="J3902" s="19"/>
    </row>
    <row r="3903" ht="15.75" customHeight="1">
      <c r="B3903" s="20"/>
      <c r="C3903" s="21"/>
      <c r="D3903" s="21"/>
      <c r="E3903" s="21"/>
      <c r="F3903" s="22"/>
      <c r="G3903" s="22"/>
      <c r="H3903" s="21"/>
      <c r="I3903" s="21"/>
      <c r="J3903" s="23"/>
    </row>
    <row r="3904" ht="15.75" customHeight="1">
      <c r="B3904" s="15"/>
      <c r="C3904" s="16"/>
      <c r="D3904" s="16"/>
      <c r="E3904" s="16"/>
      <c r="F3904" s="17"/>
      <c r="G3904" s="17"/>
      <c r="H3904" s="16"/>
      <c r="I3904" s="16"/>
      <c r="J3904" s="19"/>
    </row>
    <row r="3905" ht="15.75" customHeight="1">
      <c r="B3905" s="20"/>
      <c r="C3905" s="21"/>
      <c r="D3905" s="21"/>
      <c r="E3905" s="21"/>
      <c r="F3905" s="22"/>
      <c r="G3905" s="22"/>
      <c r="H3905" s="21"/>
      <c r="I3905" s="21"/>
      <c r="J3905" s="23"/>
    </row>
    <row r="3906" ht="15.75" customHeight="1">
      <c r="B3906" s="15"/>
      <c r="C3906" s="16"/>
      <c r="D3906" s="16"/>
      <c r="E3906" s="16"/>
      <c r="F3906" s="17"/>
      <c r="G3906" s="17"/>
      <c r="H3906" s="16"/>
      <c r="I3906" s="16"/>
      <c r="J3906" s="19"/>
    </row>
    <row r="3907" ht="15.75" customHeight="1">
      <c r="B3907" s="20"/>
      <c r="C3907" s="21"/>
      <c r="D3907" s="21"/>
      <c r="E3907" s="21"/>
      <c r="F3907" s="22"/>
      <c r="G3907" s="22"/>
      <c r="H3907" s="21"/>
      <c r="I3907" s="21"/>
      <c r="J3907" s="23"/>
    </row>
    <row r="3908" ht="15.75" customHeight="1">
      <c r="B3908" s="15"/>
      <c r="C3908" s="16"/>
      <c r="D3908" s="16"/>
      <c r="E3908" s="16"/>
      <c r="F3908" s="17"/>
      <c r="G3908" s="17"/>
      <c r="H3908" s="16"/>
      <c r="I3908" s="16"/>
      <c r="J3908" s="19"/>
    </row>
    <row r="3909" ht="15.75" customHeight="1">
      <c r="B3909" s="20"/>
      <c r="C3909" s="21"/>
      <c r="D3909" s="21"/>
      <c r="E3909" s="21"/>
      <c r="F3909" s="22"/>
      <c r="G3909" s="22"/>
      <c r="H3909" s="21"/>
      <c r="I3909" s="21"/>
      <c r="J3909" s="23"/>
    </row>
    <row r="3910" ht="15.75" customHeight="1">
      <c r="B3910" s="15"/>
      <c r="C3910" s="16"/>
      <c r="D3910" s="16"/>
      <c r="E3910" s="16"/>
      <c r="F3910" s="17"/>
      <c r="G3910" s="17"/>
      <c r="H3910" s="16"/>
      <c r="I3910" s="16"/>
      <c r="J3910" s="19"/>
    </row>
    <row r="3911" ht="15.75" customHeight="1">
      <c r="B3911" s="20"/>
      <c r="C3911" s="21"/>
      <c r="D3911" s="21"/>
      <c r="E3911" s="21"/>
      <c r="F3911" s="22"/>
      <c r="G3911" s="22"/>
      <c r="H3911" s="21"/>
      <c r="I3911" s="21"/>
      <c r="J3911" s="23"/>
    </row>
    <row r="3912" ht="15.75" customHeight="1">
      <c r="B3912" s="15"/>
      <c r="C3912" s="16"/>
      <c r="D3912" s="16"/>
      <c r="E3912" s="16"/>
      <c r="F3912" s="17"/>
      <c r="G3912" s="17"/>
      <c r="H3912" s="16"/>
      <c r="I3912" s="16"/>
      <c r="J3912" s="19"/>
    </row>
    <row r="3913" ht="15.75" customHeight="1">
      <c r="B3913" s="20"/>
      <c r="C3913" s="21"/>
      <c r="D3913" s="21"/>
      <c r="E3913" s="21"/>
      <c r="F3913" s="22"/>
      <c r="G3913" s="22"/>
      <c r="H3913" s="21"/>
      <c r="I3913" s="21"/>
      <c r="J3913" s="23"/>
    </row>
    <row r="3914" ht="15.75" customHeight="1">
      <c r="B3914" s="15"/>
      <c r="C3914" s="16"/>
      <c r="D3914" s="16"/>
      <c r="E3914" s="16"/>
      <c r="F3914" s="17"/>
      <c r="G3914" s="17"/>
      <c r="H3914" s="16"/>
      <c r="I3914" s="16"/>
      <c r="J3914" s="19"/>
    </row>
    <row r="3915" ht="15.75" customHeight="1">
      <c r="B3915" s="20"/>
      <c r="C3915" s="21"/>
      <c r="D3915" s="21"/>
      <c r="E3915" s="21"/>
      <c r="F3915" s="22"/>
      <c r="G3915" s="22"/>
      <c r="H3915" s="21"/>
      <c r="I3915" s="21"/>
      <c r="J3915" s="23"/>
    </row>
    <row r="3916" ht="15.75" customHeight="1">
      <c r="B3916" s="15"/>
      <c r="C3916" s="16"/>
      <c r="D3916" s="16"/>
      <c r="E3916" s="16"/>
      <c r="F3916" s="17"/>
      <c r="G3916" s="17"/>
      <c r="H3916" s="16"/>
      <c r="I3916" s="16"/>
      <c r="J3916" s="19"/>
    </row>
    <row r="3917" ht="15.75" customHeight="1">
      <c r="B3917" s="20"/>
      <c r="C3917" s="21"/>
      <c r="D3917" s="21"/>
      <c r="E3917" s="21"/>
      <c r="F3917" s="22"/>
      <c r="G3917" s="22"/>
      <c r="H3917" s="21"/>
      <c r="I3917" s="21"/>
      <c r="J3917" s="23"/>
    </row>
    <row r="3918" ht="15.75" customHeight="1">
      <c r="B3918" s="15"/>
      <c r="C3918" s="16"/>
      <c r="D3918" s="16"/>
      <c r="E3918" s="16"/>
      <c r="F3918" s="17"/>
      <c r="G3918" s="17"/>
      <c r="H3918" s="16"/>
      <c r="I3918" s="16"/>
      <c r="J3918" s="19"/>
    </row>
    <row r="3919" ht="15.75" customHeight="1">
      <c r="B3919" s="20"/>
      <c r="C3919" s="21"/>
      <c r="D3919" s="21"/>
      <c r="E3919" s="21"/>
      <c r="F3919" s="22"/>
      <c r="G3919" s="22"/>
      <c r="H3919" s="21"/>
      <c r="I3919" s="21"/>
      <c r="J3919" s="23"/>
    </row>
    <row r="3920" ht="15.75" customHeight="1">
      <c r="B3920" s="15"/>
      <c r="C3920" s="16"/>
      <c r="D3920" s="16"/>
      <c r="E3920" s="16"/>
      <c r="F3920" s="17"/>
      <c r="G3920" s="17"/>
      <c r="H3920" s="16"/>
      <c r="I3920" s="16"/>
      <c r="J3920" s="19"/>
    </row>
    <row r="3921" ht="15.75" customHeight="1">
      <c r="B3921" s="20"/>
      <c r="C3921" s="21"/>
      <c r="D3921" s="21"/>
      <c r="E3921" s="21"/>
      <c r="F3921" s="22"/>
      <c r="G3921" s="22"/>
      <c r="H3921" s="21"/>
      <c r="I3921" s="21"/>
      <c r="J3921" s="23"/>
    </row>
    <row r="3922" ht="15.75" customHeight="1">
      <c r="B3922" s="15"/>
      <c r="C3922" s="16"/>
      <c r="D3922" s="16"/>
      <c r="E3922" s="16"/>
      <c r="F3922" s="17"/>
      <c r="G3922" s="17"/>
      <c r="H3922" s="16"/>
      <c r="I3922" s="16"/>
      <c r="J3922" s="19"/>
    </row>
    <row r="3923" ht="15.75" customHeight="1">
      <c r="B3923" s="20"/>
      <c r="C3923" s="21"/>
      <c r="D3923" s="21"/>
      <c r="E3923" s="21"/>
      <c r="F3923" s="22"/>
      <c r="G3923" s="22"/>
      <c r="H3923" s="21"/>
      <c r="I3923" s="21"/>
      <c r="J3923" s="23"/>
    </row>
    <row r="3924" ht="15.75" customHeight="1">
      <c r="B3924" s="15"/>
      <c r="C3924" s="16"/>
      <c r="D3924" s="16"/>
      <c r="E3924" s="16"/>
      <c r="F3924" s="17"/>
      <c r="G3924" s="17"/>
      <c r="H3924" s="16"/>
      <c r="I3924" s="16"/>
      <c r="J3924" s="19"/>
    </row>
    <row r="3925" ht="15.75" customHeight="1">
      <c r="B3925" s="20"/>
      <c r="C3925" s="21"/>
      <c r="D3925" s="21"/>
      <c r="E3925" s="21"/>
      <c r="F3925" s="22"/>
      <c r="G3925" s="22"/>
      <c r="H3925" s="21"/>
      <c r="I3925" s="21"/>
      <c r="J3925" s="23"/>
    </row>
    <row r="3926" ht="15.75" customHeight="1">
      <c r="B3926" s="15"/>
      <c r="C3926" s="16"/>
      <c r="D3926" s="16"/>
      <c r="E3926" s="16"/>
      <c r="F3926" s="17"/>
      <c r="G3926" s="17"/>
      <c r="H3926" s="16"/>
      <c r="I3926" s="16"/>
      <c r="J3926" s="19"/>
    </row>
    <row r="3927" ht="15.75" customHeight="1">
      <c r="B3927" s="20"/>
      <c r="C3927" s="21"/>
      <c r="D3927" s="21"/>
      <c r="E3927" s="21"/>
      <c r="F3927" s="22"/>
      <c r="G3927" s="22"/>
      <c r="H3927" s="21"/>
      <c r="I3927" s="21"/>
      <c r="J3927" s="23"/>
    </row>
    <row r="3928" ht="15.75" customHeight="1">
      <c r="B3928" s="15"/>
      <c r="C3928" s="16"/>
      <c r="D3928" s="16"/>
      <c r="E3928" s="16"/>
      <c r="F3928" s="17"/>
      <c r="G3928" s="17"/>
      <c r="H3928" s="16"/>
      <c r="I3928" s="16"/>
      <c r="J3928" s="19"/>
    </row>
    <row r="3929" ht="15.75" customHeight="1">
      <c r="B3929" s="20"/>
      <c r="C3929" s="21"/>
      <c r="D3929" s="21"/>
      <c r="E3929" s="21"/>
      <c r="F3929" s="22"/>
      <c r="G3929" s="22"/>
      <c r="H3929" s="21"/>
      <c r="I3929" s="21"/>
      <c r="J3929" s="23"/>
    </row>
    <row r="3930" ht="15.75" customHeight="1">
      <c r="B3930" s="15"/>
      <c r="C3930" s="16"/>
      <c r="D3930" s="16"/>
      <c r="E3930" s="16"/>
      <c r="F3930" s="17"/>
      <c r="G3930" s="17"/>
      <c r="H3930" s="16"/>
      <c r="I3930" s="16"/>
      <c r="J3930" s="19"/>
    </row>
    <row r="3931" ht="15.75" customHeight="1">
      <c r="B3931" s="20"/>
      <c r="C3931" s="21"/>
      <c r="D3931" s="21"/>
      <c r="E3931" s="21"/>
      <c r="F3931" s="22"/>
      <c r="G3931" s="22"/>
      <c r="H3931" s="21"/>
      <c r="I3931" s="21"/>
      <c r="J3931" s="23"/>
    </row>
    <row r="3932" ht="15.75" customHeight="1">
      <c r="B3932" s="15"/>
      <c r="C3932" s="16"/>
      <c r="D3932" s="16"/>
      <c r="E3932" s="16"/>
      <c r="F3932" s="17"/>
      <c r="G3932" s="17"/>
      <c r="H3932" s="16"/>
      <c r="I3932" s="16"/>
      <c r="J3932" s="19"/>
    </row>
    <row r="3933" ht="15.75" customHeight="1">
      <c r="B3933" s="20"/>
      <c r="C3933" s="21"/>
      <c r="D3933" s="21"/>
      <c r="E3933" s="21"/>
      <c r="F3933" s="22"/>
      <c r="G3933" s="22"/>
      <c r="H3933" s="21"/>
      <c r="I3933" s="21"/>
      <c r="J3933" s="23"/>
    </row>
    <row r="3934" ht="15.75" customHeight="1">
      <c r="B3934" s="15"/>
      <c r="C3934" s="16"/>
      <c r="D3934" s="16"/>
      <c r="E3934" s="16"/>
      <c r="F3934" s="17"/>
      <c r="G3934" s="17"/>
      <c r="H3934" s="16"/>
      <c r="I3934" s="16"/>
      <c r="J3934" s="19"/>
    </row>
    <row r="3935" ht="15.75" customHeight="1">
      <c r="B3935" s="20"/>
      <c r="C3935" s="21"/>
      <c r="D3935" s="21"/>
      <c r="E3935" s="21"/>
      <c r="F3935" s="22"/>
      <c r="G3935" s="22"/>
      <c r="H3935" s="21"/>
      <c r="I3935" s="21"/>
      <c r="J3935" s="23"/>
    </row>
    <row r="3936" ht="15.75" customHeight="1">
      <c r="B3936" s="15"/>
      <c r="C3936" s="16"/>
      <c r="D3936" s="16"/>
      <c r="E3936" s="16"/>
      <c r="F3936" s="17"/>
      <c r="G3936" s="17"/>
      <c r="H3936" s="16"/>
      <c r="I3936" s="16"/>
      <c r="J3936" s="19"/>
    </row>
    <row r="3937" ht="15.75" customHeight="1">
      <c r="B3937" s="20"/>
      <c r="C3937" s="21"/>
      <c r="D3937" s="21"/>
      <c r="E3937" s="21"/>
      <c r="F3937" s="22"/>
      <c r="G3937" s="22"/>
      <c r="H3937" s="21"/>
      <c r="I3937" s="21"/>
      <c r="J3937" s="23"/>
    </row>
    <row r="3938" ht="15.75" customHeight="1">
      <c r="B3938" s="15"/>
      <c r="C3938" s="16"/>
      <c r="D3938" s="16"/>
      <c r="E3938" s="16"/>
      <c r="F3938" s="17"/>
      <c r="G3938" s="17"/>
      <c r="H3938" s="16"/>
      <c r="I3938" s="16"/>
      <c r="J3938" s="19"/>
    </row>
    <row r="3939" ht="15.75" customHeight="1">
      <c r="B3939" s="20"/>
      <c r="C3939" s="21"/>
      <c r="D3939" s="21"/>
      <c r="E3939" s="21"/>
      <c r="F3939" s="22"/>
      <c r="G3939" s="22"/>
      <c r="H3939" s="21"/>
      <c r="I3939" s="21"/>
      <c r="J3939" s="23"/>
    </row>
    <row r="3940" ht="15.75" customHeight="1">
      <c r="B3940" s="15"/>
      <c r="C3940" s="16"/>
      <c r="D3940" s="16"/>
      <c r="E3940" s="16"/>
      <c r="F3940" s="17"/>
      <c r="G3940" s="17"/>
      <c r="H3940" s="16"/>
      <c r="I3940" s="16"/>
      <c r="J3940" s="19"/>
    </row>
    <row r="3941" ht="15.75" customHeight="1">
      <c r="B3941" s="20"/>
      <c r="C3941" s="21"/>
      <c r="D3941" s="21"/>
      <c r="E3941" s="21"/>
      <c r="F3941" s="22"/>
      <c r="G3941" s="22"/>
      <c r="H3941" s="21"/>
      <c r="I3941" s="21"/>
      <c r="J3941" s="23"/>
    </row>
    <row r="3942" ht="15.75" customHeight="1">
      <c r="B3942" s="15"/>
      <c r="C3942" s="16"/>
      <c r="D3942" s="16"/>
      <c r="E3942" s="16"/>
      <c r="F3942" s="17"/>
      <c r="G3942" s="17"/>
      <c r="H3942" s="16"/>
      <c r="I3942" s="16"/>
      <c r="J3942" s="19"/>
    </row>
    <row r="3943" ht="15.75" customHeight="1">
      <c r="B3943" s="20"/>
      <c r="C3943" s="21"/>
      <c r="D3943" s="21"/>
      <c r="E3943" s="21"/>
      <c r="F3943" s="22"/>
      <c r="G3943" s="22"/>
      <c r="H3943" s="21"/>
      <c r="I3943" s="21"/>
      <c r="J3943" s="23"/>
    </row>
    <row r="3944" ht="15.75" customHeight="1">
      <c r="B3944" s="15"/>
      <c r="C3944" s="16"/>
      <c r="D3944" s="16"/>
      <c r="E3944" s="16"/>
      <c r="F3944" s="17"/>
      <c r="G3944" s="17"/>
      <c r="H3944" s="16"/>
      <c r="I3944" s="16"/>
      <c r="J3944" s="19"/>
    </row>
    <row r="3945" ht="15.75" customHeight="1">
      <c r="B3945" s="20"/>
      <c r="C3945" s="21"/>
      <c r="D3945" s="21"/>
      <c r="E3945" s="21"/>
      <c r="F3945" s="22"/>
      <c r="G3945" s="22"/>
      <c r="H3945" s="21"/>
      <c r="I3945" s="21"/>
      <c r="J3945" s="23"/>
    </row>
    <row r="3946" ht="15.75" customHeight="1">
      <c r="B3946" s="15"/>
      <c r="C3946" s="16"/>
      <c r="D3946" s="16"/>
      <c r="E3946" s="16"/>
      <c r="F3946" s="17"/>
      <c r="G3946" s="17"/>
      <c r="H3946" s="16"/>
      <c r="I3946" s="16"/>
      <c r="J3946" s="19"/>
    </row>
    <row r="3947" ht="15.75" customHeight="1">
      <c r="B3947" s="20"/>
      <c r="C3947" s="21"/>
      <c r="D3947" s="21"/>
      <c r="E3947" s="21"/>
      <c r="F3947" s="22"/>
      <c r="G3947" s="22"/>
      <c r="H3947" s="21"/>
      <c r="I3947" s="21"/>
      <c r="J3947" s="23"/>
    </row>
    <row r="3948" ht="15.75" customHeight="1">
      <c r="B3948" s="15"/>
      <c r="C3948" s="16"/>
      <c r="D3948" s="16"/>
      <c r="E3948" s="16"/>
      <c r="F3948" s="17"/>
      <c r="G3948" s="17"/>
      <c r="H3948" s="16"/>
      <c r="I3948" s="16"/>
      <c r="J3948" s="19"/>
    </row>
    <row r="3949" ht="15.75" customHeight="1">
      <c r="B3949" s="20"/>
      <c r="C3949" s="21"/>
      <c r="D3949" s="21"/>
      <c r="E3949" s="21"/>
      <c r="F3949" s="22"/>
      <c r="G3949" s="22"/>
      <c r="H3949" s="21"/>
      <c r="I3949" s="21"/>
      <c r="J3949" s="23"/>
    </row>
    <row r="3950" ht="15.75" customHeight="1">
      <c r="B3950" s="15"/>
      <c r="C3950" s="16"/>
      <c r="D3950" s="16"/>
      <c r="E3950" s="16"/>
      <c r="F3950" s="17"/>
      <c r="G3950" s="17"/>
      <c r="H3950" s="16"/>
      <c r="I3950" s="16"/>
      <c r="J3950" s="19"/>
    </row>
    <row r="3951" ht="15.75" customHeight="1">
      <c r="B3951" s="20"/>
      <c r="C3951" s="21"/>
      <c r="D3951" s="21"/>
      <c r="E3951" s="21"/>
      <c r="F3951" s="22"/>
      <c r="G3951" s="22"/>
      <c r="H3951" s="21"/>
      <c r="I3951" s="21"/>
      <c r="J3951" s="23"/>
    </row>
    <row r="3952" ht="15.75" customHeight="1">
      <c r="B3952" s="15"/>
      <c r="C3952" s="16"/>
      <c r="D3952" s="16"/>
      <c r="E3952" s="16"/>
      <c r="F3952" s="17"/>
      <c r="G3952" s="17"/>
      <c r="H3952" s="16"/>
      <c r="I3952" s="16"/>
      <c r="J3952" s="19"/>
    </row>
    <row r="3953" ht="15.75" customHeight="1">
      <c r="B3953" s="20"/>
      <c r="C3953" s="21"/>
      <c r="D3953" s="21"/>
      <c r="E3953" s="21"/>
      <c r="F3953" s="22"/>
      <c r="G3953" s="22"/>
      <c r="H3953" s="21"/>
      <c r="I3953" s="21"/>
      <c r="J3953" s="23"/>
    </row>
    <row r="3954" ht="15.75" customHeight="1">
      <c r="B3954" s="15"/>
      <c r="C3954" s="16"/>
      <c r="D3954" s="16"/>
      <c r="E3954" s="16"/>
      <c r="F3954" s="17"/>
      <c r="G3954" s="17"/>
      <c r="H3954" s="16"/>
      <c r="I3954" s="16"/>
      <c r="J3954" s="19"/>
    </row>
    <row r="3955" ht="15.75" customHeight="1">
      <c r="B3955" s="20"/>
      <c r="C3955" s="21"/>
      <c r="D3955" s="21"/>
      <c r="E3955" s="21"/>
      <c r="F3955" s="22"/>
      <c r="G3955" s="22"/>
      <c r="H3955" s="21"/>
      <c r="I3955" s="21"/>
      <c r="J3955" s="23"/>
    </row>
    <row r="3956" ht="15.75" customHeight="1">
      <c r="B3956" s="15"/>
      <c r="C3956" s="16"/>
      <c r="D3956" s="16"/>
      <c r="E3956" s="16"/>
      <c r="F3956" s="17"/>
      <c r="G3956" s="17"/>
      <c r="H3956" s="16"/>
      <c r="I3956" s="16"/>
      <c r="J3956" s="19"/>
    </row>
    <row r="3957" ht="15.75" customHeight="1">
      <c r="B3957" s="20"/>
      <c r="C3957" s="21"/>
      <c r="D3957" s="21"/>
      <c r="E3957" s="21"/>
      <c r="F3957" s="22"/>
      <c r="G3957" s="22"/>
      <c r="H3957" s="21"/>
      <c r="I3957" s="21"/>
      <c r="J3957" s="23"/>
    </row>
    <row r="3958" ht="15.75" customHeight="1">
      <c r="B3958" s="15"/>
      <c r="C3958" s="16"/>
      <c r="D3958" s="16"/>
      <c r="E3958" s="16"/>
      <c r="F3958" s="17"/>
      <c r="G3958" s="17"/>
      <c r="H3958" s="16"/>
      <c r="I3958" s="16"/>
      <c r="J3958" s="19"/>
    </row>
    <row r="3959" ht="15.75" customHeight="1">
      <c r="B3959" s="20"/>
      <c r="C3959" s="21"/>
      <c r="D3959" s="21"/>
      <c r="E3959" s="21"/>
      <c r="F3959" s="22"/>
      <c r="G3959" s="22"/>
      <c r="H3959" s="21"/>
      <c r="I3959" s="21"/>
      <c r="J3959" s="23"/>
    </row>
    <row r="3960" ht="15.75" customHeight="1">
      <c r="B3960" s="15"/>
      <c r="C3960" s="16"/>
      <c r="D3960" s="16"/>
      <c r="E3960" s="16"/>
      <c r="F3960" s="17"/>
      <c r="G3960" s="17"/>
      <c r="H3960" s="16"/>
      <c r="I3960" s="16"/>
      <c r="J3960" s="19"/>
    </row>
    <row r="3961" ht="15.75" customHeight="1">
      <c r="B3961" s="20"/>
      <c r="C3961" s="21"/>
      <c r="D3961" s="21"/>
      <c r="E3961" s="21"/>
      <c r="F3961" s="22"/>
      <c r="G3961" s="22"/>
      <c r="H3961" s="21"/>
      <c r="I3961" s="21"/>
      <c r="J3961" s="23"/>
    </row>
    <row r="3962" ht="15.75" customHeight="1">
      <c r="B3962" s="15"/>
      <c r="C3962" s="16"/>
      <c r="D3962" s="16"/>
      <c r="E3962" s="16"/>
      <c r="F3962" s="17"/>
      <c r="G3962" s="17"/>
      <c r="H3962" s="16"/>
      <c r="I3962" s="16"/>
      <c r="J3962" s="19"/>
    </row>
    <row r="3963" ht="15.75" customHeight="1">
      <c r="B3963" s="20"/>
      <c r="C3963" s="21"/>
      <c r="D3963" s="21"/>
      <c r="E3963" s="21"/>
      <c r="F3963" s="22"/>
      <c r="G3963" s="22"/>
      <c r="H3963" s="21"/>
      <c r="I3963" s="21"/>
      <c r="J3963" s="23"/>
    </row>
    <row r="3964" ht="15.75" customHeight="1">
      <c r="B3964" s="15"/>
      <c r="C3964" s="16"/>
      <c r="D3964" s="16"/>
      <c r="E3964" s="16"/>
      <c r="F3964" s="17"/>
      <c r="G3964" s="17"/>
      <c r="H3964" s="16"/>
      <c r="I3964" s="16"/>
      <c r="J3964" s="19"/>
    </row>
    <row r="3965" ht="15.75" customHeight="1">
      <c r="B3965" s="20"/>
      <c r="C3965" s="21"/>
      <c r="D3965" s="21"/>
      <c r="E3965" s="21"/>
      <c r="F3965" s="22"/>
      <c r="G3965" s="22"/>
      <c r="H3965" s="21"/>
      <c r="I3965" s="21"/>
      <c r="J3965" s="23"/>
    </row>
    <row r="3966" ht="15.75" customHeight="1">
      <c r="B3966" s="15"/>
      <c r="C3966" s="16"/>
      <c r="D3966" s="16"/>
      <c r="E3966" s="16"/>
      <c r="F3966" s="17"/>
      <c r="G3966" s="17"/>
      <c r="H3966" s="16"/>
      <c r="I3966" s="16"/>
      <c r="J3966" s="19"/>
    </row>
    <row r="3967" ht="15.75" customHeight="1">
      <c r="B3967" s="20"/>
      <c r="C3967" s="21"/>
      <c r="D3967" s="21"/>
      <c r="E3967" s="21"/>
      <c r="F3967" s="22"/>
      <c r="G3967" s="22"/>
      <c r="H3967" s="21"/>
      <c r="I3967" s="21"/>
      <c r="J3967" s="23"/>
    </row>
    <row r="3968" ht="15.75" customHeight="1">
      <c r="B3968" s="15"/>
      <c r="C3968" s="16"/>
      <c r="D3968" s="16"/>
      <c r="E3968" s="16"/>
      <c r="F3968" s="17"/>
      <c r="G3968" s="17"/>
      <c r="H3968" s="16"/>
      <c r="I3968" s="16"/>
      <c r="J3968" s="19"/>
    </row>
    <row r="3969" ht="15.75" customHeight="1">
      <c r="B3969" s="20"/>
      <c r="C3969" s="21"/>
      <c r="D3969" s="21"/>
      <c r="E3969" s="21"/>
      <c r="F3969" s="22"/>
      <c r="G3969" s="22"/>
      <c r="H3969" s="21"/>
      <c r="I3969" s="21"/>
      <c r="J3969" s="23"/>
    </row>
    <row r="3970" ht="15.75" customHeight="1">
      <c r="B3970" s="15"/>
      <c r="C3970" s="16"/>
      <c r="D3970" s="16"/>
      <c r="E3970" s="16"/>
      <c r="F3970" s="17"/>
      <c r="G3970" s="17"/>
      <c r="H3970" s="16"/>
      <c r="I3970" s="16"/>
      <c r="J3970" s="19"/>
    </row>
    <row r="3971" ht="15.75" customHeight="1">
      <c r="B3971" s="20"/>
      <c r="C3971" s="21"/>
      <c r="D3971" s="21"/>
      <c r="E3971" s="21"/>
      <c r="F3971" s="22"/>
      <c r="G3971" s="22"/>
      <c r="H3971" s="21"/>
      <c r="I3971" s="21"/>
      <c r="J3971" s="23"/>
    </row>
    <row r="3972" ht="15.75" customHeight="1">
      <c r="B3972" s="15"/>
      <c r="C3972" s="16"/>
      <c r="D3972" s="16"/>
      <c r="E3972" s="16"/>
      <c r="F3972" s="17"/>
      <c r="G3972" s="17"/>
      <c r="H3972" s="16"/>
      <c r="I3972" s="16"/>
      <c r="J3972" s="19"/>
    </row>
    <row r="3973" ht="15.75" customHeight="1">
      <c r="B3973" s="20"/>
      <c r="C3973" s="21"/>
      <c r="D3973" s="21"/>
      <c r="E3973" s="21"/>
      <c r="F3973" s="22"/>
      <c r="G3973" s="22"/>
      <c r="H3973" s="21"/>
      <c r="I3973" s="21"/>
      <c r="J3973" s="23"/>
    </row>
    <row r="3974" ht="15.75" customHeight="1">
      <c r="B3974" s="15"/>
      <c r="C3974" s="16"/>
      <c r="D3974" s="16"/>
      <c r="E3974" s="16"/>
      <c r="F3974" s="17"/>
      <c r="G3974" s="17"/>
      <c r="H3974" s="16"/>
      <c r="I3974" s="16"/>
      <c r="J3974" s="19"/>
    </row>
    <row r="3975" ht="15.75" customHeight="1">
      <c r="B3975" s="20"/>
      <c r="C3975" s="21"/>
      <c r="D3975" s="21"/>
      <c r="E3975" s="21"/>
      <c r="F3975" s="22"/>
      <c r="G3975" s="22"/>
      <c r="H3975" s="21"/>
      <c r="I3975" s="21"/>
      <c r="J3975" s="23"/>
    </row>
    <row r="3976" ht="15.75" customHeight="1">
      <c r="B3976" s="15"/>
      <c r="C3976" s="16"/>
      <c r="D3976" s="16"/>
      <c r="E3976" s="16"/>
      <c r="F3976" s="17"/>
      <c r="G3976" s="17"/>
      <c r="H3976" s="16"/>
      <c r="I3976" s="16"/>
      <c r="J3976" s="19"/>
    </row>
    <row r="3977" ht="15.75" customHeight="1">
      <c r="B3977" s="20"/>
      <c r="C3977" s="21"/>
      <c r="D3977" s="21"/>
      <c r="E3977" s="21"/>
      <c r="F3977" s="22"/>
      <c r="G3977" s="22"/>
      <c r="H3977" s="21"/>
      <c r="I3977" s="21"/>
      <c r="J3977" s="23"/>
    </row>
    <row r="3978" ht="15.75" customHeight="1">
      <c r="B3978" s="15"/>
      <c r="C3978" s="16"/>
      <c r="D3978" s="16"/>
      <c r="E3978" s="16"/>
      <c r="F3978" s="17"/>
      <c r="G3978" s="17"/>
      <c r="H3978" s="16"/>
      <c r="I3978" s="16"/>
      <c r="J3978" s="19"/>
    </row>
    <row r="3979" ht="15.75" customHeight="1">
      <c r="B3979" s="20"/>
      <c r="C3979" s="21"/>
      <c r="D3979" s="21"/>
      <c r="E3979" s="21"/>
      <c r="F3979" s="22"/>
      <c r="G3979" s="22"/>
      <c r="H3979" s="21"/>
      <c r="I3979" s="21"/>
      <c r="J3979" s="23"/>
    </row>
    <row r="3980" ht="15.75" customHeight="1">
      <c r="B3980" s="15"/>
      <c r="C3980" s="16"/>
      <c r="D3980" s="16"/>
      <c r="E3980" s="16"/>
      <c r="F3980" s="17"/>
      <c r="G3980" s="17"/>
      <c r="H3980" s="16"/>
      <c r="I3980" s="16"/>
      <c r="J3980" s="19"/>
    </row>
    <row r="3981" ht="15.75" customHeight="1">
      <c r="B3981" s="20"/>
      <c r="C3981" s="21"/>
      <c r="D3981" s="21"/>
      <c r="E3981" s="21"/>
      <c r="F3981" s="22"/>
      <c r="G3981" s="22"/>
      <c r="H3981" s="21"/>
      <c r="I3981" s="21"/>
      <c r="J3981" s="23"/>
    </row>
    <row r="3982" ht="15.75" customHeight="1">
      <c r="B3982" s="15"/>
      <c r="C3982" s="16"/>
      <c r="D3982" s="16"/>
      <c r="E3982" s="16"/>
      <c r="F3982" s="17"/>
      <c r="G3982" s="17"/>
      <c r="H3982" s="16"/>
      <c r="I3982" s="16"/>
      <c r="J3982" s="19"/>
    </row>
    <row r="3983" ht="15.75" customHeight="1">
      <c r="B3983" s="20"/>
      <c r="C3983" s="21"/>
      <c r="D3983" s="21"/>
      <c r="E3983" s="21"/>
      <c r="F3983" s="22"/>
      <c r="G3983" s="22"/>
      <c r="H3983" s="21"/>
      <c r="I3983" s="21"/>
      <c r="J3983" s="23"/>
    </row>
    <row r="3984" ht="15.75" customHeight="1">
      <c r="B3984" s="15"/>
      <c r="C3984" s="16"/>
      <c r="D3984" s="16"/>
      <c r="E3984" s="16"/>
      <c r="F3984" s="17"/>
      <c r="G3984" s="17"/>
      <c r="H3984" s="16"/>
      <c r="I3984" s="16"/>
      <c r="J3984" s="19"/>
    </row>
    <row r="3985" ht="15.75" customHeight="1">
      <c r="B3985" s="20"/>
      <c r="C3985" s="21"/>
      <c r="D3985" s="21"/>
      <c r="E3985" s="21"/>
      <c r="F3985" s="22"/>
      <c r="G3985" s="22"/>
      <c r="H3985" s="21"/>
      <c r="I3985" s="21"/>
      <c r="J3985" s="23"/>
    </row>
    <row r="3986" ht="15.75" customHeight="1">
      <c r="B3986" s="15"/>
      <c r="C3986" s="16"/>
      <c r="D3986" s="16"/>
      <c r="E3986" s="16"/>
      <c r="F3986" s="17"/>
      <c r="G3986" s="17"/>
      <c r="H3986" s="16"/>
      <c r="I3986" s="16"/>
      <c r="J3986" s="19"/>
    </row>
    <row r="3987" ht="15.75" customHeight="1">
      <c r="B3987" s="20"/>
      <c r="C3987" s="21"/>
      <c r="D3987" s="21"/>
      <c r="E3987" s="21"/>
      <c r="F3987" s="22"/>
      <c r="G3987" s="22"/>
      <c r="H3987" s="21"/>
      <c r="I3987" s="21"/>
      <c r="J3987" s="23"/>
    </row>
    <row r="3988" ht="15.75" customHeight="1">
      <c r="B3988" s="15"/>
      <c r="C3988" s="16"/>
      <c r="D3988" s="16"/>
      <c r="E3988" s="16"/>
      <c r="F3988" s="17"/>
      <c r="G3988" s="17"/>
      <c r="H3988" s="16"/>
      <c r="I3988" s="16"/>
      <c r="J3988" s="19"/>
    </row>
    <row r="3989" ht="15.75" customHeight="1">
      <c r="B3989" s="20"/>
      <c r="C3989" s="21"/>
      <c r="D3989" s="21"/>
      <c r="E3989" s="21"/>
      <c r="F3989" s="22"/>
      <c r="G3989" s="22"/>
      <c r="H3989" s="21"/>
      <c r="I3989" s="21"/>
      <c r="J3989" s="23"/>
    </row>
    <row r="3990" ht="15.75" customHeight="1">
      <c r="B3990" s="15"/>
      <c r="C3990" s="16"/>
      <c r="D3990" s="16"/>
      <c r="E3990" s="16"/>
      <c r="F3990" s="17"/>
      <c r="G3990" s="17"/>
      <c r="H3990" s="16"/>
      <c r="I3990" s="16"/>
      <c r="J3990" s="19"/>
    </row>
    <row r="3991" ht="15.75" customHeight="1">
      <c r="B3991" s="20"/>
      <c r="C3991" s="21"/>
      <c r="D3991" s="21"/>
      <c r="E3991" s="21"/>
      <c r="F3991" s="22"/>
      <c r="G3991" s="22"/>
      <c r="H3991" s="21"/>
      <c r="I3991" s="21"/>
      <c r="J3991" s="23"/>
    </row>
    <row r="3992" ht="15.75" customHeight="1">
      <c r="B3992" s="15"/>
      <c r="C3992" s="16"/>
      <c r="D3992" s="16"/>
      <c r="E3992" s="16"/>
      <c r="F3992" s="17"/>
      <c r="G3992" s="17"/>
      <c r="H3992" s="16"/>
      <c r="I3992" s="16"/>
      <c r="J3992" s="19"/>
    </row>
    <row r="3993" ht="15.75" customHeight="1">
      <c r="B3993" s="20"/>
      <c r="C3993" s="21"/>
      <c r="D3993" s="21"/>
      <c r="E3993" s="21"/>
      <c r="F3993" s="22"/>
      <c r="G3993" s="22"/>
      <c r="H3993" s="21"/>
      <c r="I3993" s="21"/>
      <c r="J3993" s="23"/>
    </row>
    <row r="3994" ht="15.75" customHeight="1">
      <c r="B3994" s="15"/>
      <c r="C3994" s="16"/>
      <c r="D3994" s="16"/>
      <c r="E3994" s="16"/>
      <c r="F3994" s="17"/>
      <c r="G3994" s="17"/>
      <c r="H3994" s="16"/>
      <c r="I3994" s="16"/>
      <c r="J3994" s="19"/>
    </row>
    <row r="3995" ht="15.75" customHeight="1">
      <c r="B3995" s="20"/>
      <c r="C3995" s="21"/>
      <c r="D3995" s="21"/>
      <c r="E3995" s="21"/>
      <c r="F3995" s="22"/>
      <c r="G3995" s="22"/>
      <c r="H3995" s="21"/>
      <c r="I3995" s="21"/>
      <c r="J3995" s="23"/>
    </row>
    <row r="3996" ht="15.75" customHeight="1">
      <c r="B3996" s="15"/>
      <c r="C3996" s="16"/>
      <c r="D3996" s="16"/>
      <c r="E3996" s="16"/>
      <c r="F3996" s="17"/>
      <c r="G3996" s="17"/>
      <c r="H3996" s="16"/>
      <c r="I3996" s="16"/>
      <c r="J3996" s="19"/>
    </row>
    <row r="3997" ht="15.75" customHeight="1">
      <c r="B3997" s="20"/>
      <c r="C3997" s="21"/>
      <c r="D3997" s="21"/>
      <c r="E3997" s="21"/>
      <c r="F3997" s="22"/>
      <c r="G3997" s="22"/>
      <c r="H3997" s="21"/>
      <c r="I3997" s="21"/>
      <c r="J3997" s="23"/>
    </row>
    <row r="3998" ht="15.75" customHeight="1">
      <c r="B3998" s="15"/>
      <c r="C3998" s="16"/>
      <c r="D3998" s="16"/>
      <c r="E3998" s="16"/>
      <c r="F3998" s="17"/>
      <c r="G3998" s="17"/>
      <c r="H3998" s="16"/>
      <c r="I3998" s="16"/>
      <c r="J3998" s="19"/>
    </row>
    <row r="3999" ht="15.75" customHeight="1">
      <c r="B3999" s="20"/>
      <c r="C3999" s="21"/>
      <c r="D3999" s="21"/>
      <c r="E3999" s="21"/>
      <c r="F3999" s="22"/>
      <c r="G3999" s="22"/>
      <c r="H3999" s="21"/>
      <c r="I3999" s="21"/>
      <c r="J3999" s="23"/>
    </row>
    <row r="4000" ht="15.75" customHeight="1">
      <c r="B4000" s="15"/>
      <c r="C4000" s="16"/>
      <c r="D4000" s="16"/>
      <c r="E4000" s="16"/>
      <c r="F4000" s="17"/>
      <c r="G4000" s="17"/>
      <c r="H4000" s="16"/>
      <c r="I4000" s="16"/>
      <c r="J4000" s="19"/>
    </row>
    <row r="4001" ht="15.75" customHeight="1">
      <c r="B4001" s="20"/>
      <c r="C4001" s="21"/>
      <c r="D4001" s="21"/>
      <c r="E4001" s="21"/>
      <c r="F4001" s="22"/>
      <c r="G4001" s="22"/>
      <c r="H4001" s="21"/>
      <c r="I4001" s="21"/>
      <c r="J4001" s="23"/>
    </row>
    <row r="4002" ht="15.75" customHeight="1">
      <c r="B4002" s="15"/>
      <c r="C4002" s="16"/>
      <c r="D4002" s="16"/>
      <c r="E4002" s="16"/>
      <c r="F4002" s="17"/>
      <c r="G4002" s="17"/>
      <c r="H4002" s="16"/>
      <c r="I4002" s="16"/>
      <c r="J4002" s="19"/>
    </row>
    <row r="4003" ht="15.75" customHeight="1">
      <c r="B4003" s="20"/>
      <c r="C4003" s="21"/>
      <c r="D4003" s="21"/>
      <c r="E4003" s="21"/>
      <c r="F4003" s="22"/>
      <c r="G4003" s="22"/>
      <c r="H4003" s="21"/>
      <c r="I4003" s="21"/>
      <c r="J4003" s="23"/>
    </row>
    <row r="4004" ht="15.75" customHeight="1">
      <c r="B4004" s="15"/>
      <c r="C4004" s="16"/>
      <c r="D4004" s="16"/>
      <c r="E4004" s="16"/>
      <c r="F4004" s="17"/>
      <c r="G4004" s="17"/>
      <c r="H4004" s="16"/>
      <c r="I4004" s="16"/>
      <c r="J4004" s="19"/>
    </row>
    <row r="4005" ht="15.75" customHeight="1">
      <c r="B4005" s="20"/>
      <c r="C4005" s="21"/>
      <c r="D4005" s="21"/>
      <c r="E4005" s="21"/>
      <c r="F4005" s="22"/>
      <c r="G4005" s="22"/>
      <c r="H4005" s="21"/>
      <c r="I4005" s="21"/>
      <c r="J4005" s="23"/>
    </row>
    <row r="4006" ht="15.75" customHeight="1">
      <c r="B4006" s="15"/>
      <c r="C4006" s="16"/>
      <c r="D4006" s="16"/>
      <c r="E4006" s="16"/>
      <c r="F4006" s="17"/>
      <c r="G4006" s="17"/>
      <c r="H4006" s="16"/>
      <c r="I4006" s="16"/>
      <c r="J4006" s="19"/>
    </row>
    <row r="4007" ht="15.75" customHeight="1">
      <c r="B4007" s="20"/>
      <c r="C4007" s="21"/>
      <c r="D4007" s="21"/>
      <c r="E4007" s="21"/>
      <c r="F4007" s="22"/>
      <c r="G4007" s="22"/>
      <c r="H4007" s="21"/>
      <c r="I4007" s="21"/>
      <c r="J4007" s="23"/>
    </row>
    <row r="4008" ht="15.75" customHeight="1">
      <c r="B4008" s="15"/>
      <c r="C4008" s="16"/>
      <c r="D4008" s="16"/>
      <c r="E4008" s="16"/>
      <c r="F4008" s="17"/>
      <c r="G4008" s="17"/>
      <c r="H4008" s="16"/>
      <c r="I4008" s="16"/>
      <c r="J4008" s="19"/>
    </row>
    <row r="4009" ht="15.75" customHeight="1">
      <c r="B4009" s="20"/>
      <c r="C4009" s="21"/>
      <c r="D4009" s="21"/>
      <c r="E4009" s="21"/>
      <c r="F4009" s="22"/>
      <c r="G4009" s="22"/>
      <c r="H4009" s="21"/>
      <c r="I4009" s="21"/>
      <c r="J4009" s="23"/>
    </row>
    <row r="4010" ht="15.75" customHeight="1">
      <c r="B4010" s="15"/>
      <c r="C4010" s="16"/>
      <c r="D4010" s="16"/>
      <c r="E4010" s="16"/>
      <c r="F4010" s="17"/>
      <c r="G4010" s="17"/>
      <c r="H4010" s="16"/>
      <c r="I4010" s="16"/>
      <c r="J4010" s="19"/>
    </row>
    <row r="4011" ht="15.75" customHeight="1">
      <c r="B4011" s="20"/>
      <c r="C4011" s="21"/>
      <c r="D4011" s="21"/>
      <c r="E4011" s="21"/>
      <c r="F4011" s="22"/>
      <c r="G4011" s="22"/>
      <c r="H4011" s="21"/>
      <c r="I4011" s="21"/>
      <c r="J4011" s="23"/>
    </row>
    <row r="4012" ht="15.75" customHeight="1">
      <c r="B4012" s="15"/>
      <c r="C4012" s="16"/>
      <c r="D4012" s="16"/>
      <c r="E4012" s="16"/>
      <c r="F4012" s="17"/>
      <c r="G4012" s="17"/>
      <c r="H4012" s="16"/>
      <c r="I4012" s="16"/>
      <c r="J4012" s="19"/>
    </row>
    <row r="4013" ht="15.75" customHeight="1">
      <c r="B4013" s="20"/>
      <c r="C4013" s="21"/>
      <c r="D4013" s="21"/>
      <c r="E4013" s="21"/>
      <c r="F4013" s="22"/>
      <c r="G4013" s="22"/>
      <c r="H4013" s="21"/>
      <c r="I4013" s="21"/>
      <c r="J4013" s="23"/>
    </row>
    <row r="4014" ht="15.75" customHeight="1">
      <c r="B4014" s="15"/>
      <c r="C4014" s="16"/>
      <c r="D4014" s="16"/>
      <c r="E4014" s="16"/>
      <c r="F4014" s="17"/>
      <c r="G4014" s="17"/>
      <c r="H4014" s="16"/>
      <c r="I4014" s="16"/>
      <c r="J4014" s="19"/>
    </row>
    <row r="4015" ht="15.75" customHeight="1">
      <c r="B4015" s="20"/>
      <c r="C4015" s="21"/>
      <c r="D4015" s="21"/>
      <c r="E4015" s="21"/>
      <c r="F4015" s="22"/>
      <c r="G4015" s="22"/>
      <c r="H4015" s="21"/>
      <c r="I4015" s="21"/>
      <c r="J4015" s="23"/>
    </row>
    <row r="4016" ht="15.75" customHeight="1">
      <c r="B4016" s="15"/>
      <c r="C4016" s="16"/>
      <c r="D4016" s="16"/>
      <c r="E4016" s="16"/>
      <c r="F4016" s="17"/>
      <c r="G4016" s="17"/>
      <c r="H4016" s="16"/>
      <c r="I4016" s="16"/>
      <c r="J4016" s="19"/>
    </row>
    <row r="4017" ht="15.75" customHeight="1">
      <c r="B4017" s="20"/>
      <c r="C4017" s="21"/>
      <c r="D4017" s="21"/>
      <c r="E4017" s="21"/>
      <c r="F4017" s="22"/>
      <c r="G4017" s="22"/>
      <c r="H4017" s="21"/>
      <c r="I4017" s="21"/>
      <c r="J4017" s="23"/>
    </row>
    <row r="4018" ht="15.75" customHeight="1">
      <c r="B4018" s="15"/>
      <c r="C4018" s="16"/>
      <c r="D4018" s="16"/>
      <c r="E4018" s="16"/>
      <c r="F4018" s="17"/>
      <c r="G4018" s="17"/>
      <c r="H4018" s="16"/>
      <c r="I4018" s="16"/>
      <c r="J4018" s="19"/>
    </row>
    <row r="4019" ht="15.75" customHeight="1">
      <c r="B4019" s="20"/>
      <c r="C4019" s="21"/>
      <c r="D4019" s="21"/>
      <c r="E4019" s="21"/>
      <c r="F4019" s="22"/>
      <c r="G4019" s="22"/>
      <c r="H4019" s="21"/>
      <c r="I4019" s="21"/>
      <c r="J4019" s="23"/>
    </row>
    <row r="4020" ht="15.75" customHeight="1">
      <c r="B4020" s="15"/>
      <c r="C4020" s="16"/>
      <c r="D4020" s="16"/>
      <c r="E4020" s="16"/>
      <c r="F4020" s="17"/>
      <c r="G4020" s="17"/>
      <c r="H4020" s="16"/>
      <c r="I4020" s="16"/>
      <c r="J4020" s="19"/>
    </row>
    <row r="4021" ht="15.75" customHeight="1">
      <c r="B4021" s="20"/>
      <c r="C4021" s="21"/>
      <c r="D4021" s="21"/>
      <c r="E4021" s="21"/>
      <c r="F4021" s="22"/>
      <c r="G4021" s="22"/>
      <c r="H4021" s="21"/>
      <c r="I4021" s="21"/>
      <c r="J4021" s="23"/>
    </row>
    <row r="4022" ht="15.75" customHeight="1">
      <c r="B4022" s="15"/>
      <c r="C4022" s="16"/>
      <c r="D4022" s="16"/>
      <c r="E4022" s="16"/>
      <c r="F4022" s="17"/>
      <c r="G4022" s="17"/>
      <c r="H4022" s="16"/>
      <c r="I4022" s="16"/>
      <c r="J4022" s="19"/>
    </row>
    <row r="4023" ht="15.75" customHeight="1">
      <c r="B4023" s="20"/>
      <c r="C4023" s="21"/>
      <c r="D4023" s="21"/>
      <c r="E4023" s="21"/>
      <c r="F4023" s="22"/>
      <c r="G4023" s="22"/>
      <c r="H4023" s="21"/>
      <c r="I4023" s="21"/>
      <c r="J4023" s="23"/>
    </row>
    <row r="4024" ht="15.75" customHeight="1">
      <c r="B4024" s="15"/>
      <c r="C4024" s="16"/>
      <c r="D4024" s="16"/>
      <c r="E4024" s="16"/>
      <c r="F4024" s="17"/>
      <c r="G4024" s="17"/>
      <c r="H4024" s="16"/>
      <c r="I4024" s="16"/>
      <c r="J4024" s="19"/>
    </row>
    <row r="4025" ht="15.75" customHeight="1">
      <c r="B4025" s="20"/>
      <c r="C4025" s="21"/>
      <c r="D4025" s="21"/>
      <c r="E4025" s="21"/>
      <c r="F4025" s="22"/>
      <c r="G4025" s="22"/>
      <c r="H4025" s="21"/>
      <c r="I4025" s="21"/>
      <c r="J4025" s="23"/>
    </row>
    <row r="4026" ht="15.75" customHeight="1">
      <c r="B4026" s="15"/>
      <c r="C4026" s="16"/>
      <c r="D4026" s="16"/>
      <c r="E4026" s="16"/>
      <c r="F4026" s="17"/>
      <c r="G4026" s="17"/>
      <c r="H4026" s="16"/>
      <c r="I4026" s="16"/>
      <c r="J4026" s="19"/>
    </row>
    <row r="4027" ht="15.75" customHeight="1">
      <c r="B4027" s="20"/>
      <c r="C4027" s="21"/>
      <c r="D4027" s="21"/>
      <c r="E4027" s="21"/>
      <c r="F4027" s="22"/>
      <c r="G4027" s="22"/>
      <c r="H4027" s="21"/>
      <c r="I4027" s="21"/>
      <c r="J4027" s="23"/>
    </row>
    <row r="4028" ht="15.75" customHeight="1">
      <c r="B4028" s="15"/>
      <c r="C4028" s="16"/>
      <c r="D4028" s="16"/>
      <c r="E4028" s="16"/>
      <c r="F4028" s="17"/>
      <c r="G4028" s="17"/>
      <c r="H4028" s="16"/>
      <c r="I4028" s="16"/>
      <c r="J4028" s="19"/>
    </row>
    <row r="4029" ht="15.75" customHeight="1">
      <c r="B4029" s="20"/>
      <c r="C4029" s="21"/>
      <c r="D4029" s="21"/>
      <c r="E4029" s="21"/>
      <c r="F4029" s="22"/>
      <c r="G4029" s="22"/>
      <c r="H4029" s="21"/>
      <c r="I4029" s="21"/>
      <c r="J4029" s="23"/>
    </row>
    <row r="4030" ht="15.75" customHeight="1">
      <c r="B4030" s="15"/>
      <c r="C4030" s="16"/>
      <c r="D4030" s="16"/>
      <c r="E4030" s="16"/>
      <c r="F4030" s="17"/>
      <c r="G4030" s="17"/>
      <c r="H4030" s="16"/>
      <c r="I4030" s="16"/>
      <c r="J4030" s="19"/>
    </row>
    <row r="4031" ht="15.75" customHeight="1">
      <c r="B4031" s="20"/>
      <c r="C4031" s="21"/>
      <c r="D4031" s="21"/>
      <c r="E4031" s="21"/>
      <c r="F4031" s="22"/>
      <c r="G4031" s="22"/>
      <c r="H4031" s="21"/>
      <c r="I4031" s="21"/>
      <c r="J4031" s="23"/>
    </row>
    <row r="4032" ht="15.75" customHeight="1">
      <c r="B4032" s="15"/>
      <c r="C4032" s="16"/>
      <c r="D4032" s="16"/>
      <c r="E4032" s="16"/>
      <c r="F4032" s="17"/>
      <c r="G4032" s="17"/>
      <c r="H4032" s="16"/>
      <c r="I4032" s="16"/>
      <c r="J4032" s="19"/>
    </row>
    <row r="4033" ht="15.75" customHeight="1">
      <c r="B4033" s="20"/>
      <c r="C4033" s="21"/>
      <c r="D4033" s="21"/>
      <c r="E4033" s="21"/>
      <c r="F4033" s="22"/>
      <c r="G4033" s="22"/>
      <c r="H4033" s="21"/>
      <c r="I4033" s="21"/>
      <c r="J4033" s="23"/>
    </row>
    <row r="4034" ht="15.75" customHeight="1">
      <c r="B4034" s="15"/>
      <c r="C4034" s="16"/>
      <c r="D4034" s="16"/>
      <c r="E4034" s="16"/>
      <c r="F4034" s="17"/>
      <c r="G4034" s="17"/>
      <c r="H4034" s="16"/>
      <c r="I4034" s="16"/>
      <c r="J4034" s="19"/>
    </row>
    <row r="4035" ht="15.75" customHeight="1">
      <c r="B4035" s="20"/>
      <c r="C4035" s="21"/>
      <c r="D4035" s="21"/>
      <c r="E4035" s="21"/>
      <c r="F4035" s="22"/>
      <c r="G4035" s="22"/>
      <c r="H4035" s="21"/>
      <c r="I4035" s="21"/>
      <c r="J4035" s="23"/>
    </row>
    <row r="4036" ht="15.75" customHeight="1">
      <c r="B4036" s="15"/>
      <c r="C4036" s="16"/>
      <c r="D4036" s="16"/>
      <c r="E4036" s="16"/>
      <c r="F4036" s="17"/>
      <c r="G4036" s="17"/>
      <c r="H4036" s="16"/>
      <c r="I4036" s="16"/>
      <c r="J4036" s="19"/>
    </row>
    <row r="4037" ht="15.75" customHeight="1">
      <c r="B4037" s="20"/>
      <c r="C4037" s="21"/>
      <c r="D4037" s="21"/>
      <c r="E4037" s="21"/>
      <c r="F4037" s="22"/>
      <c r="G4037" s="22"/>
      <c r="H4037" s="21"/>
      <c r="I4037" s="21"/>
      <c r="J4037" s="23"/>
    </row>
    <row r="4038" ht="15.75" customHeight="1">
      <c r="B4038" s="15"/>
      <c r="C4038" s="16"/>
      <c r="D4038" s="16"/>
      <c r="E4038" s="16"/>
      <c r="F4038" s="17"/>
      <c r="G4038" s="17"/>
      <c r="H4038" s="16"/>
      <c r="I4038" s="16"/>
      <c r="J4038" s="19"/>
    </row>
    <row r="4039" ht="15.75" customHeight="1">
      <c r="B4039" s="20"/>
      <c r="C4039" s="21"/>
      <c r="D4039" s="21"/>
      <c r="E4039" s="21"/>
      <c r="F4039" s="22"/>
      <c r="G4039" s="22"/>
      <c r="H4039" s="21"/>
      <c r="I4039" s="21"/>
      <c r="J4039" s="23"/>
    </row>
    <row r="4040" ht="15.75" customHeight="1">
      <c r="B4040" s="15"/>
      <c r="C4040" s="16"/>
      <c r="D4040" s="16"/>
      <c r="E4040" s="16"/>
      <c r="F4040" s="17"/>
      <c r="G4040" s="17"/>
      <c r="H4040" s="16"/>
      <c r="I4040" s="16"/>
      <c r="J4040" s="19"/>
    </row>
    <row r="4041" ht="15.75" customHeight="1">
      <c r="B4041" s="20"/>
      <c r="C4041" s="21"/>
      <c r="D4041" s="21"/>
      <c r="E4041" s="21"/>
      <c r="F4041" s="22"/>
      <c r="G4041" s="22"/>
      <c r="H4041" s="21"/>
      <c r="I4041" s="21"/>
      <c r="J4041" s="23"/>
    </row>
    <row r="4042" ht="15.75" customHeight="1">
      <c r="B4042" s="15"/>
      <c r="C4042" s="16"/>
      <c r="D4042" s="16"/>
      <c r="E4042" s="16"/>
      <c r="F4042" s="17"/>
      <c r="G4042" s="17"/>
      <c r="H4042" s="16"/>
      <c r="I4042" s="16"/>
      <c r="J4042" s="19"/>
    </row>
    <row r="4043" ht="15.75" customHeight="1">
      <c r="B4043" s="20"/>
      <c r="C4043" s="21"/>
      <c r="D4043" s="21"/>
      <c r="E4043" s="21"/>
      <c r="F4043" s="22"/>
      <c r="G4043" s="22"/>
      <c r="H4043" s="21"/>
      <c r="I4043" s="21"/>
      <c r="J4043" s="23"/>
    </row>
    <row r="4044" ht="15.75" customHeight="1">
      <c r="B4044" s="15"/>
      <c r="C4044" s="16"/>
      <c r="D4044" s="16"/>
      <c r="E4044" s="16"/>
      <c r="F4044" s="17"/>
      <c r="G4044" s="17"/>
      <c r="H4044" s="16"/>
      <c r="I4044" s="16"/>
      <c r="J4044" s="19"/>
    </row>
    <row r="4045" ht="15.75" customHeight="1">
      <c r="B4045" s="20"/>
      <c r="C4045" s="21"/>
      <c r="D4045" s="21"/>
      <c r="E4045" s="21"/>
      <c r="F4045" s="22"/>
      <c r="G4045" s="22"/>
      <c r="H4045" s="21"/>
      <c r="I4045" s="21"/>
      <c r="J4045" s="23"/>
    </row>
    <row r="4046" ht="15.75" customHeight="1">
      <c r="B4046" s="15"/>
      <c r="C4046" s="16"/>
      <c r="D4046" s="16"/>
      <c r="E4046" s="16"/>
      <c r="F4046" s="17"/>
      <c r="G4046" s="17"/>
      <c r="H4046" s="16"/>
      <c r="I4046" s="16"/>
      <c r="J4046" s="19"/>
    </row>
    <row r="4047" ht="15.75" customHeight="1">
      <c r="B4047" s="20"/>
      <c r="C4047" s="21"/>
      <c r="D4047" s="21"/>
      <c r="E4047" s="21"/>
      <c r="F4047" s="22"/>
      <c r="G4047" s="22"/>
      <c r="H4047" s="21"/>
      <c r="I4047" s="21"/>
      <c r="J4047" s="23"/>
    </row>
    <row r="4048" ht="15.75" customHeight="1">
      <c r="B4048" s="15"/>
      <c r="C4048" s="16"/>
      <c r="D4048" s="16"/>
      <c r="E4048" s="16"/>
      <c r="F4048" s="17"/>
      <c r="G4048" s="17"/>
      <c r="H4048" s="16"/>
      <c r="I4048" s="16"/>
      <c r="J4048" s="19"/>
    </row>
    <row r="4049" ht="15.75" customHeight="1">
      <c r="B4049" s="20"/>
      <c r="C4049" s="21"/>
      <c r="D4049" s="21"/>
      <c r="E4049" s="21"/>
      <c r="F4049" s="22"/>
      <c r="G4049" s="22"/>
      <c r="H4049" s="21"/>
      <c r="I4049" s="21"/>
      <c r="J4049" s="23"/>
    </row>
    <row r="4050" ht="15.75" customHeight="1">
      <c r="B4050" s="15"/>
      <c r="C4050" s="16"/>
      <c r="D4050" s="16"/>
      <c r="E4050" s="16"/>
      <c r="F4050" s="17"/>
      <c r="G4050" s="17"/>
      <c r="H4050" s="16"/>
      <c r="I4050" s="16"/>
      <c r="J4050" s="19"/>
    </row>
    <row r="4051" ht="15.75" customHeight="1">
      <c r="B4051" s="20"/>
      <c r="C4051" s="21"/>
      <c r="D4051" s="21"/>
      <c r="E4051" s="21"/>
      <c r="F4051" s="22"/>
      <c r="G4051" s="22"/>
      <c r="H4051" s="21"/>
      <c r="I4051" s="21"/>
      <c r="J4051" s="23"/>
    </row>
    <row r="4052" ht="15.75" customHeight="1">
      <c r="B4052" s="15"/>
      <c r="C4052" s="16"/>
      <c r="D4052" s="16"/>
      <c r="E4052" s="16"/>
      <c r="F4052" s="17"/>
      <c r="G4052" s="17"/>
      <c r="H4052" s="16"/>
      <c r="I4052" s="16"/>
      <c r="J4052" s="19"/>
    </row>
    <row r="4053" ht="15.75" customHeight="1">
      <c r="B4053" s="20"/>
      <c r="C4053" s="21"/>
      <c r="D4053" s="21"/>
      <c r="E4053" s="21"/>
      <c r="F4053" s="22"/>
      <c r="G4053" s="22"/>
      <c r="H4053" s="21"/>
      <c r="I4053" s="21"/>
      <c r="J4053" s="23"/>
    </row>
    <row r="4054" ht="15.75" customHeight="1">
      <c r="B4054" s="15"/>
      <c r="C4054" s="16"/>
      <c r="D4054" s="16"/>
      <c r="E4054" s="16"/>
      <c r="F4054" s="17"/>
      <c r="G4054" s="17"/>
      <c r="H4054" s="16"/>
      <c r="I4054" s="16"/>
      <c r="J4054" s="19"/>
    </row>
    <row r="4055" ht="15.75" customHeight="1">
      <c r="B4055" s="20"/>
      <c r="C4055" s="21"/>
      <c r="D4055" s="21"/>
      <c r="E4055" s="21"/>
      <c r="F4055" s="22"/>
      <c r="G4055" s="22"/>
      <c r="H4055" s="21"/>
      <c r="I4055" s="21"/>
      <c r="J4055" s="23"/>
    </row>
    <row r="4056" ht="15.75" customHeight="1">
      <c r="B4056" s="15"/>
      <c r="C4056" s="16"/>
      <c r="D4056" s="16"/>
      <c r="E4056" s="16"/>
      <c r="F4056" s="17"/>
      <c r="G4056" s="17"/>
      <c r="H4056" s="16"/>
      <c r="I4056" s="16"/>
      <c r="J4056" s="19"/>
    </row>
    <row r="4057" ht="15.75" customHeight="1">
      <c r="B4057" s="20"/>
      <c r="C4057" s="21"/>
      <c r="D4057" s="21"/>
      <c r="E4057" s="21"/>
      <c r="F4057" s="22"/>
      <c r="G4057" s="22"/>
      <c r="H4057" s="21"/>
      <c r="I4057" s="21"/>
      <c r="J4057" s="23"/>
    </row>
    <row r="4058" ht="15.75" customHeight="1">
      <c r="B4058" s="15"/>
      <c r="C4058" s="16"/>
      <c r="D4058" s="16"/>
      <c r="E4058" s="16"/>
      <c r="F4058" s="17"/>
      <c r="G4058" s="17"/>
      <c r="H4058" s="16"/>
      <c r="I4058" s="16"/>
      <c r="J4058" s="19"/>
    </row>
    <row r="4059" ht="15.75" customHeight="1">
      <c r="B4059" s="20"/>
      <c r="C4059" s="21"/>
      <c r="D4059" s="21"/>
      <c r="E4059" s="21"/>
      <c r="F4059" s="22"/>
      <c r="G4059" s="22"/>
      <c r="H4059" s="21"/>
      <c r="I4059" s="21"/>
      <c r="J4059" s="23"/>
    </row>
    <row r="4060" ht="15.75" customHeight="1">
      <c r="B4060" s="15"/>
      <c r="C4060" s="16"/>
      <c r="D4060" s="16"/>
      <c r="E4060" s="16"/>
      <c r="F4060" s="17"/>
      <c r="G4060" s="17"/>
      <c r="H4060" s="16"/>
      <c r="I4060" s="16"/>
      <c r="J4060" s="19"/>
    </row>
    <row r="4061" ht="15.75" customHeight="1">
      <c r="B4061" s="20"/>
      <c r="C4061" s="21"/>
      <c r="D4061" s="21"/>
      <c r="E4061" s="21"/>
      <c r="F4061" s="22"/>
      <c r="G4061" s="22"/>
      <c r="H4061" s="21"/>
      <c r="I4061" s="21"/>
      <c r="J4061" s="23"/>
    </row>
    <row r="4062" ht="15.75" customHeight="1">
      <c r="B4062" s="15"/>
      <c r="C4062" s="16"/>
      <c r="D4062" s="16"/>
      <c r="E4062" s="16"/>
      <c r="F4062" s="17"/>
      <c r="G4062" s="17"/>
      <c r="H4062" s="16"/>
      <c r="I4062" s="16"/>
      <c r="J4062" s="19"/>
    </row>
    <row r="4063" ht="15.75" customHeight="1">
      <c r="B4063" s="20"/>
      <c r="C4063" s="21"/>
      <c r="D4063" s="21"/>
      <c r="E4063" s="21"/>
      <c r="F4063" s="22"/>
      <c r="G4063" s="22"/>
      <c r="H4063" s="21"/>
      <c r="I4063" s="21"/>
      <c r="J4063" s="23"/>
    </row>
    <row r="4064" ht="15.75" customHeight="1">
      <c r="B4064" s="15"/>
      <c r="C4064" s="16"/>
      <c r="D4064" s="16"/>
      <c r="E4064" s="16"/>
      <c r="F4064" s="17"/>
      <c r="G4064" s="17"/>
      <c r="H4064" s="16"/>
      <c r="I4064" s="16"/>
      <c r="J4064" s="19"/>
    </row>
    <row r="4065" ht="15.75" customHeight="1">
      <c r="B4065" s="20"/>
      <c r="C4065" s="21"/>
      <c r="D4065" s="21"/>
      <c r="E4065" s="21"/>
      <c r="F4065" s="22"/>
      <c r="G4065" s="22"/>
      <c r="H4065" s="21"/>
      <c r="I4065" s="21"/>
      <c r="J4065" s="23"/>
    </row>
    <row r="4066" ht="15.75" customHeight="1">
      <c r="B4066" s="15"/>
      <c r="C4066" s="16"/>
      <c r="D4066" s="16"/>
      <c r="E4066" s="16"/>
      <c r="F4066" s="17"/>
      <c r="G4066" s="17"/>
      <c r="H4066" s="16"/>
      <c r="I4066" s="16"/>
      <c r="J4066" s="19"/>
    </row>
    <row r="4067" ht="15.75" customHeight="1">
      <c r="B4067" s="20"/>
      <c r="C4067" s="21"/>
      <c r="D4067" s="21"/>
      <c r="E4067" s="21"/>
      <c r="F4067" s="22"/>
      <c r="G4067" s="22"/>
      <c r="H4067" s="21"/>
      <c r="I4067" s="21"/>
      <c r="J4067" s="23"/>
    </row>
    <row r="4068" ht="15.75" customHeight="1">
      <c r="B4068" s="15"/>
      <c r="C4068" s="16"/>
      <c r="D4068" s="16"/>
      <c r="E4068" s="16"/>
      <c r="F4068" s="17"/>
      <c r="G4068" s="17"/>
      <c r="H4068" s="16"/>
      <c r="I4068" s="16"/>
      <c r="J4068" s="19"/>
    </row>
    <row r="4069" ht="15.75" customHeight="1">
      <c r="B4069" s="20"/>
      <c r="C4069" s="21"/>
      <c r="D4069" s="21"/>
      <c r="E4069" s="21"/>
      <c r="F4069" s="22"/>
      <c r="G4069" s="22"/>
      <c r="H4069" s="21"/>
      <c r="I4069" s="21"/>
      <c r="J4069" s="23"/>
    </row>
    <row r="4070" ht="15.75" customHeight="1">
      <c r="B4070" s="15"/>
      <c r="C4070" s="16"/>
      <c r="D4070" s="16"/>
      <c r="E4070" s="16"/>
      <c r="F4070" s="17"/>
      <c r="G4070" s="17"/>
      <c r="H4070" s="16"/>
      <c r="I4070" s="16"/>
      <c r="J4070" s="19"/>
    </row>
    <row r="4071" ht="15.75" customHeight="1">
      <c r="B4071" s="20"/>
      <c r="C4071" s="21"/>
      <c r="D4071" s="21"/>
      <c r="E4071" s="21"/>
      <c r="F4071" s="22"/>
      <c r="G4071" s="22"/>
      <c r="H4071" s="21"/>
      <c r="I4071" s="21"/>
      <c r="J4071" s="23"/>
    </row>
    <row r="4072" ht="15.75" customHeight="1">
      <c r="B4072" s="15"/>
      <c r="C4072" s="16"/>
      <c r="D4072" s="16"/>
      <c r="E4072" s="16"/>
      <c r="F4072" s="17"/>
      <c r="G4072" s="17"/>
      <c r="H4072" s="16"/>
      <c r="I4072" s="16"/>
      <c r="J4072" s="19"/>
    </row>
    <row r="4073" ht="15.75" customHeight="1">
      <c r="B4073" s="20"/>
      <c r="C4073" s="21"/>
      <c r="D4073" s="21"/>
      <c r="E4073" s="21"/>
      <c r="F4073" s="22"/>
      <c r="G4073" s="22"/>
      <c r="H4073" s="21"/>
      <c r="I4073" s="21"/>
      <c r="J4073" s="23"/>
    </row>
    <row r="4074" ht="15.75" customHeight="1">
      <c r="B4074" s="15"/>
      <c r="C4074" s="16"/>
      <c r="D4074" s="16"/>
      <c r="E4074" s="16"/>
      <c r="F4074" s="17"/>
      <c r="G4074" s="17"/>
      <c r="H4074" s="16"/>
      <c r="I4074" s="16"/>
      <c r="J4074" s="19"/>
    </row>
    <row r="4075" ht="15.75" customHeight="1">
      <c r="B4075" s="20"/>
      <c r="C4075" s="21"/>
      <c r="D4075" s="21"/>
      <c r="E4075" s="21"/>
      <c r="F4075" s="22"/>
      <c r="G4075" s="22"/>
      <c r="H4075" s="21"/>
      <c r="I4075" s="21"/>
      <c r="J4075" s="23"/>
    </row>
    <row r="4076" ht="15.75" customHeight="1">
      <c r="B4076" s="15"/>
      <c r="C4076" s="16"/>
      <c r="D4076" s="16"/>
      <c r="E4076" s="16"/>
      <c r="F4076" s="17"/>
      <c r="G4076" s="17"/>
      <c r="H4076" s="16"/>
      <c r="I4076" s="16"/>
      <c r="J4076" s="19"/>
    </row>
    <row r="4077" ht="15.75" customHeight="1">
      <c r="B4077" s="20"/>
      <c r="C4077" s="21"/>
      <c r="D4077" s="21"/>
      <c r="E4077" s="21"/>
      <c r="F4077" s="22"/>
      <c r="G4077" s="22"/>
      <c r="H4077" s="21"/>
      <c r="I4077" s="21"/>
      <c r="J4077" s="23"/>
    </row>
    <row r="4078" ht="15.75" customHeight="1">
      <c r="B4078" s="15"/>
      <c r="C4078" s="16"/>
      <c r="D4078" s="16"/>
      <c r="E4078" s="16"/>
      <c r="F4078" s="17"/>
      <c r="G4078" s="17"/>
      <c r="H4078" s="16"/>
      <c r="I4078" s="16"/>
      <c r="J4078" s="19"/>
    </row>
    <row r="4079" ht="15.75" customHeight="1">
      <c r="B4079" s="20"/>
      <c r="C4079" s="21"/>
      <c r="D4079" s="21"/>
      <c r="E4079" s="21"/>
      <c r="F4079" s="22"/>
      <c r="G4079" s="22"/>
      <c r="H4079" s="21"/>
      <c r="I4079" s="21"/>
      <c r="J4079" s="23"/>
    </row>
    <row r="4080" ht="15.75" customHeight="1">
      <c r="B4080" s="15"/>
      <c r="C4080" s="16"/>
      <c r="D4080" s="16"/>
      <c r="E4080" s="16"/>
      <c r="F4080" s="17"/>
      <c r="G4080" s="17"/>
      <c r="H4080" s="16"/>
      <c r="I4080" s="16"/>
      <c r="J4080" s="19"/>
    </row>
    <row r="4081" ht="15.75" customHeight="1">
      <c r="B4081" s="20"/>
      <c r="C4081" s="21"/>
      <c r="D4081" s="21"/>
      <c r="E4081" s="21"/>
      <c r="F4081" s="22"/>
      <c r="G4081" s="22"/>
      <c r="H4081" s="21"/>
      <c r="I4081" s="21"/>
      <c r="J4081" s="23"/>
    </row>
    <row r="4082" ht="15.75" customHeight="1">
      <c r="B4082" s="15"/>
      <c r="C4082" s="16"/>
      <c r="D4082" s="16"/>
      <c r="E4082" s="16"/>
      <c r="F4082" s="17"/>
      <c r="G4082" s="17"/>
      <c r="H4082" s="16"/>
      <c r="I4082" s="16"/>
      <c r="J4082" s="19"/>
    </row>
    <row r="4083" ht="15.75" customHeight="1">
      <c r="B4083" s="20"/>
      <c r="C4083" s="21"/>
      <c r="D4083" s="21"/>
      <c r="E4083" s="21"/>
      <c r="F4083" s="22"/>
      <c r="G4083" s="22"/>
      <c r="H4083" s="21"/>
      <c r="I4083" s="21"/>
      <c r="J4083" s="23"/>
    </row>
    <row r="4084" ht="15.75" customHeight="1">
      <c r="B4084" s="15"/>
      <c r="C4084" s="16"/>
      <c r="D4084" s="16"/>
      <c r="E4084" s="16"/>
      <c r="F4084" s="17"/>
      <c r="G4084" s="17"/>
      <c r="H4084" s="16"/>
      <c r="I4084" s="16"/>
      <c r="J4084" s="19"/>
    </row>
    <row r="4085" ht="15.75" customHeight="1">
      <c r="B4085" s="20"/>
      <c r="C4085" s="21"/>
      <c r="D4085" s="21"/>
      <c r="E4085" s="21"/>
      <c r="F4085" s="22"/>
      <c r="G4085" s="22"/>
      <c r="H4085" s="21"/>
      <c r="I4085" s="21"/>
      <c r="J4085" s="23"/>
    </row>
    <row r="4086" ht="15.75" customHeight="1">
      <c r="B4086" s="15"/>
      <c r="C4086" s="16"/>
      <c r="D4086" s="16"/>
      <c r="E4086" s="16"/>
      <c r="F4086" s="17"/>
      <c r="G4086" s="17"/>
      <c r="H4086" s="16"/>
      <c r="I4086" s="16"/>
      <c r="J4086" s="19"/>
    </row>
    <row r="4087" ht="15.75" customHeight="1">
      <c r="B4087" s="20"/>
      <c r="C4087" s="21"/>
      <c r="D4087" s="21"/>
      <c r="E4087" s="21"/>
      <c r="F4087" s="22"/>
      <c r="G4087" s="22"/>
      <c r="H4087" s="21"/>
      <c r="I4087" s="21"/>
      <c r="J4087" s="23"/>
    </row>
    <row r="4088" ht="15.75" customHeight="1">
      <c r="B4088" s="15"/>
      <c r="C4088" s="16"/>
      <c r="D4088" s="16"/>
      <c r="E4088" s="16"/>
      <c r="F4088" s="17"/>
      <c r="G4088" s="17"/>
      <c r="H4088" s="16"/>
      <c r="I4088" s="16"/>
      <c r="J4088" s="19"/>
    </row>
    <row r="4089" ht="15.75" customHeight="1">
      <c r="B4089" s="20"/>
      <c r="C4089" s="21"/>
      <c r="D4089" s="21"/>
      <c r="E4089" s="21"/>
      <c r="F4089" s="22"/>
      <c r="G4089" s="22"/>
      <c r="H4089" s="21"/>
      <c r="I4089" s="21"/>
      <c r="J4089" s="23"/>
    </row>
    <row r="4090" ht="15.75" customHeight="1">
      <c r="B4090" s="15"/>
      <c r="C4090" s="16"/>
      <c r="D4090" s="16"/>
      <c r="E4090" s="16"/>
      <c r="F4090" s="17"/>
      <c r="G4090" s="17"/>
      <c r="H4090" s="16"/>
      <c r="I4090" s="16"/>
      <c r="J4090" s="19"/>
    </row>
    <row r="4091" ht="15.75" customHeight="1">
      <c r="B4091" s="20"/>
      <c r="C4091" s="21"/>
      <c r="D4091" s="21"/>
      <c r="E4091" s="21"/>
      <c r="F4091" s="22"/>
      <c r="G4091" s="22"/>
      <c r="H4091" s="21"/>
      <c r="I4091" s="21"/>
      <c r="J4091" s="23"/>
    </row>
    <row r="4092" ht="15.75" customHeight="1">
      <c r="B4092" s="15"/>
      <c r="C4092" s="16"/>
      <c r="D4092" s="16"/>
      <c r="E4092" s="16"/>
      <c r="F4092" s="17"/>
      <c r="G4092" s="17"/>
      <c r="H4092" s="16"/>
      <c r="I4092" s="16"/>
      <c r="J4092" s="19"/>
    </row>
    <row r="4093" ht="15.75" customHeight="1">
      <c r="B4093" s="20"/>
      <c r="C4093" s="21"/>
      <c r="D4093" s="21"/>
      <c r="E4093" s="21"/>
      <c r="F4093" s="22"/>
      <c r="G4093" s="22"/>
      <c r="H4093" s="21"/>
      <c r="I4093" s="21"/>
      <c r="J4093" s="23"/>
    </row>
    <row r="4094" ht="15.75" customHeight="1">
      <c r="B4094" s="15"/>
      <c r="C4094" s="16"/>
      <c r="D4094" s="16"/>
      <c r="E4094" s="16"/>
      <c r="F4094" s="17"/>
      <c r="G4094" s="17"/>
      <c r="H4094" s="16"/>
      <c r="I4094" s="16"/>
      <c r="J4094" s="19"/>
    </row>
    <row r="4095" ht="15.75" customHeight="1">
      <c r="B4095" s="20"/>
      <c r="C4095" s="21"/>
      <c r="D4095" s="21"/>
      <c r="E4095" s="21"/>
      <c r="F4095" s="22"/>
      <c r="G4095" s="22"/>
      <c r="H4095" s="21"/>
      <c r="I4095" s="21"/>
      <c r="J4095" s="23"/>
    </row>
    <row r="4096" ht="15.75" customHeight="1">
      <c r="B4096" s="15"/>
      <c r="C4096" s="16"/>
      <c r="D4096" s="16"/>
      <c r="E4096" s="16"/>
      <c r="F4096" s="17"/>
      <c r="G4096" s="17"/>
      <c r="H4096" s="16"/>
      <c r="I4096" s="16"/>
      <c r="J4096" s="19"/>
    </row>
    <row r="4097" ht="15.75" customHeight="1">
      <c r="B4097" s="20"/>
      <c r="C4097" s="21"/>
      <c r="D4097" s="21"/>
      <c r="E4097" s="21"/>
      <c r="F4097" s="22"/>
      <c r="G4097" s="22"/>
      <c r="H4097" s="21"/>
      <c r="I4097" s="21"/>
      <c r="J4097" s="23"/>
    </row>
    <row r="4098" ht="15.75" customHeight="1">
      <c r="B4098" s="15"/>
      <c r="C4098" s="16"/>
      <c r="D4098" s="16"/>
      <c r="E4098" s="16"/>
      <c r="F4098" s="17"/>
      <c r="G4098" s="17"/>
      <c r="H4098" s="16"/>
      <c r="I4098" s="16"/>
      <c r="J4098" s="19"/>
    </row>
    <row r="4099" ht="15.75" customHeight="1">
      <c r="B4099" s="20"/>
      <c r="C4099" s="21"/>
      <c r="D4099" s="21"/>
      <c r="E4099" s="21"/>
      <c r="F4099" s="22"/>
      <c r="G4099" s="22"/>
      <c r="H4099" s="21"/>
      <c r="I4099" s="21"/>
      <c r="J4099" s="23"/>
    </row>
    <row r="4100" ht="15.75" customHeight="1">
      <c r="B4100" s="15"/>
      <c r="C4100" s="16"/>
      <c r="D4100" s="16"/>
      <c r="E4100" s="16"/>
      <c r="F4100" s="17"/>
      <c r="G4100" s="17"/>
      <c r="H4100" s="16"/>
      <c r="I4100" s="16"/>
      <c r="J4100" s="19"/>
    </row>
    <row r="4101" ht="15.75" customHeight="1">
      <c r="B4101" s="20"/>
      <c r="C4101" s="21"/>
      <c r="D4101" s="21"/>
      <c r="E4101" s="21"/>
      <c r="F4101" s="22"/>
      <c r="G4101" s="22"/>
      <c r="H4101" s="21"/>
      <c r="I4101" s="21"/>
      <c r="J4101" s="23"/>
    </row>
    <row r="4102" ht="15.75" customHeight="1">
      <c r="B4102" s="15"/>
      <c r="C4102" s="16"/>
      <c r="D4102" s="16"/>
      <c r="E4102" s="16"/>
      <c r="F4102" s="17"/>
      <c r="G4102" s="17"/>
      <c r="H4102" s="16"/>
      <c r="I4102" s="16"/>
      <c r="J4102" s="19"/>
    </row>
    <row r="4103" ht="15.75" customHeight="1">
      <c r="B4103" s="20"/>
      <c r="C4103" s="21"/>
      <c r="D4103" s="21"/>
      <c r="E4103" s="21"/>
      <c r="F4103" s="22"/>
      <c r="G4103" s="22"/>
      <c r="H4103" s="21"/>
      <c r="I4103" s="21"/>
      <c r="J4103" s="23"/>
    </row>
    <row r="4104" ht="15.75" customHeight="1">
      <c r="B4104" s="15"/>
      <c r="C4104" s="16"/>
      <c r="D4104" s="16"/>
      <c r="E4104" s="16"/>
      <c r="F4104" s="17"/>
      <c r="G4104" s="17"/>
      <c r="H4104" s="16"/>
      <c r="I4104" s="16"/>
      <c r="J4104" s="19"/>
    </row>
    <row r="4105" ht="15.75" customHeight="1">
      <c r="B4105" s="20"/>
      <c r="C4105" s="21"/>
      <c r="D4105" s="21"/>
      <c r="E4105" s="21"/>
      <c r="F4105" s="22"/>
      <c r="G4105" s="22"/>
      <c r="H4105" s="21"/>
      <c r="I4105" s="21"/>
      <c r="J4105" s="23"/>
    </row>
    <row r="4106" ht="15.75" customHeight="1">
      <c r="B4106" s="15"/>
      <c r="C4106" s="16"/>
      <c r="D4106" s="16"/>
      <c r="E4106" s="16"/>
      <c r="F4106" s="17"/>
      <c r="G4106" s="17"/>
      <c r="H4106" s="16"/>
      <c r="I4106" s="16"/>
      <c r="J4106" s="19"/>
    </row>
    <row r="4107" ht="15.75" customHeight="1">
      <c r="B4107" s="20"/>
      <c r="C4107" s="21"/>
      <c r="D4107" s="21"/>
      <c r="E4107" s="21"/>
      <c r="F4107" s="22"/>
      <c r="G4107" s="22"/>
      <c r="H4107" s="21"/>
      <c r="I4107" s="21"/>
      <c r="J4107" s="23"/>
    </row>
    <row r="4108" ht="15.75" customHeight="1">
      <c r="B4108" s="15"/>
      <c r="C4108" s="16"/>
      <c r="D4108" s="16"/>
      <c r="E4108" s="16"/>
      <c r="F4108" s="17"/>
      <c r="G4108" s="17"/>
      <c r="H4108" s="16"/>
      <c r="I4108" s="16"/>
      <c r="J4108" s="19"/>
    </row>
    <row r="4109" ht="15.75" customHeight="1">
      <c r="B4109" s="20"/>
      <c r="C4109" s="21"/>
      <c r="D4109" s="21"/>
      <c r="E4109" s="21"/>
      <c r="F4109" s="22"/>
      <c r="G4109" s="22"/>
      <c r="H4109" s="21"/>
      <c r="I4109" s="21"/>
      <c r="J4109" s="23"/>
    </row>
    <row r="4110" ht="15.75" customHeight="1">
      <c r="B4110" s="15"/>
      <c r="C4110" s="16"/>
      <c r="D4110" s="16"/>
      <c r="E4110" s="16"/>
      <c r="F4110" s="17"/>
      <c r="G4110" s="17"/>
      <c r="H4110" s="16"/>
      <c r="I4110" s="16"/>
      <c r="J4110" s="19"/>
    </row>
    <row r="4111" ht="15.75" customHeight="1">
      <c r="B4111" s="20"/>
      <c r="C4111" s="21"/>
      <c r="D4111" s="21"/>
      <c r="E4111" s="21"/>
      <c r="F4111" s="22"/>
      <c r="G4111" s="22"/>
      <c r="H4111" s="21"/>
      <c r="I4111" s="21"/>
      <c r="J4111" s="23"/>
    </row>
    <row r="4112" ht="15.75" customHeight="1">
      <c r="B4112" s="15"/>
      <c r="C4112" s="16"/>
      <c r="D4112" s="16"/>
      <c r="E4112" s="16"/>
      <c r="F4112" s="17"/>
      <c r="G4112" s="17"/>
      <c r="H4112" s="16"/>
      <c r="I4112" s="16"/>
      <c r="J4112" s="19"/>
    </row>
    <row r="4113" ht="15.75" customHeight="1">
      <c r="B4113" s="20"/>
      <c r="C4113" s="21"/>
      <c r="D4113" s="21"/>
      <c r="E4113" s="21"/>
      <c r="F4113" s="22"/>
      <c r="G4113" s="22"/>
      <c r="H4113" s="21"/>
      <c r="I4113" s="21"/>
      <c r="J4113" s="23"/>
    </row>
    <row r="4114" ht="15.75" customHeight="1">
      <c r="B4114" s="15"/>
      <c r="C4114" s="16"/>
      <c r="D4114" s="16"/>
      <c r="E4114" s="16"/>
      <c r="F4114" s="17"/>
      <c r="G4114" s="17"/>
      <c r="H4114" s="16"/>
      <c r="I4114" s="16"/>
      <c r="J4114" s="19"/>
    </row>
    <row r="4115" ht="15.75" customHeight="1">
      <c r="B4115" s="20"/>
      <c r="C4115" s="21"/>
      <c r="D4115" s="21"/>
      <c r="E4115" s="21"/>
      <c r="F4115" s="22"/>
      <c r="G4115" s="22"/>
      <c r="H4115" s="21"/>
      <c r="I4115" s="21"/>
      <c r="J4115" s="23"/>
    </row>
    <row r="4116" ht="15.75" customHeight="1">
      <c r="B4116" s="15"/>
      <c r="C4116" s="16"/>
      <c r="D4116" s="16"/>
      <c r="E4116" s="16"/>
      <c r="F4116" s="17"/>
      <c r="G4116" s="17"/>
      <c r="H4116" s="16"/>
      <c r="I4116" s="16"/>
      <c r="J4116" s="19"/>
    </row>
    <row r="4117" ht="15.75" customHeight="1">
      <c r="B4117" s="20"/>
      <c r="C4117" s="21"/>
      <c r="D4117" s="21"/>
      <c r="E4117" s="21"/>
      <c r="F4117" s="22"/>
      <c r="G4117" s="22"/>
      <c r="H4117" s="21"/>
      <c r="I4117" s="21"/>
      <c r="J4117" s="23"/>
    </row>
    <row r="4118" ht="15.75" customHeight="1">
      <c r="B4118" s="15"/>
      <c r="C4118" s="16"/>
      <c r="D4118" s="16"/>
      <c r="E4118" s="16"/>
      <c r="F4118" s="17"/>
      <c r="G4118" s="17"/>
      <c r="H4118" s="16"/>
      <c r="I4118" s="16"/>
      <c r="J4118" s="19"/>
    </row>
    <row r="4119" ht="15.75" customHeight="1">
      <c r="B4119" s="20"/>
      <c r="C4119" s="21"/>
      <c r="D4119" s="21"/>
      <c r="E4119" s="21"/>
      <c r="F4119" s="22"/>
      <c r="G4119" s="22"/>
      <c r="H4119" s="21"/>
      <c r="I4119" s="21"/>
      <c r="J4119" s="23"/>
    </row>
    <row r="4120" ht="15.75" customHeight="1">
      <c r="B4120" s="15"/>
      <c r="C4120" s="16"/>
      <c r="D4120" s="16"/>
      <c r="E4120" s="16"/>
      <c r="F4120" s="17"/>
      <c r="G4120" s="17"/>
      <c r="H4120" s="16"/>
      <c r="I4120" s="16"/>
      <c r="J4120" s="19"/>
    </row>
    <row r="4121" ht="15.75" customHeight="1">
      <c r="B4121" s="20"/>
      <c r="C4121" s="21"/>
      <c r="D4121" s="21"/>
      <c r="E4121" s="21"/>
      <c r="F4121" s="22"/>
      <c r="G4121" s="22"/>
      <c r="H4121" s="21"/>
      <c r="I4121" s="21"/>
      <c r="J4121" s="23"/>
    </row>
    <row r="4122" ht="15.75" customHeight="1">
      <c r="B4122" s="15"/>
      <c r="C4122" s="16"/>
      <c r="D4122" s="16"/>
      <c r="E4122" s="16"/>
      <c r="F4122" s="17"/>
      <c r="G4122" s="17"/>
      <c r="H4122" s="16"/>
      <c r="I4122" s="16"/>
      <c r="J4122" s="19"/>
    </row>
    <row r="4123" ht="15.75" customHeight="1">
      <c r="B4123" s="20"/>
      <c r="C4123" s="21"/>
      <c r="D4123" s="21"/>
      <c r="E4123" s="21"/>
      <c r="F4123" s="22"/>
      <c r="G4123" s="22"/>
      <c r="H4123" s="21"/>
      <c r="I4123" s="21"/>
      <c r="J4123" s="23"/>
    </row>
    <row r="4124" ht="15.75" customHeight="1">
      <c r="B4124" s="15"/>
      <c r="C4124" s="16"/>
      <c r="D4124" s="16"/>
      <c r="E4124" s="16"/>
      <c r="F4124" s="17"/>
      <c r="G4124" s="17"/>
      <c r="H4124" s="16"/>
      <c r="I4124" s="16"/>
      <c r="J4124" s="19"/>
    </row>
    <row r="4125" ht="15.75" customHeight="1">
      <c r="B4125" s="20"/>
      <c r="C4125" s="21"/>
      <c r="D4125" s="21"/>
      <c r="E4125" s="21"/>
      <c r="F4125" s="22"/>
      <c r="G4125" s="22"/>
      <c r="H4125" s="21"/>
      <c r="I4125" s="21"/>
      <c r="J4125" s="23"/>
    </row>
    <row r="4126" ht="15.75" customHeight="1">
      <c r="B4126" s="15"/>
      <c r="C4126" s="16"/>
      <c r="D4126" s="16"/>
      <c r="E4126" s="16"/>
      <c r="F4126" s="17"/>
      <c r="G4126" s="17"/>
      <c r="H4126" s="16"/>
      <c r="I4126" s="16"/>
      <c r="J4126" s="19"/>
    </row>
    <row r="4127" ht="15.75" customHeight="1">
      <c r="B4127" s="20"/>
      <c r="C4127" s="21"/>
      <c r="D4127" s="21"/>
      <c r="E4127" s="21"/>
      <c r="F4127" s="22"/>
      <c r="G4127" s="22"/>
      <c r="H4127" s="21"/>
      <c r="I4127" s="21"/>
      <c r="J4127" s="23"/>
    </row>
    <row r="4128" ht="15.75" customHeight="1">
      <c r="B4128" s="15"/>
      <c r="C4128" s="16"/>
      <c r="D4128" s="16"/>
      <c r="E4128" s="16"/>
      <c r="F4128" s="17"/>
      <c r="G4128" s="17"/>
      <c r="H4128" s="16"/>
      <c r="I4128" s="16"/>
      <c r="J4128" s="19"/>
    </row>
    <row r="4129" ht="15.75" customHeight="1">
      <c r="B4129" s="20"/>
      <c r="C4129" s="21"/>
      <c r="D4129" s="21"/>
      <c r="E4129" s="21"/>
      <c r="F4129" s="22"/>
      <c r="G4129" s="22"/>
      <c r="H4129" s="21"/>
      <c r="I4129" s="21"/>
      <c r="J4129" s="23"/>
    </row>
    <row r="4130" ht="15.75" customHeight="1">
      <c r="B4130" s="15"/>
      <c r="C4130" s="16"/>
      <c r="D4130" s="16"/>
      <c r="E4130" s="16"/>
      <c r="F4130" s="17"/>
      <c r="G4130" s="17"/>
      <c r="H4130" s="16"/>
      <c r="I4130" s="16"/>
      <c r="J4130" s="19"/>
    </row>
    <row r="4131" ht="15.75" customHeight="1">
      <c r="B4131" s="20"/>
      <c r="C4131" s="21"/>
      <c r="D4131" s="21"/>
      <c r="E4131" s="21"/>
      <c r="F4131" s="22"/>
      <c r="G4131" s="22"/>
      <c r="H4131" s="21"/>
      <c r="I4131" s="21"/>
      <c r="J4131" s="23"/>
    </row>
    <row r="4132" ht="15.75" customHeight="1">
      <c r="B4132" s="15"/>
      <c r="C4132" s="16"/>
      <c r="D4132" s="16"/>
      <c r="E4132" s="16"/>
      <c r="F4132" s="17"/>
      <c r="G4132" s="17"/>
      <c r="H4132" s="16"/>
      <c r="I4132" s="16"/>
      <c r="J4132" s="19"/>
    </row>
    <row r="4133" ht="15.75" customHeight="1">
      <c r="B4133" s="20"/>
      <c r="C4133" s="21"/>
      <c r="D4133" s="21"/>
      <c r="E4133" s="21"/>
      <c r="F4133" s="22"/>
      <c r="G4133" s="22"/>
      <c r="H4133" s="21"/>
      <c r="I4133" s="21"/>
      <c r="J4133" s="23"/>
    </row>
    <row r="4134" ht="15.75" customHeight="1">
      <c r="B4134" s="15"/>
      <c r="C4134" s="16"/>
      <c r="D4134" s="16"/>
      <c r="E4134" s="16"/>
      <c r="F4134" s="17"/>
      <c r="G4134" s="17"/>
      <c r="H4134" s="16"/>
      <c r="I4134" s="16"/>
      <c r="J4134" s="19"/>
    </row>
    <row r="4135" ht="15.75" customHeight="1">
      <c r="B4135" s="20"/>
      <c r="C4135" s="21"/>
      <c r="D4135" s="21"/>
      <c r="E4135" s="21"/>
      <c r="F4135" s="22"/>
      <c r="G4135" s="22"/>
      <c r="H4135" s="21"/>
      <c r="I4135" s="21"/>
      <c r="J4135" s="23"/>
    </row>
    <row r="4136" ht="15.75" customHeight="1">
      <c r="B4136" s="15"/>
      <c r="C4136" s="16"/>
      <c r="D4136" s="16"/>
      <c r="E4136" s="16"/>
      <c r="F4136" s="17"/>
      <c r="G4136" s="17"/>
      <c r="H4136" s="16"/>
      <c r="I4136" s="16"/>
      <c r="J4136" s="19"/>
    </row>
    <row r="4137" ht="15.75" customHeight="1">
      <c r="B4137" s="20"/>
      <c r="C4137" s="21"/>
      <c r="D4137" s="21"/>
      <c r="E4137" s="21"/>
      <c r="F4137" s="22"/>
      <c r="G4137" s="22"/>
      <c r="H4137" s="21"/>
      <c r="I4137" s="21"/>
      <c r="J4137" s="23"/>
    </row>
    <row r="4138" ht="15.75" customHeight="1">
      <c r="B4138" s="15"/>
      <c r="C4138" s="16"/>
      <c r="D4138" s="16"/>
      <c r="E4138" s="16"/>
      <c r="F4138" s="17"/>
      <c r="G4138" s="17"/>
      <c r="H4138" s="16"/>
      <c r="I4138" s="16"/>
      <c r="J4138" s="19"/>
    </row>
    <row r="4139" ht="15.75" customHeight="1">
      <c r="B4139" s="20"/>
      <c r="C4139" s="21"/>
      <c r="D4139" s="21"/>
      <c r="E4139" s="21"/>
      <c r="F4139" s="22"/>
      <c r="G4139" s="22"/>
      <c r="H4139" s="21"/>
      <c r="I4139" s="21"/>
      <c r="J4139" s="23"/>
    </row>
    <row r="4140" ht="15.75" customHeight="1">
      <c r="B4140" s="15"/>
      <c r="C4140" s="16"/>
      <c r="D4140" s="16"/>
      <c r="E4140" s="16"/>
      <c r="F4140" s="17"/>
      <c r="G4140" s="17"/>
      <c r="H4140" s="16"/>
      <c r="I4140" s="16"/>
      <c r="J4140" s="19"/>
    </row>
    <row r="4141" ht="15.75" customHeight="1">
      <c r="B4141" s="20"/>
      <c r="C4141" s="21"/>
      <c r="D4141" s="21"/>
      <c r="E4141" s="21"/>
      <c r="F4141" s="22"/>
      <c r="G4141" s="22"/>
      <c r="H4141" s="21"/>
      <c r="I4141" s="21"/>
      <c r="J4141" s="23"/>
    </row>
    <row r="4142" ht="15.75" customHeight="1">
      <c r="B4142" s="15"/>
      <c r="C4142" s="16"/>
      <c r="D4142" s="16"/>
      <c r="E4142" s="16"/>
      <c r="F4142" s="17"/>
      <c r="G4142" s="17"/>
      <c r="H4142" s="16"/>
      <c r="I4142" s="16"/>
      <c r="J4142" s="19"/>
    </row>
    <row r="4143" ht="15.75" customHeight="1">
      <c r="B4143" s="20"/>
      <c r="C4143" s="21"/>
      <c r="D4143" s="21"/>
      <c r="E4143" s="21"/>
      <c r="F4143" s="22"/>
      <c r="G4143" s="22"/>
      <c r="H4143" s="21"/>
      <c r="I4143" s="21"/>
      <c r="J4143" s="23"/>
    </row>
    <row r="4144" ht="15.75" customHeight="1">
      <c r="B4144" s="15"/>
      <c r="C4144" s="16"/>
      <c r="D4144" s="16"/>
      <c r="E4144" s="16"/>
      <c r="F4144" s="17"/>
      <c r="G4144" s="17"/>
      <c r="H4144" s="16"/>
      <c r="I4144" s="16"/>
      <c r="J4144" s="19"/>
    </row>
    <row r="4145" ht="15.75" customHeight="1">
      <c r="B4145" s="20"/>
      <c r="C4145" s="21"/>
      <c r="D4145" s="21"/>
      <c r="E4145" s="21"/>
      <c r="F4145" s="22"/>
      <c r="G4145" s="22"/>
      <c r="H4145" s="21"/>
      <c r="I4145" s="21"/>
      <c r="J4145" s="23"/>
    </row>
    <row r="4146" ht="15.75" customHeight="1">
      <c r="B4146" s="15"/>
      <c r="C4146" s="16"/>
      <c r="D4146" s="16"/>
      <c r="E4146" s="16"/>
      <c r="F4146" s="17"/>
      <c r="G4146" s="17"/>
      <c r="H4146" s="16"/>
      <c r="I4146" s="16"/>
      <c r="J4146" s="19"/>
    </row>
    <row r="4147" ht="15.75" customHeight="1">
      <c r="B4147" s="20"/>
      <c r="C4147" s="21"/>
      <c r="D4147" s="21"/>
      <c r="E4147" s="21"/>
      <c r="F4147" s="22"/>
      <c r="G4147" s="22"/>
      <c r="H4147" s="21"/>
      <c r="I4147" s="21"/>
      <c r="J4147" s="23"/>
    </row>
    <row r="4148" ht="15.75" customHeight="1">
      <c r="B4148" s="15"/>
      <c r="C4148" s="16"/>
      <c r="D4148" s="16"/>
      <c r="E4148" s="16"/>
      <c r="F4148" s="17"/>
      <c r="G4148" s="17"/>
      <c r="H4148" s="16"/>
      <c r="I4148" s="16"/>
      <c r="J4148" s="19"/>
    </row>
    <row r="4149" ht="15.75" customHeight="1">
      <c r="B4149" s="20"/>
      <c r="C4149" s="21"/>
      <c r="D4149" s="21"/>
      <c r="E4149" s="21"/>
      <c r="F4149" s="22"/>
      <c r="G4149" s="22"/>
      <c r="H4149" s="21"/>
      <c r="I4149" s="21"/>
      <c r="J4149" s="23"/>
    </row>
    <row r="4150" ht="15.75" customHeight="1">
      <c r="B4150" s="15"/>
      <c r="C4150" s="16"/>
      <c r="D4150" s="16"/>
      <c r="E4150" s="16"/>
      <c r="F4150" s="17"/>
      <c r="G4150" s="17"/>
      <c r="H4150" s="16"/>
      <c r="I4150" s="16"/>
      <c r="J4150" s="19"/>
    </row>
    <row r="4151" ht="15.75" customHeight="1">
      <c r="B4151" s="20"/>
      <c r="C4151" s="21"/>
      <c r="D4151" s="21"/>
      <c r="E4151" s="21"/>
      <c r="F4151" s="22"/>
      <c r="G4151" s="22"/>
      <c r="H4151" s="21"/>
      <c r="I4151" s="21"/>
      <c r="J4151" s="23"/>
    </row>
    <row r="4152" ht="15.75" customHeight="1">
      <c r="B4152" s="15"/>
      <c r="C4152" s="16"/>
      <c r="D4152" s="16"/>
      <c r="E4152" s="16"/>
      <c r="F4152" s="17"/>
      <c r="G4152" s="17"/>
      <c r="H4152" s="16"/>
      <c r="I4152" s="16"/>
      <c r="J4152" s="19"/>
    </row>
    <row r="4153" ht="15.75" customHeight="1">
      <c r="B4153" s="20"/>
      <c r="C4153" s="21"/>
      <c r="D4153" s="21"/>
      <c r="E4153" s="21"/>
      <c r="F4153" s="22"/>
      <c r="G4153" s="22"/>
      <c r="H4153" s="21"/>
      <c r="I4153" s="21"/>
      <c r="J4153" s="23"/>
    </row>
    <row r="4154" ht="15.75" customHeight="1">
      <c r="B4154" s="15"/>
      <c r="C4154" s="16"/>
      <c r="D4154" s="16"/>
      <c r="E4154" s="16"/>
      <c r="F4154" s="17"/>
      <c r="G4154" s="17"/>
      <c r="H4154" s="16"/>
      <c r="I4154" s="16"/>
      <c r="J4154" s="19"/>
    </row>
    <row r="4155" ht="15.75" customHeight="1">
      <c r="B4155" s="20"/>
      <c r="C4155" s="21"/>
      <c r="D4155" s="21"/>
      <c r="E4155" s="21"/>
      <c r="F4155" s="22"/>
      <c r="G4155" s="22"/>
      <c r="H4155" s="21"/>
      <c r="I4155" s="21"/>
      <c r="J4155" s="23"/>
    </row>
    <row r="4156" ht="15.75" customHeight="1">
      <c r="B4156" s="15"/>
      <c r="C4156" s="16"/>
      <c r="D4156" s="16"/>
      <c r="E4156" s="16"/>
      <c r="F4156" s="17"/>
      <c r="G4156" s="17"/>
      <c r="H4156" s="16"/>
      <c r="I4156" s="16"/>
      <c r="J4156" s="19"/>
    </row>
    <row r="4157" ht="15.75" customHeight="1">
      <c r="B4157" s="20"/>
      <c r="C4157" s="21"/>
      <c r="D4157" s="21"/>
      <c r="E4157" s="21"/>
      <c r="F4157" s="22"/>
      <c r="G4157" s="22"/>
      <c r="H4157" s="21"/>
      <c r="I4157" s="21"/>
      <c r="J4157" s="23"/>
    </row>
    <row r="4158" ht="15.75" customHeight="1">
      <c r="B4158" s="15"/>
      <c r="C4158" s="16"/>
      <c r="D4158" s="16"/>
      <c r="E4158" s="16"/>
      <c r="F4158" s="17"/>
      <c r="G4158" s="17"/>
      <c r="H4158" s="16"/>
      <c r="I4158" s="16"/>
      <c r="J4158" s="19"/>
    </row>
    <row r="4159" ht="15.75" customHeight="1">
      <c r="B4159" s="20"/>
      <c r="C4159" s="21"/>
      <c r="D4159" s="21"/>
      <c r="E4159" s="21"/>
      <c r="F4159" s="22"/>
      <c r="G4159" s="22"/>
      <c r="H4159" s="21"/>
      <c r="I4159" s="21"/>
      <c r="J4159" s="23"/>
    </row>
    <row r="4160" ht="15.75" customHeight="1">
      <c r="B4160" s="15"/>
      <c r="C4160" s="16"/>
      <c r="D4160" s="16"/>
      <c r="E4160" s="16"/>
      <c r="F4160" s="17"/>
      <c r="G4160" s="17"/>
      <c r="H4160" s="16"/>
      <c r="I4160" s="16"/>
      <c r="J4160" s="19"/>
    </row>
    <row r="4161" ht="15.75" customHeight="1">
      <c r="B4161" s="20"/>
      <c r="C4161" s="21"/>
      <c r="D4161" s="21"/>
      <c r="E4161" s="21"/>
      <c r="F4161" s="22"/>
      <c r="G4161" s="22"/>
      <c r="H4161" s="21"/>
      <c r="I4161" s="21"/>
      <c r="J4161" s="23"/>
    </row>
    <row r="4162" ht="15.75" customHeight="1">
      <c r="B4162" s="15"/>
      <c r="C4162" s="16"/>
      <c r="D4162" s="16"/>
      <c r="E4162" s="16"/>
      <c r="F4162" s="17"/>
      <c r="G4162" s="17"/>
      <c r="H4162" s="16"/>
      <c r="I4162" s="16"/>
      <c r="J4162" s="19"/>
    </row>
    <row r="4163" ht="15.75" customHeight="1">
      <c r="B4163" s="20"/>
      <c r="C4163" s="21"/>
      <c r="D4163" s="21"/>
      <c r="E4163" s="21"/>
      <c r="F4163" s="22"/>
      <c r="G4163" s="22"/>
      <c r="H4163" s="21"/>
      <c r="I4163" s="21"/>
      <c r="J4163" s="23"/>
    </row>
    <row r="4164" ht="15.75" customHeight="1">
      <c r="B4164" s="15"/>
      <c r="C4164" s="16"/>
      <c r="D4164" s="16"/>
      <c r="E4164" s="16"/>
      <c r="F4164" s="17"/>
      <c r="G4164" s="17"/>
      <c r="H4164" s="16"/>
      <c r="I4164" s="16"/>
      <c r="J4164" s="19"/>
    </row>
    <row r="4165" ht="15.75" customHeight="1">
      <c r="B4165" s="20"/>
      <c r="C4165" s="21"/>
      <c r="D4165" s="21"/>
      <c r="E4165" s="21"/>
      <c r="F4165" s="22"/>
      <c r="G4165" s="22"/>
      <c r="H4165" s="21"/>
      <c r="I4165" s="21"/>
      <c r="J4165" s="23"/>
    </row>
    <row r="4166" ht="15.75" customHeight="1">
      <c r="B4166" s="15"/>
      <c r="C4166" s="16"/>
      <c r="D4166" s="16"/>
      <c r="E4166" s="16"/>
      <c r="F4166" s="17"/>
      <c r="G4166" s="17"/>
      <c r="H4166" s="16"/>
      <c r="I4166" s="16"/>
      <c r="J4166" s="19"/>
    </row>
    <row r="4167" ht="15.75" customHeight="1">
      <c r="B4167" s="20"/>
      <c r="C4167" s="21"/>
      <c r="D4167" s="21"/>
      <c r="E4167" s="21"/>
      <c r="F4167" s="22"/>
      <c r="G4167" s="22"/>
      <c r="H4167" s="21"/>
      <c r="I4167" s="21"/>
      <c r="J4167" s="23"/>
    </row>
    <row r="4168" ht="15.75" customHeight="1">
      <c r="B4168" s="15"/>
      <c r="C4168" s="16"/>
      <c r="D4168" s="16"/>
      <c r="E4168" s="16"/>
      <c r="F4168" s="17"/>
      <c r="G4168" s="17"/>
      <c r="H4168" s="16"/>
      <c r="I4168" s="16"/>
      <c r="J4168" s="19"/>
    </row>
    <row r="4169" ht="15.75" customHeight="1">
      <c r="B4169" s="20"/>
      <c r="C4169" s="21"/>
      <c r="D4169" s="21"/>
      <c r="E4169" s="21"/>
      <c r="F4169" s="22"/>
      <c r="G4169" s="22"/>
      <c r="H4169" s="21"/>
      <c r="I4169" s="21"/>
      <c r="J4169" s="23"/>
    </row>
    <row r="4170" ht="15.75" customHeight="1">
      <c r="B4170" s="15"/>
      <c r="C4170" s="16"/>
      <c r="D4170" s="16"/>
      <c r="E4170" s="16"/>
      <c r="F4170" s="17"/>
      <c r="G4170" s="17"/>
      <c r="H4170" s="16"/>
      <c r="I4170" s="16"/>
      <c r="J4170" s="19"/>
    </row>
    <row r="4171" ht="15.75" customHeight="1">
      <c r="B4171" s="20"/>
      <c r="C4171" s="21"/>
      <c r="D4171" s="21"/>
      <c r="E4171" s="21"/>
      <c r="F4171" s="22"/>
      <c r="G4171" s="22"/>
      <c r="H4171" s="21"/>
      <c r="I4171" s="21"/>
      <c r="J4171" s="23"/>
    </row>
    <row r="4172" ht="15.75" customHeight="1">
      <c r="B4172" s="15"/>
      <c r="C4172" s="16"/>
      <c r="D4172" s="16"/>
      <c r="E4172" s="16"/>
      <c r="F4172" s="17"/>
      <c r="G4172" s="17"/>
      <c r="H4172" s="16"/>
      <c r="I4172" s="16"/>
      <c r="J4172" s="19"/>
    </row>
    <row r="4173" ht="15.75" customHeight="1">
      <c r="B4173" s="20"/>
      <c r="C4173" s="21"/>
      <c r="D4173" s="21"/>
      <c r="E4173" s="21"/>
      <c r="F4173" s="22"/>
      <c r="G4173" s="22"/>
      <c r="H4173" s="21"/>
      <c r="I4173" s="21"/>
      <c r="J4173" s="23"/>
    </row>
    <row r="4174" ht="15.75" customHeight="1">
      <c r="B4174" s="15"/>
      <c r="C4174" s="16"/>
      <c r="D4174" s="16"/>
      <c r="E4174" s="16"/>
      <c r="F4174" s="17"/>
      <c r="G4174" s="17"/>
      <c r="H4174" s="16"/>
      <c r="I4174" s="16"/>
      <c r="J4174" s="19"/>
    </row>
    <row r="4175" ht="15.75" customHeight="1">
      <c r="B4175" s="20"/>
      <c r="C4175" s="21"/>
      <c r="D4175" s="21"/>
      <c r="E4175" s="21"/>
      <c r="F4175" s="22"/>
      <c r="G4175" s="22"/>
      <c r="H4175" s="21"/>
      <c r="I4175" s="21"/>
      <c r="J4175" s="23"/>
    </row>
    <row r="4176" ht="15.75" customHeight="1">
      <c r="B4176" s="15"/>
      <c r="C4176" s="16"/>
      <c r="D4176" s="16"/>
      <c r="E4176" s="16"/>
      <c r="F4176" s="17"/>
      <c r="G4176" s="17"/>
      <c r="H4176" s="16"/>
      <c r="I4176" s="16"/>
      <c r="J4176" s="19"/>
    </row>
    <row r="4177" ht="15.75" customHeight="1">
      <c r="B4177" s="20"/>
      <c r="C4177" s="21"/>
      <c r="D4177" s="21"/>
      <c r="E4177" s="21"/>
      <c r="F4177" s="22"/>
      <c r="G4177" s="22"/>
      <c r="H4177" s="21"/>
      <c r="I4177" s="21"/>
      <c r="J4177" s="23"/>
    </row>
    <row r="4178" ht="15.75" customHeight="1">
      <c r="B4178" s="15"/>
      <c r="C4178" s="16"/>
      <c r="D4178" s="16"/>
      <c r="E4178" s="16"/>
      <c r="F4178" s="17"/>
      <c r="G4178" s="17"/>
      <c r="H4178" s="16"/>
      <c r="I4178" s="16"/>
      <c r="J4178" s="19"/>
    </row>
    <row r="4179" ht="15.75" customHeight="1">
      <c r="B4179" s="20"/>
      <c r="C4179" s="21"/>
      <c r="D4179" s="21"/>
      <c r="E4179" s="21"/>
      <c r="F4179" s="22"/>
      <c r="G4179" s="22"/>
      <c r="H4179" s="21"/>
      <c r="I4179" s="21"/>
      <c r="J4179" s="23"/>
    </row>
    <row r="4180" ht="15.75" customHeight="1">
      <c r="B4180" s="15"/>
      <c r="C4180" s="16"/>
      <c r="D4180" s="16"/>
      <c r="E4180" s="16"/>
      <c r="F4180" s="17"/>
      <c r="G4180" s="17"/>
      <c r="H4180" s="16"/>
      <c r="I4180" s="16"/>
      <c r="J4180" s="19"/>
    </row>
    <row r="4181" ht="15.75" customHeight="1">
      <c r="B4181" s="20"/>
      <c r="C4181" s="21"/>
      <c r="D4181" s="21"/>
      <c r="E4181" s="21"/>
      <c r="F4181" s="22"/>
      <c r="G4181" s="22"/>
      <c r="H4181" s="21"/>
      <c r="I4181" s="21"/>
      <c r="J4181" s="23"/>
    </row>
    <row r="4182" ht="15.75" customHeight="1">
      <c r="B4182" s="15"/>
      <c r="C4182" s="16"/>
      <c r="D4182" s="16"/>
      <c r="E4182" s="16"/>
      <c r="F4182" s="17"/>
      <c r="G4182" s="17"/>
      <c r="H4182" s="16"/>
      <c r="I4182" s="16"/>
      <c r="J4182" s="19"/>
    </row>
    <row r="4183" ht="15.75" customHeight="1">
      <c r="B4183" s="20"/>
      <c r="C4183" s="21"/>
      <c r="D4183" s="21"/>
      <c r="E4183" s="21"/>
      <c r="F4183" s="22"/>
      <c r="G4183" s="22"/>
      <c r="H4183" s="21"/>
      <c r="I4183" s="21"/>
      <c r="J4183" s="23"/>
    </row>
    <row r="4184" ht="15.75" customHeight="1">
      <c r="B4184" s="15"/>
      <c r="C4184" s="16"/>
      <c r="D4184" s="16"/>
      <c r="E4184" s="16"/>
      <c r="F4184" s="17"/>
      <c r="G4184" s="17"/>
      <c r="H4184" s="16"/>
      <c r="I4184" s="16"/>
      <c r="J4184" s="19"/>
    </row>
    <row r="4185" ht="15.75" customHeight="1">
      <c r="B4185" s="20"/>
      <c r="C4185" s="21"/>
      <c r="D4185" s="21"/>
      <c r="E4185" s="21"/>
      <c r="F4185" s="22"/>
      <c r="G4185" s="22"/>
      <c r="H4185" s="21"/>
      <c r="I4185" s="21"/>
      <c r="J4185" s="23"/>
    </row>
    <row r="4186" ht="15.75" customHeight="1">
      <c r="B4186" s="15"/>
      <c r="C4186" s="16"/>
      <c r="D4186" s="16"/>
      <c r="E4186" s="16"/>
      <c r="F4186" s="17"/>
      <c r="G4186" s="17"/>
      <c r="H4186" s="16"/>
      <c r="I4186" s="16"/>
      <c r="J4186" s="19"/>
    </row>
    <row r="4187" ht="15.75" customHeight="1">
      <c r="B4187" s="20"/>
      <c r="C4187" s="21"/>
      <c r="D4187" s="21"/>
      <c r="E4187" s="21"/>
      <c r="F4187" s="22"/>
      <c r="G4187" s="22"/>
      <c r="H4187" s="21"/>
      <c r="I4187" s="21"/>
      <c r="J4187" s="23"/>
    </row>
    <row r="4188" ht="15.75" customHeight="1">
      <c r="B4188" s="15"/>
      <c r="C4188" s="16"/>
      <c r="D4188" s="16"/>
      <c r="E4188" s="16"/>
      <c r="F4188" s="17"/>
      <c r="G4188" s="17"/>
      <c r="H4188" s="16"/>
      <c r="I4188" s="16"/>
      <c r="J4188" s="19"/>
    </row>
    <row r="4189" ht="15.75" customHeight="1">
      <c r="B4189" s="20"/>
      <c r="C4189" s="21"/>
      <c r="D4189" s="21"/>
      <c r="E4189" s="21"/>
      <c r="F4189" s="22"/>
      <c r="G4189" s="22"/>
      <c r="H4189" s="21"/>
      <c r="I4189" s="21"/>
      <c r="J4189" s="23"/>
    </row>
    <row r="4190" ht="15.75" customHeight="1">
      <c r="B4190" s="15"/>
      <c r="C4190" s="16"/>
      <c r="D4190" s="16"/>
      <c r="E4190" s="16"/>
      <c r="F4190" s="17"/>
      <c r="G4190" s="17"/>
      <c r="H4190" s="16"/>
      <c r="I4190" s="16"/>
      <c r="J4190" s="19"/>
    </row>
    <row r="4191" ht="15.75" customHeight="1">
      <c r="B4191" s="20"/>
      <c r="C4191" s="21"/>
      <c r="D4191" s="21"/>
      <c r="E4191" s="21"/>
      <c r="F4191" s="22"/>
      <c r="G4191" s="22"/>
      <c r="H4191" s="21"/>
      <c r="I4191" s="21"/>
      <c r="J4191" s="23"/>
    </row>
    <row r="4192" ht="15.75" customHeight="1">
      <c r="B4192" s="15"/>
      <c r="C4192" s="16"/>
      <c r="D4192" s="16"/>
      <c r="E4192" s="16"/>
      <c r="F4192" s="17"/>
      <c r="G4192" s="17"/>
      <c r="H4192" s="16"/>
      <c r="I4192" s="16"/>
      <c r="J4192" s="19"/>
    </row>
    <row r="4193" ht="15.75" customHeight="1">
      <c r="B4193" s="20"/>
      <c r="C4193" s="21"/>
      <c r="D4193" s="21"/>
      <c r="E4193" s="21"/>
      <c r="F4193" s="22"/>
      <c r="G4193" s="22"/>
      <c r="H4193" s="21"/>
      <c r="I4193" s="21"/>
      <c r="J4193" s="23"/>
    </row>
    <row r="4194" ht="15.75" customHeight="1">
      <c r="B4194" s="15"/>
      <c r="C4194" s="16"/>
      <c r="D4194" s="16"/>
      <c r="E4194" s="16"/>
      <c r="F4194" s="17"/>
      <c r="G4194" s="17"/>
      <c r="H4194" s="16"/>
      <c r="I4194" s="16"/>
      <c r="J4194" s="19"/>
    </row>
    <row r="4195" ht="15.75" customHeight="1">
      <c r="B4195" s="20"/>
      <c r="C4195" s="21"/>
      <c r="D4195" s="21"/>
      <c r="E4195" s="21"/>
      <c r="F4195" s="22"/>
      <c r="G4195" s="22"/>
      <c r="H4195" s="21"/>
      <c r="I4195" s="21"/>
      <c r="J4195" s="23"/>
    </row>
    <row r="4196" ht="15.75" customHeight="1">
      <c r="B4196" s="15"/>
      <c r="C4196" s="16"/>
      <c r="D4196" s="16"/>
      <c r="E4196" s="16"/>
      <c r="F4196" s="17"/>
      <c r="G4196" s="17"/>
      <c r="H4196" s="16"/>
      <c r="I4196" s="16"/>
      <c r="J4196" s="19"/>
    </row>
    <row r="4197" ht="15.75" customHeight="1">
      <c r="B4197" s="20"/>
      <c r="C4197" s="21"/>
      <c r="D4197" s="21"/>
      <c r="E4197" s="21"/>
      <c r="F4197" s="22"/>
      <c r="G4197" s="22"/>
      <c r="H4197" s="21"/>
      <c r="I4197" s="21"/>
      <c r="J4197" s="23"/>
    </row>
    <row r="4198" ht="15.75" customHeight="1">
      <c r="B4198" s="15"/>
      <c r="C4198" s="16"/>
      <c r="D4198" s="16"/>
      <c r="E4198" s="16"/>
      <c r="F4198" s="17"/>
      <c r="G4198" s="17"/>
      <c r="H4198" s="16"/>
      <c r="I4198" s="16"/>
      <c r="J4198" s="19"/>
    </row>
    <row r="4199" ht="15.75" customHeight="1">
      <c r="B4199" s="20"/>
      <c r="C4199" s="21"/>
      <c r="D4199" s="21"/>
      <c r="E4199" s="21"/>
      <c r="F4199" s="22"/>
      <c r="G4199" s="22"/>
      <c r="H4199" s="21"/>
      <c r="I4199" s="21"/>
      <c r="J4199" s="23"/>
    </row>
    <row r="4200" ht="15.75" customHeight="1">
      <c r="B4200" s="15"/>
      <c r="C4200" s="16"/>
      <c r="D4200" s="16"/>
      <c r="E4200" s="16"/>
      <c r="F4200" s="17"/>
      <c r="G4200" s="17"/>
      <c r="H4200" s="16"/>
      <c r="I4200" s="16"/>
      <c r="J4200" s="19"/>
    </row>
    <row r="4201" ht="15.75" customHeight="1">
      <c r="B4201" s="20"/>
      <c r="C4201" s="21"/>
      <c r="D4201" s="21"/>
      <c r="E4201" s="21"/>
      <c r="F4201" s="22"/>
      <c r="G4201" s="22"/>
      <c r="H4201" s="21"/>
      <c r="I4201" s="21"/>
      <c r="J4201" s="23"/>
    </row>
    <row r="4202" ht="15.75" customHeight="1">
      <c r="B4202" s="15"/>
      <c r="C4202" s="16"/>
      <c r="D4202" s="16"/>
      <c r="E4202" s="16"/>
      <c r="F4202" s="17"/>
      <c r="G4202" s="17"/>
      <c r="H4202" s="16"/>
      <c r="I4202" s="16"/>
      <c r="J4202" s="19"/>
    </row>
    <row r="4203" ht="15.75" customHeight="1">
      <c r="B4203" s="20"/>
      <c r="C4203" s="21"/>
      <c r="D4203" s="21"/>
      <c r="E4203" s="21"/>
      <c r="F4203" s="22"/>
      <c r="G4203" s="22"/>
      <c r="H4203" s="21"/>
      <c r="I4203" s="21"/>
      <c r="J4203" s="23"/>
    </row>
    <row r="4204" ht="15.75" customHeight="1">
      <c r="B4204" s="15"/>
      <c r="C4204" s="16"/>
      <c r="D4204" s="16"/>
      <c r="E4204" s="16"/>
      <c r="F4204" s="17"/>
      <c r="G4204" s="17"/>
      <c r="H4204" s="16"/>
      <c r="I4204" s="16"/>
      <c r="J4204" s="19"/>
    </row>
    <row r="4205" ht="15.75" customHeight="1">
      <c r="B4205" s="20"/>
      <c r="C4205" s="21"/>
      <c r="D4205" s="21"/>
      <c r="E4205" s="21"/>
      <c r="F4205" s="22"/>
      <c r="G4205" s="22"/>
      <c r="H4205" s="21"/>
      <c r="I4205" s="21"/>
      <c r="J4205" s="23"/>
    </row>
    <row r="4206" ht="15.75" customHeight="1">
      <c r="B4206" s="15"/>
      <c r="C4206" s="16"/>
      <c r="D4206" s="16"/>
      <c r="E4206" s="16"/>
      <c r="F4206" s="17"/>
      <c r="G4206" s="17"/>
      <c r="H4206" s="16"/>
      <c r="I4206" s="16"/>
      <c r="J4206" s="19"/>
    </row>
    <row r="4207" ht="15.75" customHeight="1">
      <c r="B4207" s="20"/>
      <c r="C4207" s="21"/>
      <c r="D4207" s="21"/>
      <c r="E4207" s="21"/>
      <c r="F4207" s="22"/>
      <c r="G4207" s="22"/>
      <c r="H4207" s="21"/>
      <c r="I4207" s="21"/>
      <c r="J4207" s="23"/>
    </row>
    <row r="4208" ht="15.75" customHeight="1">
      <c r="B4208" s="15"/>
      <c r="C4208" s="16"/>
      <c r="D4208" s="16"/>
      <c r="E4208" s="16"/>
      <c r="F4208" s="17"/>
      <c r="G4208" s="17"/>
      <c r="H4208" s="16"/>
      <c r="I4208" s="16"/>
      <c r="J4208" s="19"/>
    </row>
    <row r="4209" ht="15.75" customHeight="1">
      <c r="B4209" s="20"/>
      <c r="C4209" s="21"/>
      <c r="D4209" s="21"/>
      <c r="E4209" s="21"/>
      <c r="F4209" s="22"/>
      <c r="G4209" s="22"/>
      <c r="H4209" s="21"/>
      <c r="I4209" s="21"/>
      <c r="J4209" s="23"/>
    </row>
    <row r="4210" ht="15.75" customHeight="1">
      <c r="B4210" s="15"/>
      <c r="C4210" s="16"/>
      <c r="D4210" s="16"/>
      <c r="E4210" s="16"/>
      <c r="F4210" s="17"/>
      <c r="G4210" s="17"/>
      <c r="H4210" s="16"/>
      <c r="I4210" s="16"/>
      <c r="J4210" s="19"/>
    </row>
    <row r="4211" ht="15.75" customHeight="1">
      <c r="B4211" s="20"/>
      <c r="C4211" s="21"/>
      <c r="D4211" s="21"/>
      <c r="E4211" s="21"/>
      <c r="F4211" s="22"/>
      <c r="G4211" s="22"/>
      <c r="H4211" s="21"/>
      <c r="I4211" s="21"/>
      <c r="J4211" s="23"/>
    </row>
    <row r="4212" ht="15.75" customHeight="1">
      <c r="B4212" s="15"/>
      <c r="C4212" s="16"/>
      <c r="D4212" s="16"/>
      <c r="E4212" s="16"/>
      <c r="F4212" s="17"/>
      <c r="G4212" s="17"/>
      <c r="H4212" s="16"/>
      <c r="I4212" s="16"/>
      <c r="J4212" s="19"/>
    </row>
    <row r="4213" ht="15.75" customHeight="1">
      <c r="B4213" s="20"/>
      <c r="C4213" s="21"/>
      <c r="D4213" s="21"/>
      <c r="E4213" s="21"/>
      <c r="F4213" s="22"/>
      <c r="G4213" s="22"/>
      <c r="H4213" s="21"/>
      <c r="I4213" s="21"/>
      <c r="J4213" s="23"/>
    </row>
    <row r="4214" ht="15.75" customHeight="1">
      <c r="B4214" s="15"/>
      <c r="C4214" s="16"/>
      <c r="D4214" s="16"/>
      <c r="E4214" s="16"/>
      <c r="F4214" s="17"/>
      <c r="G4214" s="17"/>
      <c r="H4214" s="16"/>
      <c r="I4214" s="16"/>
      <c r="J4214" s="19"/>
    </row>
    <row r="4215" ht="15.75" customHeight="1">
      <c r="B4215" s="20"/>
      <c r="C4215" s="21"/>
      <c r="D4215" s="21"/>
      <c r="E4215" s="21"/>
      <c r="F4215" s="22"/>
      <c r="G4215" s="22"/>
      <c r="H4215" s="21"/>
      <c r="I4215" s="21"/>
      <c r="J4215" s="23"/>
    </row>
    <row r="4216" ht="15.75" customHeight="1">
      <c r="B4216" s="15"/>
      <c r="C4216" s="16"/>
      <c r="D4216" s="16"/>
      <c r="E4216" s="16"/>
      <c r="F4216" s="17"/>
      <c r="G4216" s="17"/>
      <c r="H4216" s="16"/>
      <c r="I4216" s="16"/>
      <c r="J4216" s="19"/>
    </row>
    <row r="4217" ht="15.75" customHeight="1">
      <c r="B4217" s="20"/>
      <c r="C4217" s="21"/>
      <c r="D4217" s="21"/>
      <c r="E4217" s="21"/>
      <c r="F4217" s="22"/>
      <c r="G4217" s="22"/>
      <c r="H4217" s="21"/>
      <c r="I4217" s="21"/>
      <c r="J4217" s="23"/>
    </row>
    <row r="4218" ht="15.75" customHeight="1">
      <c r="B4218" s="15"/>
      <c r="C4218" s="16"/>
      <c r="D4218" s="16"/>
      <c r="E4218" s="16"/>
      <c r="F4218" s="17"/>
      <c r="G4218" s="17"/>
      <c r="H4218" s="16"/>
      <c r="I4218" s="16"/>
      <c r="J4218" s="19"/>
    </row>
    <row r="4219" ht="15.75" customHeight="1">
      <c r="B4219" s="20"/>
      <c r="C4219" s="21"/>
      <c r="D4219" s="21"/>
      <c r="E4219" s="21"/>
      <c r="F4219" s="22"/>
      <c r="G4219" s="22"/>
      <c r="H4219" s="21"/>
      <c r="I4219" s="21"/>
      <c r="J4219" s="23"/>
    </row>
    <row r="4220" ht="15.75" customHeight="1">
      <c r="B4220" s="15"/>
      <c r="C4220" s="16"/>
      <c r="D4220" s="16"/>
      <c r="E4220" s="16"/>
      <c r="F4220" s="17"/>
      <c r="G4220" s="17"/>
      <c r="H4220" s="16"/>
      <c r="I4220" s="16"/>
      <c r="J4220" s="19"/>
    </row>
    <row r="4221" ht="15.75" customHeight="1">
      <c r="B4221" s="20"/>
      <c r="C4221" s="21"/>
      <c r="D4221" s="21"/>
      <c r="E4221" s="21"/>
      <c r="F4221" s="22"/>
      <c r="G4221" s="22"/>
      <c r="H4221" s="21"/>
      <c r="I4221" s="21"/>
      <c r="J4221" s="23"/>
    </row>
    <row r="4222" ht="15.75" customHeight="1">
      <c r="B4222" s="15"/>
      <c r="C4222" s="16"/>
      <c r="D4222" s="16"/>
      <c r="E4222" s="16"/>
      <c r="F4222" s="17"/>
      <c r="G4222" s="17"/>
      <c r="H4222" s="16"/>
      <c r="I4222" s="16"/>
      <c r="J4222" s="19"/>
    </row>
    <row r="4223" ht="15.75" customHeight="1">
      <c r="B4223" s="20"/>
      <c r="C4223" s="21"/>
      <c r="D4223" s="21"/>
      <c r="E4223" s="21"/>
      <c r="F4223" s="22"/>
      <c r="G4223" s="22"/>
      <c r="H4223" s="21"/>
      <c r="I4223" s="21"/>
      <c r="J4223" s="23"/>
    </row>
    <row r="4224" ht="15.75" customHeight="1">
      <c r="B4224" s="15"/>
      <c r="C4224" s="16"/>
      <c r="D4224" s="16"/>
      <c r="E4224" s="16"/>
      <c r="F4224" s="17"/>
      <c r="G4224" s="17"/>
      <c r="H4224" s="16"/>
      <c r="I4224" s="16"/>
      <c r="J4224" s="19"/>
    </row>
    <row r="4225" ht="15.75" customHeight="1">
      <c r="B4225" s="20"/>
      <c r="C4225" s="21"/>
      <c r="D4225" s="21"/>
      <c r="E4225" s="21"/>
      <c r="F4225" s="22"/>
      <c r="G4225" s="22"/>
      <c r="H4225" s="21"/>
      <c r="I4225" s="21"/>
      <c r="J4225" s="23"/>
    </row>
    <row r="4226" ht="15.75" customHeight="1">
      <c r="B4226" s="15"/>
      <c r="C4226" s="16"/>
      <c r="D4226" s="16"/>
      <c r="E4226" s="16"/>
      <c r="F4226" s="17"/>
      <c r="G4226" s="17"/>
      <c r="H4226" s="16"/>
      <c r="I4226" s="16"/>
      <c r="J4226" s="19"/>
    </row>
    <row r="4227" ht="15.75" customHeight="1">
      <c r="B4227" s="20"/>
      <c r="C4227" s="21"/>
      <c r="D4227" s="21"/>
      <c r="E4227" s="21"/>
      <c r="F4227" s="22"/>
      <c r="G4227" s="22"/>
      <c r="H4227" s="21"/>
      <c r="I4227" s="21"/>
      <c r="J4227" s="23"/>
    </row>
    <row r="4228" ht="15.75" customHeight="1">
      <c r="B4228" s="15"/>
      <c r="C4228" s="16"/>
      <c r="D4228" s="16"/>
      <c r="E4228" s="16"/>
      <c r="F4228" s="17"/>
      <c r="G4228" s="17"/>
      <c r="H4228" s="16"/>
      <c r="I4228" s="16"/>
      <c r="J4228" s="19"/>
    </row>
    <row r="4229" ht="15.75" customHeight="1">
      <c r="B4229" s="20"/>
      <c r="C4229" s="21"/>
      <c r="D4229" s="21"/>
      <c r="E4229" s="21"/>
      <c r="F4229" s="22"/>
      <c r="G4229" s="22"/>
      <c r="H4229" s="21"/>
      <c r="I4229" s="21"/>
      <c r="J4229" s="23"/>
    </row>
    <row r="4230" ht="15.75" customHeight="1">
      <c r="B4230" s="15"/>
      <c r="C4230" s="16"/>
      <c r="D4230" s="16"/>
      <c r="E4230" s="16"/>
      <c r="F4230" s="17"/>
      <c r="G4230" s="17"/>
      <c r="H4230" s="16"/>
      <c r="I4230" s="16"/>
      <c r="J4230" s="19"/>
    </row>
    <row r="4231" ht="15.75" customHeight="1">
      <c r="B4231" s="20"/>
      <c r="C4231" s="21"/>
      <c r="D4231" s="21"/>
      <c r="E4231" s="21"/>
      <c r="F4231" s="22"/>
      <c r="G4231" s="22"/>
      <c r="H4231" s="21"/>
      <c r="I4231" s="21"/>
      <c r="J4231" s="23"/>
    </row>
    <row r="4232" ht="15.75" customHeight="1">
      <c r="B4232" s="15"/>
      <c r="C4232" s="16"/>
      <c r="D4232" s="16"/>
      <c r="E4232" s="16"/>
      <c r="F4232" s="17"/>
      <c r="G4232" s="17"/>
      <c r="H4232" s="16"/>
      <c r="I4232" s="16"/>
      <c r="J4232" s="19"/>
    </row>
    <row r="4233" ht="15.75" customHeight="1">
      <c r="B4233" s="20"/>
      <c r="C4233" s="21"/>
      <c r="D4233" s="21"/>
      <c r="E4233" s="21"/>
      <c r="F4233" s="22"/>
      <c r="G4233" s="22"/>
      <c r="H4233" s="21"/>
      <c r="I4233" s="21"/>
      <c r="J4233" s="23"/>
    </row>
    <row r="4234" ht="15.75" customHeight="1">
      <c r="B4234" s="15"/>
      <c r="C4234" s="16"/>
      <c r="D4234" s="16"/>
      <c r="E4234" s="16"/>
      <c r="F4234" s="17"/>
      <c r="G4234" s="17"/>
      <c r="H4234" s="16"/>
      <c r="I4234" s="16"/>
      <c r="J4234" s="19"/>
    </row>
    <row r="4235" ht="15.75" customHeight="1">
      <c r="B4235" s="20"/>
      <c r="C4235" s="21"/>
      <c r="D4235" s="21"/>
      <c r="E4235" s="21"/>
      <c r="F4235" s="22"/>
      <c r="G4235" s="22"/>
      <c r="H4235" s="21"/>
      <c r="I4235" s="21"/>
      <c r="J4235" s="23"/>
    </row>
    <row r="4236" ht="15.75" customHeight="1">
      <c r="B4236" s="15"/>
      <c r="C4236" s="16"/>
      <c r="D4236" s="16"/>
      <c r="E4236" s="16"/>
      <c r="F4236" s="17"/>
      <c r="G4236" s="17"/>
      <c r="H4236" s="16"/>
      <c r="I4236" s="16"/>
      <c r="J4236" s="19"/>
    </row>
    <row r="4237" ht="15.75" customHeight="1">
      <c r="B4237" s="20"/>
      <c r="C4237" s="21"/>
      <c r="D4237" s="21"/>
      <c r="E4237" s="21"/>
      <c r="F4237" s="22"/>
      <c r="G4237" s="22"/>
      <c r="H4237" s="21"/>
      <c r="I4237" s="21"/>
      <c r="J4237" s="23"/>
    </row>
    <row r="4238" ht="15.75" customHeight="1">
      <c r="B4238" s="15"/>
      <c r="C4238" s="16"/>
      <c r="D4238" s="16"/>
      <c r="E4238" s="16"/>
      <c r="F4238" s="17"/>
      <c r="G4238" s="17"/>
      <c r="H4238" s="16"/>
      <c r="I4238" s="16"/>
      <c r="J4238" s="19"/>
    </row>
    <row r="4239" ht="15.75" customHeight="1">
      <c r="B4239" s="20"/>
      <c r="C4239" s="21"/>
      <c r="D4239" s="21"/>
      <c r="E4239" s="21"/>
      <c r="F4239" s="22"/>
      <c r="G4239" s="22"/>
      <c r="H4239" s="21"/>
      <c r="I4239" s="21"/>
      <c r="J4239" s="23"/>
    </row>
    <row r="4240" ht="15.75" customHeight="1">
      <c r="B4240" s="15"/>
      <c r="C4240" s="16"/>
      <c r="D4240" s="16"/>
      <c r="E4240" s="16"/>
      <c r="F4240" s="17"/>
      <c r="G4240" s="17"/>
      <c r="H4240" s="16"/>
      <c r="I4240" s="16"/>
      <c r="J4240" s="19"/>
    </row>
    <row r="4241" ht="15.75" customHeight="1">
      <c r="B4241" s="20"/>
      <c r="C4241" s="21"/>
      <c r="D4241" s="21"/>
      <c r="E4241" s="21"/>
      <c r="F4241" s="22"/>
      <c r="G4241" s="22"/>
      <c r="H4241" s="21"/>
      <c r="I4241" s="21"/>
      <c r="J4241" s="23"/>
    </row>
    <row r="4242" ht="15.75" customHeight="1">
      <c r="B4242" s="15"/>
      <c r="C4242" s="16"/>
      <c r="D4242" s="16"/>
      <c r="E4242" s="16"/>
      <c r="F4242" s="17"/>
      <c r="G4242" s="17"/>
      <c r="H4242" s="16"/>
      <c r="I4242" s="16"/>
      <c r="J4242" s="19"/>
    </row>
    <row r="4243" ht="15.75" customHeight="1">
      <c r="B4243" s="20"/>
      <c r="C4243" s="21"/>
      <c r="D4243" s="21"/>
      <c r="E4243" s="21"/>
      <c r="F4243" s="22"/>
      <c r="G4243" s="22"/>
      <c r="H4243" s="21"/>
      <c r="I4243" s="21"/>
      <c r="J4243" s="23"/>
    </row>
    <row r="4244" ht="15.75" customHeight="1">
      <c r="B4244" s="15"/>
      <c r="C4244" s="16"/>
      <c r="D4244" s="16"/>
      <c r="E4244" s="16"/>
      <c r="F4244" s="17"/>
      <c r="G4244" s="17"/>
      <c r="H4244" s="16"/>
      <c r="I4244" s="16"/>
      <c r="J4244" s="19"/>
    </row>
    <row r="4245" ht="15.75" customHeight="1">
      <c r="B4245" s="20"/>
      <c r="C4245" s="21"/>
      <c r="D4245" s="21"/>
      <c r="E4245" s="21"/>
      <c r="F4245" s="22"/>
      <c r="G4245" s="22"/>
      <c r="H4245" s="21"/>
      <c r="I4245" s="21"/>
      <c r="J4245" s="23"/>
    </row>
    <row r="4246" ht="15.75" customHeight="1">
      <c r="B4246" s="15"/>
      <c r="C4246" s="16"/>
      <c r="D4246" s="16"/>
      <c r="E4246" s="16"/>
      <c r="F4246" s="17"/>
      <c r="G4246" s="17"/>
      <c r="H4246" s="16"/>
      <c r="I4246" s="16"/>
      <c r="J4246" s="19"/>
    </row>
    <row r="4247" ht="15.75" customHeight="1">
      <c r="B4247" s="20"/>
      <c r="C4247" s="21"/>
      <c r="D4247" s="21"/>
      <c r="E4247" s="21"/>
      <c r="F4247" s="22"/>
      <c r="G4247" s="22"/>
      <c r="H4247" s="21"/>
      <c r="I4247" s="21"/>
      <c r="J4247" s="23"/>
    </row>
    <row r="4248" ht="15.75" customHeight="1">
      <c r="B4248" s="15"/>
      <c r="C4248" s="16"/>
      <c r="D4248" s="16"/>
      <c r="E4248" s="16"/>
      <c r="F4248" s="17"/>
      <c r="G4248" s="17"/>
      <c r="H4248" s="16"/>
      <c r="I4248" s="16"/>
      <c r="J4248" s="19"/>
    </row>
    <row r="4249" ht="15.75" customHeight="1">
      <c r="B4249" s="20"/>
      <c r="C4249" s="21"/>
      <c r="D4249" s="21"/>
      <c r="E4249" s="21"/>
      <c r="F4249" s="22"/>
      <c r="G4249" s="22"/>
      <c r="H4249" s="21"/>
      <c r="I4249" s="21"/>
      <c r="J4249" s="23"/>
    </row>
    <row r="4250" ht="15.75" customHeight="1">
      <c r="B4250" s="15"/>
      <c r="C4250" s="16"/>
      <c r="D4250" s="16"/>
      <c r="E4250" s="16"/>
      <c r="F4250" s="17"/>
      <c r="G4250" s="17"/>
      <c r="H4250" s="16"/>
      <c r="I4250" s="16"/>
      <c r="J4250" s="19"/>
    </row>
    <row r="4251" ht="15.75" customHeight="1">
      <c r="B4251" s="20"/>
      <c r="C4251" s="21"/>
      <c r="D4251" s="21"/>
      <c r="E4251" s="21"/>
      <c r="F4251" s="22"/>
      <c r="G4251" s="22"/>
      <c r="H4251" s="21"/>
      <c r="I4251" s="21"/>
      <c r="J4251" s="23"/>
    </row>
    <row r="4252" ht="15.75" customHeight="1">
      <c r="B4252" s="15"/>
      <c r="C4252" s="16"/>
      <c r="D4252" s="16"/>
      <c r="E4252" s="16"/>
      <c r="F4252" s="17"/>
      <c r="G4252" s="17"/>
      <c r="H4252" s="16"/>
      <c r="I4252" s="16"/>
      <c r="J4252" s="19"/>
    </row>
    <row r="4253" ht="15.75" customHeight="1">
      <c r="B4253" s="20"/>
      <c r="C4253" s="21"/>
      <c r="D4253" s="21"/>
      <c r="E4253" s="21"/>
      <c r="F4253" s="22"/>
      <c r="G4253" s="22"/>
      <c r="H4253" s="21"/>
      <c r="I4253" s="21"/>
      <c r="J4253" s="23"/>
    </row>
    <row r="4254" ht="15.75" customHeight="1">
      <c r="B4254" s="15"/>
      <c r="C4254" s="16"/>
      <c r="D4254" s="16"/>
      <c r="E4254" s="16"/>
      <c r="F4254" s="17"/>
      <c r="G4254" s="17"/>
      <c r="H4254" s="16"/>
      <c r="I4254" s="16"/>
      <c r="J4254" s="19"/>
    </row>
    <row r="4255" ht="15.75" customHeight="1">
      <c r="B4255" s="20"/>
      <c r="C4255" s="21"/>
      <c r="D4255" s="21"/>
      <c r="E4255" s="21"/>
      <c r="F4255" s="22"/>
      <c r="G4255" s="22"/>
      <c r="H4255" s="21"/>
      <c r="I4255" s="21"/>
      <c r="J4255" s="23"/>
    </row>
    <row r="4256" ht="15.75" customHeight="1">
      <c r="B4256" s="15"/>
      <c r="C4256" s="16"/>
      <c r="D4256" s="16"/>
      <c r="E4256" s="16"/>
      <c r="F4256" s="17"/>
      <c r="G4256" s="17"/>
      <c r="H4256" s="16"/>
      <c r="I4256" s="16"/>
      <c r="J4256" s="19"/>
    </row>
    <row r="4257" ht="15.75" customHeight="1">
      <c r="B4257" s="20"/>
      <c r="C4257" s="21"/>
      <c r="D4257" s="21"/>
      <c r="E4257" s="21"/>
      <c r="F4257" s="22"/>
      <c r="G4257" s="22"/>
      <c r="H4257" s="21"/>
      <c r="I4257" s="21"/>
      <c r="J4257" s="23"/>
    </row>
    <row r="4258" ht="15.75" customHeight="1">
      <c r="B4258" s="15"/>
      <c r="C4258" s="16"/>
      <c r="D4258" s="16"/>
      <c r="E4258" s="16"/>
      <c r="F4258" s="17"/>
      <c r="G4258" s="17"/>
      <c r="H4258" s="16"/>
      <c r="I4258" s="16"/>
      <c r="J4258" s="19"/>
    </row>
    <row r="4259" ht="15.75" customHeight="1">
      <c r="B4259" s="20"/>
      <c r="C4259" s="21"/>
      <c r="D4259" s="21"/>
      <c r="E4259" s="21"/>
      <c r="F4259" s="22"/>
      <c r="G4259" s="22"/>
      <c r="H4259" s="21"/>
      <c r="I4259" s="21"/>
      <c r="J4259" s="23"/>
    </row>
    <row r="4260" ht="15.75" customHeight="1">
      <c r="B4260" s="15"/>
      <c r="C4260" s="16"/>
      <c r="D4260" s="16"/>
      <c r="E4260" s="16"/>
      <c r="F4260" s="17"/>
      <c r="G4260" s="17"/>
      <c r="H4260" s="16"/>
      <c r="I4260" s="16"/>
      <c r="J4260" s="19"/>
    </row>
    <row r="4261" ht="15.75" customHeight="1">
      <c r="B4261" s="20"/>
      <c r="C4261" s="21"/>
      <c r="D4261" s="21"/>
      <c r="E4261" s="21"/>
      <c r="F4261" s="22"/>
      <c r="G4261" s="22"/>
      <c r="H4261" s="21"/>
      <c r="I4261" s="21"/>
      <c r="J4261" s="23"/>
    </row>
    <row r="4262" ht="15.75" customHeight="1">
      <c r="B4262" s="15"/>
      <c r="C4262" s="16"/>
      <c r="D4262" s="16"/>
      <c r="E4262" s="16"/>
      <c r="F4262" s="17"/>
      <c r="G4262" s="17"/>
      <c r="H4262" s="16"/>
      <c r="I4262" s="16"/>
      <c r="J4262" s="19"/>
    </row>
    <row r="4263" ht="15.75" customHeight="1">
      <c r="B4263" s="20"/>
      <c r="C4263" s="21"/>
      <c r="D4263" s="21"/>
      <c r="E4263" s="21"/>
      <c r="F4263" s="22"/>
      <c r="G4263" s="22"/>
      <c r="H4263" s="21"/>
      <c r="I4263" s="21"/>
      <c r="J4263" s="23"/>
    </row>
    <row r="4264" ht="15.75" customHeight="1">
      <c r="B4264" s="15"/>
      <c r="C4264" s="16"/>
      <c r="D4264" s="16"/>
      <c r="E4264" s="16"/>
      <c r="F4264" s="17"/>
      <c r="G4264" s="17"/>
      <c r="H4264" s="16"/>
      <c r="I4264" s="16"/>
      <c r="J4264" s="19"/>
    </row>
    <row r="4265" ht="15.75" customHeight="1">
      <c r="B4265" s="20"/>
      <c r="C4265" s="21"/>
      <c r="D4265" s="21"/>
      <c r="E4265" s="21"/>
      <c r="F4265" s="22"/>
      <c r="G4265" s="22"/>
      <c r="H4265" s="21"/>
      <c r="I4265" s="21"/>
      <c r="J4265" s="23"/>
    </row>
    <row r="4266" ht="15.75" customHeight="1">
      <c r="B4266" s="15"/>
      <c r="C4266" s="16"/>
      <c r="D4266" s="16"/>
      <c r="E4266" s="16"/>
      <c r="F4266" s="17"/>
      <c r="G4266" s="17"/>
      <c r="H4266" s="16"/>
      <c r="I4266" s="16"/>
      <c r="J4266" s="19"/>
    </row>
    <row r="4267" ht="15.75" customHeight="1">
      <c r="B4267" s="20"/>
      <c r="C4267" s="21"/>
      <c r="D4267" s="21"/>
      <c r="E4267" s="21"/>
      <c r="F4267" s="22"/>
      <c r="G4267" s="22"/>
      <c r="H4267" s="21"/>
      <c r="I4267" s="21"/>
      <c r="J4267" s="23"/>
    </row>
    <row r="4268" ht="15.75" customHeight="1">
      <c r="B4268" s="15"/>
      <c r="C4268" s="16"/>
      <c r="D4268" s="16"/>
      <c r="E4268" s="16"/>
      <c r="F4268" s="17"/>
      <c r="G4268" s="17"/>
      <c r="H4268" s="16"/>
      <c r="I4268" s="16"/>
      <c r="J4268" s="19"/>
    </row>
    <row r="4269" ht="15.75" customHeight="1">
      <c r="B4269" s="20"/>
      <c r="C4269" s="21"/>
      <c r="D4269" s="21"/>
      <c r="E4269" s="21"/>
      <c r="F4269" s="22"/>
      <c r="G4269" s="22"/>
      <c r="H4269" s="21"/>
      <c r="I4269" s="21"/>
      <c r="J4269" s="23"/>
    </row>
    <row r="4270" ht="15.75" customHeight="1">
      <c r="B4270" s="15"/>
      <c r="C4270" s="16"/>
      <c r="D4270" s="16"/>
      <c r="E4270" s="16"/>
      <c r="F4270" s="17"/>
      <c r="G4270" s="17"/>
      <c r="H4270" s="16"/>
      <c r="I4270" s="16"/>
      <c r="J4270" s="19"/>
    </row>
    <row r="4271" ht="15.75" customHeight="1">
      <c r="B4271" s="20"/>
      <c r="C4271" s="21"/>
      <c r="D4271" s="21"/>
      <c r="E4271" s="21"/>
      <c r="F4271" s="22"/>
      <c r="G4271" s="22"/>
      <c r="H4271" s="21"/>
      <c r="I4271" s="21"/>
      <c r="J4271" s="23"/>
    </row>
    <row r="4272" ht="15.75" customHeight="1">
      <c r="B4272" s="15"/>
      <c r="C4272" s="16"/>
      <c r="D4272" s="16"/>
      <c r="E4272" s="16"/>
      <c r="F4272" s="17"/>
      <c r="G4272" s="17"/>
      <c r="H4272" s="16"/>
      <c r="I4272" s="16"/>
      <c r="J4272" s="19"/>
    </row>
    <row r="4273" ht="15.75" customHeight="1">
      <c r="B4273" s="20"/>
      <c r="C4273" s="21"/>
      <c r="D4273" s="21"/>
      <c r="E4273" s="21"/>
      <c r="F4273" s="22"/>
      <c r="G4273" s="22"/>
      <c r="H4273" s="21"/>
      <c r="I4273" s="21"/>
      <c r="J4273" s="23"/>
    </row>
    <row r="4274" ht="15.75" customHeight="1">
      <c r="B4274" s="15"/>
      <c r="C4274" s="16"/>
      <c r="D4274" s="16"/>
      <c r="E4274" s="16"/>
      <c r="F4274" s="17"/>
      <c r="G4274" s="17"/>
      <c r="H4274" s="16"/>
      <c r="I4274" s="16"/>
      <c r="J4274" s="19"/>
    </row>
    <row r="4275" ht="15.75" customHeight="1">
      <c r="B4275" s="20"/>
      <c r="C4275" s="21"/>
      <c r="D4275" s="21"/>
      <c r="E4275" s="21"/>
      <c r="F4275" s="22"/>
      <c r="G4275" s="22"/>
      <c r="H4275" s="21"/>
      <c r="I4275" s="21"/>
      <c r="J4275" s="23"/>
    </row>
    <row r="4276" ht="15.75" customHeight="1">
      <c r="B4276" s="15"/>
      <c r="C4276" s="16"/>
      <c r="D4276" s="16"/>
      <c r="E4276" s="16"/>
      <c r="F4276" s="17"/>
      <c r="G4276" s="17"/>
      <c r="H4276" s="16"/>
      <c r="I4276" s="16"/>
      <c r="J4276" s="19"/>
    </row>
    <row r="4277" ht="15.75" customHeight="1">
      <c r="B4277" s="20"/>
      <c r="C4277" s="21"/>
      <c r="D4277" s="21"/>
      <c r="E4277" s="21"/>
      <c r="F4277" s="22"/>
      <c r="G4277" s="22"/>
      <c r="H4277" s="21"/>
      <c r="I4277" s="21"/>
      <c r="J4277" s="23"/>
    </row>
    <row r="4278" ht="15.75" customHeight="1">
      <c r="B4278" s="15"/>
      <c r="C4278" s="16"/>
      <c r="D4278" s="16"/>
      <c r="E4278" s="16"/>
      <c r="F4278" s="17"/>
      <c r="G4278" s="17"/>
      <c r="H4278" s="16"/>
      <c r="I4278" s="16"/>
      <c r="J4278" s="19"/>
    </row>
    <row r="4279" ht="15.75" customHeight="1">
      <c r="B4279" s="20"/>
      <c r="C4279" s="21"/>
      <c r="D4279" s="21"/>
      <c r="E4279" s="21"/>
      <c r="F4279" s="22"/>
      <c r="G4279" s="22"/>
      <c r="H4279" s="21"/>
      <c r="I4279" s="21"/>
      <c r="J4279" s="23"/>
    </row>
    <row r="4280" ht="15.75" customHeight="1">
      <c r="B4280" s="15"/>
      <c r="C4280" s="16"/>
      <c r="D4280" s="16"/>
      <c r="E4280" s="16"/>
      <c r="F4280" s="17"/>
      <c r="G4280" s="17"/>
      <c r="H4280" s="16"/>
      <c r="I4280" s="16"/>
      <c r="J4280" s="19"/>
    </row>
    <row r="4281" ht="15.75" customHeight="1">
      <c r="B4281" s="20"/>
      <c r="C4281" s="21"/>
      <c r="D4281" s="21"/>
      <c r="E4281" s="21"/>
      <c r="F4281" s="22"/>
      <c r="G4281" s="22"/>
      <c r="H4281" s="21"/>
      <c r="I4281" s="21"/>
      <c r="J4281" s="23"/>
    </row>
    <row r="4282" ht="15.75" customHeight="1">
      <c r="B4282" s="15"/>
      <c r="C4282" s="16"/>
      <c r="D4282" s="16"/>
      <c r="E4282" s="16"/>
      <c r="F4282" s="17"/>
      <c r="G4282" s="17"/>
      <c r="H4282" s="16"/>
      <c r="I4282" s="16"/>
      <c r="J4282" s="19"/>
    </row>
    <row r="4283" ht="15.75" customHeight="1">
      <c r="B4283" s="20"/>
      <c r="C4283" s="21"/>
      <c r="D4283" s="21"/>
      <c r="E4283" s="21"/>
      <c r="F4283" s="22"/>
      <c r="G4283" s="22"/>
      <c r="H4283" s="21"/>
      <c r="I4283" s="21"/>
      <c r="J4283" s="23"/>
    </row>
    <row r="4284" ht="15.75" customHeight="1">
      <c r="B4284" s="15"/>
      <c r="C4284" s="16"/>
      <c r="D4284" s="16"/>
      <c r="E4284" s="16"/>
      <c r="F4284" s="17"/>
      <c r="G4284" s="17"/>
      <c r="H4284" s="16"/>
      <c r="I4284" s="16"/>
      <c r="J4284" s="19"/>
    </row>
    <row r="4285" ht="15.75" customHeight="1">
      <c r="B4285" s="20"/>
      <c r="C4285" s="21"/>
      <c r="D4285" s="21"/>
      <c r="E4285" s="21"/>
      <c r="F4285" s="22"/>
      <c r="G4285" s="22"/>
      <c r="H4285" s="21"/>
      <c r="I4285" s="21"/>
      <c r="J4285" s="23"/>
    </row>
    <row r="4286" ht="15.75" customHeight="1">
      <c r="B4286" s="15"/>
      <c r="C4286" s="16"/>
      <c r="D4286" s="16"/>
      <c r="E4286" s="16"/>
      <c r="F4286" s="17"/>
      <c r="G4286" s="17"/>
      <c r="H4286" s="16"/>
      <c r="I4286" s="16"/>
      <c r="J4286" s="19"/>
    </row>
    <row r="4287" ht="15.75" customHeight="1">
      <c r="B4287" s="20"/>
      <c r="C4287" s="21"/>
      <c r="D4287" s="21"/>
      <c r="E4287" s="21"/>
      <c r="F4287" s="22"/>
      <c r="G4287" s="22"/>
      <c r="H4287" s="21"/>
      <c r="I4287" s="21"/>
      <c r="J4287" s="23"/>
    </row>
    <row r="4288" ht="15.75" customHeight="1">
      <c r="B4288" s="15"/>
      <c r="C4288" s="16"/>
      <c r="D4288" s="16"/>
      <c r="E4288" s="16"/>
      <c r="F4288" s="17"/>
      <c r="G4288" s="17"/>
      <c r="H4288" s="16"/>
      <c r="I4288" s="16"/>
      <c r="J4288" s="19"/>
    </row>
    <row r="4289" ht="15.75" customHeight="1">
      <c r="B4289" s="20"/>
      <c r="C4289" s="21"/>
      <c r="D4289" s="21"/>
      <c r="E4289" s="21"/>
      <c r="F4289" s="22"/>
      <c r="G4289" s="22"/>
      <c r="H4289" s="21"/>
      <c r="I4289" s="21"/>
      <c r="J4289" s="23"/>
    </row>
    <row r="4290" ht="15.75" customHeight="1">
      <c r="B4290" s="15"/>
      <c r="C4290" s="16"/>
      <c r="D4290" s="16"/>
      <c r="E4290" s="16"/>
      <c r="F4290" s="17"/>
      <c r="G4290" s="17"/>
      <c r="H4290" s="16"/>
      <c r="I4290" s="16"/>
      <c r="J4290" s="19"/>
    </row>
    <row r="4291" ht="15.75" customHeight="1">
      <c r="B4291" s="20"/>
      <c r="C4291" s="21"/>
      <c r="D4291" s="21"/>
      <c r="E4291" s="21"/>
      <c r="F4291" s="22"/>
      <c r="G4291" s="22"/>
      <c r="H4291" s="21"/>
      <c r="I4291" s="21"/>
      <c r="J4291" s="23"/>
    </row>
    <row r="4292" ht="15.75" customHeight="1">
      <c r="B4292" s="15"/>
      <c r="C4292" s="16"/>
      <c r="D4292" s="16"/>
      <c r="E4292" s="16"/>
      <c r="F4292" s="17"/>
      <c r="G4292" s="17"/>
      <c r="H4292" s="16"/>
      <c r="I4292" s="16"/>
      <c r="J4292" s="19"/>
    </row>
    <row r="4293" ht="15.75" customHeight="1">
      <c r="B4293" s="20"/>
      <c r="C4293" s="21"/>
      <c r="D4293" s="21"/>
      <c r="E4293" s="21"/>
      <c r="F4293" s="22"/>
      <c r="G4293" s="22"/>
      <c r="H4293" s="21"/>
      <c r="I4293" s="21"/>
      <c r="J4293" s="23"/>
    </row>
    <row r="4294" ht="15.75" customHeight="1">
      <c r="B4294" s="15"/>
      <c r="C4294" s="16"/>
      <c r="D4294" s="16"/>
      <c r="E4294" s="16"/>
      <c r="F4294" s="17"/>
      <c r="G4294" s="17"/>
      <c r="H4294" s="16"/>
      <c r="I4294" s="16"/>
      <c r="J4294" s="19"/>
    </row>
    <row r="4295" ht="15.75" customHeight="1">
      <c r="B4295" s="20"/>
      <c r="C4295" s="21"/>
      <c r="D4295" s="21"/>
      <c r="E4295" s="21"/>
      <c r="F4295" s="22"/>
      <c r="G4295" s="22"/>
      <c r="H4295" s="21"/>
      <c r="I4295" s="21"/>
      <c r="J4295" s="23"/>
    </row>
    <row r="4296" ht="15.75" customHeight="1">
      <c r="B4296" s="15"/>
      <c r="C4296" s="16"/>
      <c r="D4296" s="16"/>
      <c r="E4296" s="16"/>
      <c r="F4296" s="17"/>
      <c r="G4296" s="17"/>
      <c r="H4296" s="16"/>
      <c r="I4296" s="16"/>
      <c r="J4296" s="19"/>
    </row>
    <row r="4297" ht="15.75" customHeight="1">
      <c r="B4297" s="20"/>
      <c r="C4297" s="21"/>
      <c r="D4297" s="21"/>
      <c r="E4297" s="21"/>
      <c r="F4297" s="22"/>
      <c r="G4297" s="22"/>
      <c r="H4297" s="21"/>
      <c r="I4297" s="21"/>
      <c r="J4297" s="23"/>
    </row>
    <row r="4298" ht="15.75" customHeight="1">
      <c r="B4298" s="15"/>
      <c r="C4298" s="16"/>
      <c r="D4298" s="16"/>
      <c r="E4298" s="16"/>
      <c r="F4298" s="17"/>
      <c r="G4298" s="17"/>
      <c r="H4298" s="16"/>
      <c r="I4298" s="16"/>
      <c r="J4298" s="19"/>
    </row>
    <row r="4299" ht="15.75" customHeight="1">
      <c r="B4299" s="20"/>
      <c r="C4299" s="21"/>
      <c r="D4299" s="21"/>
      <c r="E4299" s="21"/>
      <c r="F4299" s="22"/>
      <c r="G4299" s="22"/>
      <c r="H4299" s="21"/>
      <c r="I4299" s="21"/>
      <c r="J4299" s="23"/>
    </row>
    <row r="4300" ht="15.75" customHeight="1">
      <c r="B4300" s="15"/>
      <c r="C4300" s="16"/>
      <c r="D4300" s="16"/>
      <c r="E4300" s="16"/>
      <c r="F4300" s="17"/>
      <c r="G4300" s="17"/>
      <c r="H4300" s="16"/>
      <c r="I4300" s="16"/>
      <c r="J4300" s="19"/>
    </row>
    <row r="4301" ht="15.75" customHeight="1">
      <c r="B4301" s="20"/>
      <c r="C4301" s="21"/>
      <c r="D4301" s="21"/>
      <c r="E4301" s="21"/>
      <c r="F4301" s="22"/>
      <c r="G4301" s="22"/>
      <c r="H4301" s="21"/>
      <c r="I4301" s="21"/>
      <c r="J4301" s="23"/>
    </row>
    <row r="4302" ht="15.75" customHeight="1">
      <c r="B4302" s="15"/>
      <c r="C4302" s="16"/>
      <c r="D4302" s="16"/>
      <c r="E4302" s="16"/>
      <c r="F4302" s="17"/>
      <c r="G4302" s="17"/>
      <c r="H4302" s="16"/>
      <c r="I4302" s="16"/>
      <c r="J4302" s="19"/>
    </row>
    <row r="4303" ht="15.75" customHeight="1">
      <c r="B4303" s="20"/>
      <c r="C4303" s="21"/>
      <c r="D4303" s="21"/>
      <c r="E4303" s="21"/>
      <c r="F4303" s="22"/>
      <c r="G4303" s="22"/>
      <c r="H4303" s="21"/>
      <c r="I4303" s="21"/>
      <c r="J4303" s="23"/>
    </row>
    <row r="4304" ht="15.75" customHeight="1">
      <c r="B4304" s="15"/>
      <c r="C4304" s="16"/>
      <c r="D4304" s="16"/>
      <c r="E4304" s="16"/>
      <c r="F4304" s="17"/>
      <c r="G4304" s="17"/>
      <c r="H4304" s="16"/>
      <c r="I4304" s="16"/>
      <c r="J4304" s="19"/>
    </row>
    <row r="4305" ht="15.75" customHeight="1">
      <c r="B4305" s="20"/>
      <c r="C4305" s="21"/>
      <c r="D4305" s="21"/>
      <c r="E4305" s="21"/>
      <c r="F4305" s="22"/>
      <c r="G4305" s="22"/>
      <c r="H4305" s="21"/>
      <c r="I4305" s="21"/>
      <c r="J4305" s="23"/>
    </row>
    <row r="4306" ht="15.75" customHeight="1">
      <c r="B4306" s="15"/>
      <c r="C4306" s="16"/>
      <c r="D4306" s="16"/>
      <c r="E4306" s="16"/>
      <c r="F4306" s="17"/>
      <c r="G4306" s="17"/>
      <c r="H4306" s="16"/>
      <c r="I4306" s="16"/>
      <c r="J4306" s="19"/>
    </row>
    <row r="4307" ht="15.75" customHeight="1">
      <c r="B4307" s="20"/>
      <c r="C4307" s="21"/>
      <c r="D4307" s="21"/>
      <c r="E4307" s="21"/>
      <c r="F4307" s="22"/>
      <c r="G4307" s="22"/>
      <c r="H4307" s="21"/>
      <c r="I4307" s="21"/>
      <c r="J4307" s="23"/>
    </row>
    <row r="4308" ht="15.75" customHeight="1">
      <c r="B4308" s="15"/>
      <c r="C4308" s="16"/>
      <c r="D4308" s="16"/>
      <c r="E4308" s="16"/>
      <c r="F4308" s="17"/>
      <c r="G4308" s="17"/>
      <c r="H4308" s="16"/>
      <c r="I4308" s="16"/>
      <c r="J4308" s="19"/>
    </row>
    <row r="4309" ht="15.75" customHeight="1">
      <c r="B4309" s="20"/>
      <c r="C4309" s="21"/>
      <c r="D4309" s="21"/>
      <c r="E4309" s="21"/>
      <c r="F4309" s="22"/>
      <c r="G4309" s="22"/>
      <c r="H4309" s="21"/>
      <c r="I4309" s="21"/>
      <c r="J4309" s="23"/>
    </row>
    <row r="4310" ht="15.75" customHeight="1">
      <c r="B4310" s="15"/>
      <c r="C4310" s="16"/>
      <c r="D4310" s="16"/>
      <c r="E4310" s="16"/>
      <c r="F4310" s="17"/>
      <c r="G4310" s="17"/>
      <c r="H4310" s="16"/>
      <c r="I4310" s="16"/>
      <c r="J4310" s="19"/>
    </row>
    <row r="4311" ht="15.75" customHeight="1">
      <c r="B4311" s="20"/>
      <c r="C4311" s="21"/>
      <c r="D4311" s="21"/>
      <c r="E4311" s="21"/>
      <c r="F4311" s="22"/>
      <c r="G4311" s="22"/>
      <c r="H4311" s="21"/>
      <c r="I4311" s="21"/>
      <c r="J4311" s="23"/>
    </row>
    <row r="4312" ht="15.75" customHeight="1">
      <c r="B4312" s="15"/>
      <c r="C4312" s="16"/>
      <c r="D4312" s="16"/>
      <c r="E4312" s="16"/>
      <c r="F4312" s="17"/>
      <c r="G4312" s="17"/>
      <c r="H4312" s="16"/>
      <c r="I4312" s="16"/>
      <c r="J4312" s="19"/>
    </row>
    <row r="4313" ht="15.75" customHeight="1">
      <c r="B4313" s="20"/>
      <c r="C4313" s="21"/>
      <c r="D4313" s="21"/>
      <c r="E4313" s="21"/>
      <c r="F4313" s="22"/>
      <c r="G4313" s="22"/>
      <c r="H4313" s="21"/>
      <c r="I4313" s="21"/>
      <c r="J4313" s="23"/>
    </row>
    <row r="4314" ht="15.75" customHeight="1">
      <c r="B4314" s="15"/>
      <c r="C4314" s="16"/>
      <c r="D4314" s="16"/>
      <c r="E4314" s="16"/>
      <c r="F4314" s="17"/>
      <c r="G4314" s="17"/>
      <c r="H4314" s="16"/>
      <c r="I4314" s="16"/>
      <c r="J4314" s="19"/>
    </row>
    <row r="4315" ht="15.75" customHeight="1">
      <c r="B4315" s="20"/>
      <c r="C4315" s="21"/>
      <c r="D4315" s="21"/>
      <c r="E4315" s="21"/>
      <c r="F4315" s="22"/>
      <c r="G4315" s="22"/>
      <c r="H4315" s="21"/>
      <c r="I4315" s="21"/>
      <c r="J4315" s="23"/>
    </row>
    <row r="4316" ht="15.75" customHeight="1">
      <c r="B4316" s="15"/>
      <c r="C4316" s="16"/>
      <c r="D4316" s="16"/>
      <c r="E4316" s="16"/>
      <c r="F4316" s="17"/>
      <c r="G4316" s="17"/>
      <c r="H4316" s="16"/>
      <c r="I4316" s="16"/>
      <c r="J4316" s="19"/>
    </row>
    <row r="4317" ht="15.75" customHeight="1">
      <c r="B4317" s="20"/>
      <c r="C4317" s="21"/>
      <c r="D4317" s="21"/>
      <c r="E4317" s="21"/>
      <c r="F4317" s="22"/>
      <c r="G4317" s="22"/>
      <c r="H4317" s="21"/>
      <c r="I4317" s="21"/>
      <c r="J4317" s="23"/>
    </row>
    <row r="4318" ht="15.75" customHeight="1">
      <c r="B4318" s="15"/>
      <c r="C4318" s="16"/>
      <c r="D4318" s="16"/>
      <c r="E4318" s="16"/>
      <c r="F4318" s="17"/>
      <c r="G4318" s="17"/>
      <c r="H4318" s="16"/>
      <c r="I4318" s="16"/>
      <c r="J4318" s="19"/>
    </row>
    <row r="4319" ht="15.75" customHeight="1">
      <c r="B4319" s="20"/>
      <c r="C4319" s="21"/>
      <c r="D4319" s="21"/>
      <c r="E4319" s="21"/>
      <c r="F4319" s="22"/>
      <c r="G4319" s="22"/>
      <c r="H4319" s="21"/>
      <c r="I4319" s="21"/>
      <c r="J4319" s="23"/>
    </row>
    <row r="4320" ht="15.75" customHeight="1">
      <c r="B4320" s="15"/>
      <c r="C4320" s="16"/>
      <c r="D4320" s="16"/>
      <c r="E4320" s="16"/>
      <c r="F4320" s="17"/>
      <c r="G4320" s="17"/>
      <c r="H4320" s="16"/>
      <c r="I4320" s="16"/>
      <c r="J4320" s="19"/>
    </row>
    <row r="4321" ht="15.75" customHeight="1">
      <c r="B4321" s="20"/>
      <c r="C4321" s="21"/>
      <c r="D4321" s="21"/>
      <c r="E4321" s="21"/>
      <c r="F4321" s="22"/>
      <c r="G4321" s="22"/>
      <c r="H4321" s="21"/>
      <c r="I4321" s="21"/>
      <c r="J4321" s="23"/>
    </row>
    <row r="4322" ht="15.75" customHeight="1">
      <c r="B4322" s="15"/>
      <c r="C4322" s="16"/>
      <c r="D4322" s="16"/>
      <c r="E4322" s="16"/>
      <c r="F4322" s="17"/>
      <c r="G4322" s="17"/>
      <c r="H4322" s="16"/>
      <c r="I4322" s="16"/>
      <c r="J4322" s="19"/>
    </row>
    <row r="4323" ht="15.75" customHeight="1">
      <c r="B4323" s="20"/>
      <c r="C4323" s="21"/>
      <c r="D4323" s="21"/>
      <c r="E4323" s="21"/>
      <c r="F4323" s="22"/>
      <c r="G4323" s="22"/>
      <c r="H4323" s="21"/>
      <c r="I4323" s="21"/>
      <c r="J4323" s="23"/>
    </row>
    <row r="4324" ht="15.75" customHeight="1">
      <c r="B4324" s="15"/>
      <c r="C4324" s="16"/>
      <c r="D4324" s="16"/>
      <c r="E4324" s="16"/>
      <c r="F4324" s="17"/>
      <c r="G4324" s="17"/>
      <c r="H4324" s="16"/>
      <c r="I4324" s="16"/>
      <c r="J4324" s="19"/>
    </row>
    <row r="4325" ht="15.75" customHeight="1">
      <c r="B4325" s="20"/>
      <c r="C4325" s="21"/>
      <c r="D4325" s="21"/>
      <c r="E4325" s="21"/>
      <c r="F4325" s="22"/>
      <c r="G4325" s="22"/>
      <c r="H4325" s="21"/>
      <c r="I4325" s="21"/>
      <c r="J4325" s="23"/>
    </row>
    <row r="4326" ht="15.75" customHeight="1">
      <c r="B4326" s="15"/>
      <c r="C4326" s="16"/>
      <c r="D4326" s="16"/>
      <c r="E4326" s="16"/>
      <c r="F4326" s="17"/>
      <c r="G4326" s="17"/>
      <c r="H4326" s="16"/>
      <c r="I4326" s="16"/>
      <c r="J4326" s="19"/>
    </row>
    <row r="4327" ht="15.75" customHeight="1">
      <c r="B4327" s="20"/>
      <c r="C4327" s="21"/>
      <c r="D4327" s="21"/>
      <c r="E4327" s="21"/>
      <c r="F4327" s="22"/>
      <c r="G4327" s="22"/>
      <c r="H4327" s="21"/>
      <c r="I4327" s="21"/>
      <c r="J4327" s="23"/>
    </row>
    <row r="4328" ht="15.75" customHeight="1">
      <c r="B4328" s="15"/>
      <c r="C4328" s="16"/>
      <c r="D4328" s="16"/>
      <c r="E4328" s="16"/>
      <c r="F4328" s="17"/>
      <c r="G4328" s="17"/>
      <c r="H4328" s="16"/>
      <c r="I4328" s="16"/>
      <c r="J4328" s="19"/>
    </row>
    <row r="4329" ht="15.75" customHeight="1">
      <c r="B4329" s="20"/>
      <c r="C4329" s="21"/>
      <c r="D4329" s="21"/>
      <c r="E4329" s="21"/>
      <c r="F4329" s="22"/>
      <c r="G4329" s="22"/>
      <c r="H4329" s="21"/>
      <c r="I4329" s="21"/>
      <c r="J4329" s="23"/>
    </row>
    <row r="4330" ht="15.75" customHeight="1">
      <c r="B4330" s="15"/>
      <c r="C4330" s="16"/>
      <c r="D4330" s="16"/>
      <c r="E4330" s="16"/>
      <c r="F4330" s="17"/>
      <c r="G4330" s="17"/>
      <c r="H4330" s="16"/>
      <c r="I4330" s="16"/>
      <c r="J4330" s="19"/>
    </row>
    <row r="4331" ht="15.75" customHeight="1">
      <c r="B4331" s="20"/>
      <c r="C4331" s="21"/>
      <c r="D4331" s="21"/>
      <c r="E4331" s="21"/>
      <c r="F4331" s="22"/>
      <c r="G4331" s="22"/>
      <c r="H4331" s="21"/>
      <c r="I4331" s="21"/>
      <c r="J4331" s="23"/>
    </row>
    <row r="4332" ht="15.75" customHeight="1">
      <c r="B4332" s="15"/>
      <c r="C4332" s="16"/>
      <c r="D4332" s="16"/>
      <c r="E4332" s="16"/>
      <c r="F4332" s="17"/>
      <c r="G4332" s="17"/>
      <c r="H4332" s="16"/>
      <c r="I4332" s="16"/>
      <c r="J4332" s="19"/>
    </row>
    <row r="4333" ht="15.75" customHeight="1">
      <c r="B4333" s="20"/>
      <c r="C4333" s="21"/>
      <c r="D4333" s="21"/>
      <c r="E4333" s="21"/>
      <c r="F4333" s="22"/>
      <c r="G4333" s="22"/>
      <c r="H4333" s="21"/>
      <c r="I4333" s="21"/>
      <c r="J4333" s="23"/>
    </row>
    <row r="4334" ht="15.75" customHeight="1">
      <c r="B4334" s="15"/>
      <c r="C4334" s="16"/>
      <c r="D4334" s="16"/>
      <c r="E4334" s="16"/>
      <c r="F4334" s="17"/>
      <c r="G4334" s="17"/>
      <c r="H4334" s="16"/>
      <c r="I4334" s="16"/>
      <c r="J4334" s="19"/>
    </row>
    <row r="4335" ht="15.75" customHeight="1">
      <c r="B4335" s="20"/>
      <c r="C4335" s="21"/>
      <c r="D4335" s="21"/>
      <c r="E4335" s="21"/>
      <c r="F4335" s="22"/>
      <c r="G4335" s="22"/>
      <c r="H4335" s="21"/>
      <c r="I4335" s="21"/>
      <c r="J4335" s="23"/>
    </row>
    <row r="4336" ht="15.75" customHeight="1">
      <c r="B4336" s="15"/>
      <c r="C4336" s="16"/>
      <c r="D4336" s="16"/>
      <c r="E4336" s="16"/>
      <c r="F4336" s="17"/>
      <c r="G4336" s="17"/>
      <c r="H4336" s="16"/>
      <c r="I4336" s="16"/>
      <c r="J4336" s="19"/>
    </row>
    <row r="4337" ht="15.75" customHeight="1">
      <c r="B4337" s="20"/>
      <c r="C4337" s="21"/>
      <c r="D4337" s="21"/>
      <c r="E4337" s="21"/>
      <c r="F4337" s="22"/>
      <c r="G4337" s="22"/>
      <c r="H4337" s="21"/>
      <c r="I4337" s="21"/>
      <c r="J4337" s="23"/>
    </row>
    <row r="4338" ht="15.75" customHeight="1">
      <c r="B4338" s="15"/>
      <c r="C4338" s="16"/>
      <c r="D4338" s="16"/>
      <c r="E4338" s="16"/>
      <c r="F4338" s="17"/>
      <c r="G4338" s="17"/>
      <c r="H4338" s="16"/>
      <c r="I4338" s="16"/>
      <c r="J4338" s="19"/>
    </row>
    <row r="4339" ht="15.75" customHeight="1">
      <c r="B4339" s="20"/>
      <c r="C4339" s="21"/>
      <c r="D4339" s="21"/>
      <c r="E4339" s="21"/>
      <c r="F4339" s="22"/>
      <c r="G4339" s="22"/>
      <c r="H4339" s="21"/>
      <c r="I4339" s="21"/>
      <c r="J4339" s="23"/>
    </row>
    <row r="4340" ht="15.75" customHeight="1">
      <c r="B4340" s="15"/>
      <c r="C4340" s="16"/>
      <c r="D4340" s="16"/>
      <c r="E4340" s="16"/>
      <c r="F4340" s="17"/>
      <c r="G4340" s="17"/>
      <c r="H4340" s="16"/>
      <c r="I4340" s="16"/>
      <c r="J4340" s="19"/>
    </row>
    <row r="4341" ht="15.75" customHeight="1">
      <c r="B4341" s="20"/>
      <c r="C4341" s="21"/>
      <c r="D4341" s="21"/>
      <c r="E4341" s="21"/>
      <c r="F4341" s="22"/>
      <c r="G4341" s="22"/>
      <c r="H4341" s="21"/>
      <c r="I4341" s="21"/>
      <c r="J4341" s="23"/>
    </row>
    <row r="4342" ht="15.75" customHeight="1">
      <c r="B4342" s="15"/>
      <c r="C4342" s="16"/>
      <c r="D4342" s="16"/>
      <c r="E4342" s="16"/>
      <c r="F4342" s="17"/>
      <c r="G4342" s="17"/>
      <c r="H4342" s="16"/>
      <c r="I4342" s="16"/>
      <c r="J4342" s="19"/>
    </row>
    <row r="4343" ht="15.75" customHeight="1">
      <c r="B4343" s="20"/>
      <c r="C4343" s="21"/>
      <c r="D4343" s="21"/>
      <c r="E4343" s="21"/>
      <c r="F4343" s="22"/>
      <c r="G4343" s="22"/>
      <c r="H4343" s="21"/>
      <c r="I4343" s="21"/>
      <c r="J4343" s="23"/>
    </row>
    <row r="4344" ht="15.75" customHeight="1">
      <c r="B4344" s="15"/>
      <c r="C4344" s="16"/>
      <c r="D4344" s="16"/>
      <c r="E4344" s="16"/>
      <c r="F4344" s="17"/>
      <c r="G4344" s="17"/>
      <c r="H4344" s="16"/>
      <c r="I4344" s="16"/>
      <c r="J4344" s="19"/>
    </row>
    <row r="4345" ht="15.75" customHeight="1">
      <c r="B4345" s="20"/>
      <c r="C4345" s="21"/>
      <c r="D4345" s="21"/>
      <c r="E4345" s="21"/>
      <c r="F4345" s="22"/>
      <c r="G4345" s="22"/>
      <c r="H4345" s="21"/>
      <c r="I4345" s="21"/>
      <c r="J4345" s="23"/>
    </row>
    <row r="4346" ht="15.75" customHeight="1">
      <c r="B4346" s="15"/>
      <c r="C4346" s="16"/>
      <c r="D4346" s="16"/>
      <c r="E4346" s="16"/>
      <c r="F4346" s="17"/>
      <c r="G4346" s="17"/>
      <c r="H4346" s="16"/>
      <c r="I4346" s="16"/>
      <c r="J4346" s="19"/>
    </row>
    <row r="4347" ht="15.75" customHeight="1">
      <c r="B4347" s="20"/>
      <c r="C4347" s="21"/>
      <c r="D4347" s="21"/>
      <c r="E4347" s="21"/>
      <c r="F4347" s="22"/>
      <c r="G4347" s="22"/>
      <c r="H4347" s="21"/>
      <c r="I4347" s="21"/>
      <c r="J4347" s="23"/>
    </row>
    <row r="4348" ht="15.75" customHeight="1">
      <c r="B4348" s="15"/>
      <c r="C4348" s="16"/>
      <c r="D4348" s="16"/>
      <c r="E4348" s="16"/>
      <c r="F4348" s="17"/>
      <c r="G4348" s="17"/>
      <c r="H4348" s="16"/>
      <c r="I4348" s="16"/>
      <c r="J4348" s="19"/>
    </row>
    <row r="4349" ht="15.75" customHeight="1">
      <c r="B4349" s="20"/>
      <c r="C4349" s="21"/>
      <c r="D4349" s="21"/>
      <c r="E4349" s="21"/>
      <c r="F4349" s="22"/>
      <c r="G4349" s="22"/>
      <c r="H4349" s="21"/>
      <c r="I4349" s="21"/>
      <c r="J4349" s="23"/>
    </row>
    <row r="4350" ht="15.75" customHeight="1">
      <c r="B4350" s="15"/>
      <c r="C4350" s="16"/>
      <c r="D4350" s="16"/>
      <c r="E4350" s="16"/>
      <c r="F4350" s="17"/>
      <c r="G4350" s="17"/>
      <c r="H4350" s="16"/>
      <c r="I4350" s="16"/>
      <c r="J4350" s="19"/>
    </row>
    <row r="4351" ht="15.75" customHeight="1">
      <c r="B4351" s="20"/>
      <c r="C4351" s="21"/>
      <c r="D4351" s="21"/>
      <c r="E4351" s="21"/>
      <c r="F4351" s="22"/>
      <c r="G4351" s="22"/>
      <c r="H4351" s="21"/>
      <c r="I4351" s="21"/>
      <c r="J4351" s="23"/>
    </row>
    <row r="4352" ht="15.75" customHeight="1">
      <c r="B4352" s="15"/>
      <c r="C4352" s="16"/>
      <c r="D4352" s="16"/>
      <c r="E4352" s="16"/>
      <c r="F4352" s="17"/>
      <c r="G4352" s="17"/>
      <c r="H4352" s="16"/>
      <c r="I4352" s="16"/>
      <c r="J4352" s="19"/>
    </row>
    <row r="4353" ht="15.75" customHeight="1">
      <c r="B4353" s="20"/>
      <c r="C4353" s="21"/>
      <c r="D4353" s="21"/>
      <c r="E4353" s="21"/>
      <c r="F4353" s="22"/>
      <c r="G4353" s="22"/>
      <c r="H4353" s="21"/>
      <c r="I4353" s="21"/>
      <c r="J4353" s="23"/>
    </row>
    <row r="4354" ht="15.75" customHeight="1">
      <c r="B4354" s="15"/>
      <c r="C4354" s="16"/>
      <c r="D4354" s="16"/>
      <c r="E4354" s="16"/>
      <c r="F4354" s="17"/>
      <c r="G4354" s="17"/>
      <c r="H4354" s="16"/>
      <c r="I4354" s="16"/>
      <c r="J4354" s="19"/>
    </row>
    <row r="4355" ht="15.75" customHeight="1">
      <c r="B4355" s="20"/>
      <c r="C4355" s="21"/>
      <c r="D4355" s="21"/>
      <c r="E4355" s="21"/>
      <c r="F4355" s="22"/>
      <c r="G4355" s="22"/>
      <c r="H4355" s="21"/>
      <c r="I4355" s="21"/>
      <c r="J4355" s="23"/>
    </row>
    <row r="4356" ht="15.75" customHeight="1">
      <c r="B4356" s="15"/>
      <c r="C4356" s="16"/>
      <c r="D4356" s="16"/>
      <c r="E4356" s="16"/>
      <c r="F4356" s="17"/>
      <c r="G4356" s="17"/>
      <c r="H4356" s="16"/>
      <c r="I4356" s="16"/>
      <c r="J4356" s="19"/>
    </row>
    <row r="4357" ht="15.75" customHeight="1">
      <c r="B4357" s="20"/>
      <c r="C4357" s="21"/>
      <c r="D4357" s="21"/>
      <c r="E4357" s="21"/>
      <c r="F4357" s="22"/>
      <c r="G4357" s="22"/>
      <c r="H4357" s="21"/>
      <c r="I4357" s="21"/>
      <c r="J4357" s="23"/>
    </row>
    <row r="4358" ht="15.75" customHeight="1">
      <c r="B4358" s="15"/>
      <c r="C4358" s="16"/>
      <c r="D4358" s="16"/>
      <c r="E4358" s="16"/>
      <c r="F4358" s="17"/>
      <c r="G4358" s="17"/>
      <c r="H4358" s="16"/>
      <c r="I4358" s="16"/>
      <c r="J4358" s="19"/>
    </row>
    <row r="4359" ht="15.75" customHeight="1">
      <c r="B4359" s="20"/>
      <c r="C4359" s="21"/>
      <c r="D4359" s="21"/>
      <c r="E4359" s="21"/>
      <c r="F4359" s="22"/>
      <c r="G4359" s="22"/>
      <c r="H4359" s="21"/>
      <c r="I4359" s="21"/>
      <c r="J4359" s="23"/>
    </row>
    <row r="4360" ht="15.75" customHeight="1">
      <c r="B4360" s="15"/>
      <c r="C4360" s="16"/>
      <c r="D4360" s="16"/>
      <c r="E4360" s="16"/>
      <c r="F4360" s="17"/>
      <c r="G4360" s="17"/>
      <c r="H4360" s="16"/>
      <c r="I4360" s="16"/>
      <c r="J4360" s="19"/>
    </row>
    <row r="4361" ht="15.75" customHeight="1">
      <c r="B4361" s="20"/>
      <c r="C4361" s="21"/>
      <c r="D4361" s="21"/>
      <c r="E4361" s="21"/>
      <c r="F4361" s="22"/>
      <c r="G4361" s="22"/>
      <c r="H4361" s="21"/>
      <c r="I4361" s="21"/>
      <c r="J4361" s="23"/>
    </row>
    <row r="4362" ht="15.75" customHeight="1">
      <c r="B4362" s="15"/>
      <c r="C4362" s="16"/>
      <c r="D4362" s="16"/>
      <c r="E4362" s="16"/>
      <c r="F4362" s="17"/>
      <c r="G4362" s="17"/>
      <c r="H4362" s="16"/>
      <c r="I4362" s="16"/>
      <c r="J4362" s="19"/>
    </row>
    <row r="4363" ht="15.75" customHeight="1">
      <c r="B4363" s="20"/>
      <c r="C4363" s="21"/>
      <c r="D4363" s="21"/>
      <c r="E4363" s="21"/>
      <c r="F4363" s="22"/>
      <c r="G4363" s="22"/>
      <c r="H4363" s="21"/>
      <c r="I4363" s="21"/>
      <c r="J4363" s="23"/>
    </row>
    <row r="4364" ht="15.75" customHeight="1">
      <c r="B4364" s="15"/>
      <c r="C4364" s="16"/>
      <c r="D4364" s="16"/>
      <c r="E4364" s="16"/>
      <c r="F4364" s="17"/>
      <c r="G4364" s="17"/>
      <c r="H4364" s="16"/>
      <c r="I4364" s="16"/>
      <c r="J4364" s="19"/>
    </row>
    <row r="4365" ht="15.75" customHeight="1">
      <c r="B4365" s="20"/>
      <c r="C4365" s="21"/>
      <c r="D4365" s="21"/>
      <c r="E4365" s="21"/>
      <c r="F4365" s="22"/>
      <c r="G4365" s="22"/>
      <c r="H4365" s="21"/>
      <c r="I4365" s="21"/>
      <c r="J4365" s="23"/>
    </row>
    <row r="4366" ht="15.75" customHeight="1">
      <c r="B4366" s="15"/>
      <c r="C4366" s="16"/>
      <c r="D4366" s="16"/>
      <c r="E4366" s="16"/>
      <c r="F4366" s="17"/>
      <c r="G4366" s="17"/>
      <c r="H4366" s="16"/>
      <c r="I4366" s="16"/>
      <c r="J4366" s="19"/>
    </row>
    <row r="4367" ht="15.75" customHeight="1">
      <c r="B4367" s="20"/>
      <c r="C4367" s="21"/>
      <c r="D4367" s="21"/>
      <c r="E4367" s="21"/>
      <c r="F4367" s="22"/>
      <c r="G4367" s="22"/>
      <c r="H4367" s="21"/>
      <c r="I4367" s="21"/>
      <c r="J4367" s="23"/>
    </row>
    <row r="4368" ht="15.75" customHeight="1">
      <c r="B4368" s="15"/>
      <c r="C4368" s="16"/>
      <c r="D4368" s="16"/>
      <c r="E4368" s="16"/>
      <c r="F4368" s="17"/>
      <c r="G4368" s="17"/>
      <c r="H4368" s="16"/>
      <c r="I4368" s="16"/>
      <c r="J4368" s="19"/>
    </row>
    <row r="4369" ht="15.75" customHeight="1">
      <c r="B4369" s="20"/>
      <c r="C4369" s="21"/>
      <c r="D4369" s="21"/>
      <c r="E4369" s="21"/>
      <c r="F4369" s="22"/>
      <c r="G4369" s="22"/>
      <c r="H4369" s="21"/>
      <c r="I4369" s="21"/>
      <c r="J4369" s="23"/>
    </row>
    <row r="4370" ht="15.75" customHeight="1">
      <c r="B4370" s="15"/>
      <c r="C4370" s="16"/>
      <c r="D4370" s="16"/>
      <c r="E4370" s="16"/>
      <c r="F4370" s="17"/>
      <c r="G4370" s="17"/>
      <c r="H4370" s="16"/>
      <c r="I4370" s="16"/>
      <c r="J4370" s="19"/>
    </row>
    <row r="4371" ht="15.75" customHeight="1">
      <c r="B4371" s="20"/>
      <c r="C4371" s="21"/>
      <c r="D4371" s="21"/>
      <c r="E4371" s="21"/>
      <c r="F4371" s="22"/>
      <c r="G4371" s="22"/>
      <c r="H4371" s="21"/>
      <c r="I4371" s="21"/>
      <c r="J4371" s="23"/>
    </row>
    <row r="4372" ht="15.75" customHeight="1">
      <c r="B4372" s="15"/>
      <c r="C4372" s="16"/>
      <c r="D4372" s="16"/>
      <c r="E4372" s="16"/>
      <c r="F4372" s="17"/>
      <c r="G4372" s="17"/>
      <c r="H4372" s="16"/>
      <c r="I4372" s="16"/>
      <c r="J4372" s="19"/>
    </row>
    <row r="4373" ht="15.75" customHeight="1">
      <c r="B4373" s="20"/>
      <c r="C4373" s="21"/>
      <c r="D4373" s="21"/>
      <c r="E4373" s="21"/>
      <c r="F4373" s="22"/>
      <c r="G4373" s="22"/>
      <c r="H4373" s="21"/>
      <c r="I4373" s="21"/>
      <c r="J4373" s="23"/>
    </row>
    <row r="4374" ht="15.75" customHeight="1">
      <c r="B4374" s="15"/>
      <c r="C4374" s="16"/>
      <c r="D4374" s="16"/>
      <c r="E4374" s="16"/>
      <c r="F4374" s="17"/>
      <c r="G4374" s="17"/>
      <c r="H4374" s="16"/>
      <c r="I4374" s="16"/>
      <c r="J4374" s="19"/>
    </row>
    <row r="4375" ht="15.75" customHeight="1">
      <c r="B4375" s="20"/>
      <c r="C4375" s="21"/>
      <c r="D4375" s="21"/>
      <c r="E4375" s="21"/>
      <c r="F4375" s="22"/>
      <c r="G4375" s="22"/>
      <c r="H4375" s="21"/>
      <c r="I4375" s="21"/>
      <c r="J4375" s="23"/>
    </row>
    <row r="4376" ht="15.75" customHeight="1">
      <c r="B4376" s="15"/>
      <c r="C4376" s="16"/>
      <c r="D4376" s="16"/>
      <c r="E4376" s="16"/>
      <c r="F4376" s="17"/>
      <c r="G4376" s="17"/>
      <c r="H4376" s="16"/>
      <c r="I4376" s="16"/>
      <c r="J4376" s="19"/>
    </row>
    <row r="4377" ht="15.75" customHeight="1">
      <c r="B4377" s="20"/>
      <c r="C4377" s="21"/>
      <c r="D4377" s="21"/>
      <c r="E4377" s="21"/>
      <c r="F4377" s="22"/>
      <c r="G4377" s="22"/>
      <c r="H4377" s="21"/>
      <c r="I4377" s="21"/>
      <c r="J4377" s="23"/>
    </row>
    <row r="4378" ht="15.75" customHeight="1">
      <c r="B4378" s="15"/>
      <c r="C4378" s="16"/>
      <c r="D4378" s="16"/>
      <c r="E4378" s="16"/>
      <c r="F4378" s="17"/>
      <c r="G4378" s="17"/>
      <c r="H4378" s="16"/>
      <c r="I4378" s="16"/>
      <c r="J4378" s="19"/>
    </row>
    <row r="4379" ht="15.75" customHeight="1">
      <c r="B4379" s="20"/>
      <c r="C4379" s="21"/>
      <c r="D4379" s="21"/>
      <c r="E4379" s="21"/>
      <c r="F4379" s="22"/>
      <c r="G4379" s="22"/>
      <c r="H4379" s="21"/>
      <c r="I4379" s="21"/>
      <c r="J4379" s="23"/>
    </row>
    <row r="4380" ht="15.75" customHeight="1">
      <c r="B4380" s="15"/>
      <c r="C4380" s="16"/>
      <c r="D4380" s="16"/>
      <c r="E4380" s="16"/>
      <c r="F4380" s="17"/>
      <c r="G4380" s="17"/>
      <c r="H4380" s="16"/>
      <c r="I4380" s="16"/>
      <c r="J4380" s="19"/>
    </row>
    <row r="4381" ht="15.75" customHeight="1">
      <c r="B4381" s="20"/>
      <c r="C4381" s="21"/>
      <c r="D4381" s="21"/>
      <c r="E4381" s="21"/>
      <c r="F4381" s="22"/>
      <c r="G4381" s="22"/>
      <c r="H4381" s="21"/>
      <c r="I4381" s="21"/>
      <c r="J4381" s="23"/>
    </row>
    <row r="4382" ht="15.75" customHeight="1">
      <c r="B4382" s="15"/>
      <c r="C4382" s="16"/>
      <c r="D4382" s="16"/>
      <c r="E4382" s="16"/>
      <c r="F4382" s="17"/>
      <c r="G4382" s="17"/>
      <c r="H4382" s="16"/>
      <c r="I4382" s="16"/>
      <c r="J4382" s="19"/>
    </row>
    <row r="4383" ht="15.75" customHeight="1">
      <c r="B4383" s="20"/>
      <c r="C4383" s="21"/>
      <c r="D4383" s="21"/>
      <c r="E4383" s="21"/>
      <c r="F4383" s="22"/>
      <c r="G4383" s="22"/>
      <c r="H4383" s="21"/>
      <c r="I4383" s="21"/>
      <c r="J4383" s="23"/>
    </row>
    <row r="4384" ht="15.75" customHeight="1">
      <c r="B4384" s="15"/>
      <c r="C4384" s="16"/>
      <c r="D4384" s="16"/>
      <c r="E4384" s="16"/>
      <c r="F4384" s="17"/>
      <c r="G4384" s="17"/>
      <c r="H4384" s="16"/>
      <c r="I4384" s="16"/>
      <c r="J4384" s="19"/>
    </row>
    <row r="4385" ht="15.75" customHeight="1">
      <c r="B4385" s="20"/>
      <c r="C4385" s="21"/>
      <c r="D4385" s="21"/>
      <c r="E4385" s="21"/>
      <c r="F4385" s="22"/>
      <c r="G4385" s="22"/>
      <c r="H4385" s="21"/>
      <c r="I4385" s="21"/>
      <c r="J4385" s="23"/>
    </row>
    <row r="4386" ht="15.75" customHeight="1">
      <c r="B4386" s="15"/>
      <c r="C4386" s="16"/>
      <c r="D4386" s="16"/>
      <c r="E4386" s="16"/>
      <c r="F4386" s="17"/>
      <c r="G4386" s="17"/>
      <c r="H4386" s="16"/>
      <c r="I4386" s="16"/>
      <c r="J4386" s="19"/>
    </row>
    <row r="4387" ht="15.75" customHeight="1">
      <c r="B4387" s="20"/>
      <c r="C4387" s="21"/>
      <c r="D4387" s="21"/>
      <c r="E4387" s="21"/>
      <c r="F4387" s="22"/>
      <c r="G4387" s="22"/>
      <c r="H4387" s="21"/>
      <c r="I4387" s="21"/>
      <c r="J4387" s="23"/>
    </row>
    <row r="4388" ht="15.75" customHeight="1">
      <c r="B4388" s="15"/>
      <c r="C4388" s="16"/>
      <c r="D4388" s="16"/>
      <c r="E4388" s="16"/>
      <c r="F4388" s="17"/>
      <c r="G4388" s="17"/>
      <c r="H4388" s="16"/>
      <c r="I4388" s="16"/>
      <c r="J4388" s="19"/>
    </row>
    <row r="4389" ht="15.75" customHeight="1">
      <c r="B4389" s="20"/>
      <c r="C4389" s="21"/>
      <c r="D4389" s="21"/>
      <c r="E4389" s="21"/>
      <c r="F4389" s="22"/>
      <c r="G4389" s="22"/>
      <c r="H4389" s="21"/>
      <c r="I4389" s="21"/>
      <c r="J4389" s="23"/>
    </row>
    <row r="4390" ht="15.75" customHeight="1">
      <c r="B4390" s="15"/>
      <c r="C4390" s="16"/>
      <c r="D4390" s="16"/>
      <c r="E4390" s="16"/>
      <c r="F4390" s="17"/>
      <c r="G4390" s="17"/>
      <c r="H4390" s="16"/>
      <c r="I4390" s="16"/>
      <c r="J4390" s="19"/>
    </row>
    <row r="4391" ht="15.75" customHeight="1">
      <c r="B4391" s="20"/>
      <c r="C4391" s="21"/>
      <c r="D4391" s="21"/>
      <c r="E4391" s="21"/>
      <c r="F4391" s="22"/>
      <c r="G4391" s="22"/>
      <c r="H4391" s="21"/>
      <c r="I4391" s="21"/>
      <c r="J4391" s="23"/>
    </row>
    <row r="4392" ht="15.75" customHeight="1">
      <c r="B4392" s="15"/>
      <c r="C4392" s="16"/>
      <c r="D4392" s="16"/>
      <c r="E4392" s="16"/>
      <c r="F4392" s="17"/>
      <c r="G4392" s="17"/>
      <c r="H4392" s="16"/>
      <c r="I4392" s="16"/>
      <c r="J4392" s="19"/>
    </row>
    <row r="4393" ht="15.75" customHeight="1">
      <c r="B4393" s="20"/>
      <c r="C4393" s="21"/>
      <c r="D4393" s="21"/>
      <c r="E4393" s="21"/>
      <c r="F4393" s="22"/>
      <c r="G4393" s="22"/>
      <c r="H4393" s="21"/>
      <c r="I4393" s="21"/>
      <c r="J4393" s="23"/>
    </row>
    <row r="4394" ht="15.75" customHeight="1">
      <c r="B4394" s="15"/>
      <c r="C4394" s="16"/>
      <c r="D4394" s="16"/>
      <c r="E4394" s="16"/>
      <c r="F4394" s="17"/>
      <c r="G4394" s="17"/>
      <c r="H4394" s="16"/>
      <c r="I4394" s="16"/>
      <c r="J4394" s="19"/>
    </row>
    <row r="4395" ht="15.75" customHeight="1">
      <c r="B4395" s="20"/>
      <c r="C4395" s="21"/>
      <c r="D4395" s="21"/>
      <c r="E4395" s="21"/>
      <c r="F4395" s="22"/>
      <c r="G4395" s="22"/>
      <c r="H4395" s="21"/>
      <c r="I4395" s="21"/>
      <c r="J4395" s="23"/>
    </row>
    <row r="4396" ht="15.75" customHeight="1">
      <c r="B4396" s="15"/>
      <c r="C4396" s="16"/>
      <c r="D4396" s="16"/>
      <c r="E4396" s="16"/>
      <c r="F4396" s="17"/>
      <c r="G4396" s="17"/>
      <c r="H4396" s="16"/>
      <c r="I4396" s="16"/>
      <c r="J4396" s="19"/>
    </row>
    <row r="4397" ht="15.75" customHeight="1">
      <c r="B4397" s="20"/>
      <c r="C4397" s="21"/>
      <c r="D4397" s="21"/>
      <c r="E4397" s="21"/>
      <c r="F4397" s="22"/>
      <c r="G4397" s="22"/>
      <c r="H4397" s="21"/>
      <c r="I4397" s="21"/>
      <c r="J4397" s="23"/>
    </row>
    <row r="4398" ht="15.75" customHeight="1">
      <c r="B4398" s="15"/>
      <c r="C4398" s="16"/>
      <c r="D4398" s="16"/>
      <c r="E4398" s="16"/>
      <c r="F4398" s="17"/>
      <c r="G4398" s="17"/>
      <c r="H4398" s="16"/>
      <c r="I4398" s="16"/>
      <c r="J4398" s="19"/>
    </row>
    <row r="4399" ht="15.75" customHeight="1">
      <c r="B4399" s="20"/>
      <c r="C4399" s="21"/>
      <c r="D4399" s="21"/>
      <c r="E4399" s="21"/>
      <c r="F4399" s="22"/>
      <c r="G4399" s="22"/>
      <c r="H4399" s="21"/>
      <c r="I4399" s="21"/>
      <c r="J4399" s="23"/>
    </row>
    <row r="4400" ht="15.75" customHeight="1">
      <c r="B4400" s="15"/>
      <c r="C4400" s="16"/>
      <c r="D4400" s="16"/>
      <c r="E4400" s="16"/>
      <c r="F4400" s="17"/>
      <c r="G4400" s="17"/>
      <c r="H4400" s="16"/>
      <c r="I4400" s="16"/>
      <c r="J4400" s="19"/>
    </row>
    <row r="4401" ht="15.75" customHeight="1">
      <c r="B4401" s="20"/>
      <c r="C4401" s="21"/>
      <c r="D4401" s="21"/>
      <c r="E4401" s="21"/>
      <c r="F4401" s="22"/>
      <c r="G4401" s="22"/>
      <c r="H4401" s="21"/>
      <c r="I4401" s="21"/>
      <c r="J4401" s="23"/>
    </row>
    <row r="4402" ht="15.75" customHeight="1">
      <c r="B4402" s="15"/>
      <c r="C4402" s="16"/>
      <c r="D4402" s="16"/>
      <c r="E4402" s="16"/>
      <c r="F4402" s="17"/>
      <c r="G4402" s="17"/>
      <c r="H4402" s="16"/>
      <c r="I4402" s="16"/>
      <c r="J4402" s="19"/>
    </row>
    <row r="4403" ht="15.75" customHeight="1">
      <c r="B4403" s="20"/>
      <c r="C4403" s="21"/>
      <c r="D4403" s="21"/>
      <c r="E4403" s="21"/>
      <c r="F4403" s="22"/>
      <c r="G4403" s="22"/>
      <c r="H4403" s="21"/>
      <c r="I4403" s="21"/>
      <c r="J4403" s="23"/>
    </row>
    <row r="4404" ht="15.75" customHeight="1">
      <c r="B4404" s="15"/>
      <c r="C4404" s="16"/>
      <c r="D4404" s="16"/>
      <c r="E4404" s="16"/>
      <c r="F4404" s="17"/>
      <c r="G4404" s="17"/>
      <c r="H4404" s="16"/>
      <c r="I4404" s="16"/>
      <c r="J4404" s="19"/>
    </row>
    <row r="4405" ht="15.75" customHeight="1">
      <c r="B4405" s="20"/>
      <c r="C4405" s="21"/>
      <c r="D4405" s="21"/>
      <c r="E4405" s="21"/>
      <c r="F4405" s="22"/>
      <c r="G4405" s="22"/>
      <c r="H4405" s="21"/>
      <c r="I4405" s="21"/>
      <c r="J4405" s="23"/>
    </row>
    <row r="4406" ht="15.75" customHeight="1">
      <c r="B4406" s="15"/>
      <c r="C4406" s="16"/>
      <c r="D4406" s="16"/>
      <c r="E4406" s="16"/>
      <c r="F4406" s="17"/>
      <c r="G4406" s="17"/>
      <c r="H4406" s="16"/>
      <c r="I4406" s="16"/>
      <c r="J4406" s="19"/>
    </row>
    <row r="4407" ht="15.75" customHeight="1">
      <c r="B4407" s="20"/>
      <c r="C4407" s="21"/>
      <c r="D4407" s="21"/>
      <c r="E4407" s="21"/>
      <c r="F4407" s="22"/>
      <c r="G4407" s="22"/>
      <c r="H4407" s="21"/>
      <c r="I4407" s="21"/>
      <c r="J4407" s="23"/>
    </row>
    <row r="4408" ht="15.75" customHeight="1">
      <c r="B4408" s="15"/>
      <c r="C4408" s="16"/>
      <c r="D4408" s="16"/>
      <c r="E4408" s="16"/>
      <c r="F4408" s="17"/>
      <c r="G4408" s="17"/>
      <c r="H4408" s="16"/>
      <c r="I4408" s="16"/>
      <c r="J4408" s="19"/>
    </row>
    <row r="4409" ht="15.75" customHeight="1">
      <c r="B4409" s="20"/>
      <c r="C4409" s="21"/>
      <c r="D4409" s="21"/>
      <c r="E4409" s="21"/>
      <c r="F4409" s="22"/>
      <c r="G4409" s="22"/>
      <c r="H4409" s="21"/>
      <c r="I4409" s="21"/>
      <c r="J4409" s="23"/>
    </row>
    <row r="4410" ht="15.75" customHeight="1">
      <c r="B4410" s="15"/>
      <c r="C4410" s="16"/>
      <c r="D4410" s="16"/>
      <c r="E4410" s="16"/>
      <c r="F4410" s="17"/>
      <c r="G4410" s="17"/>
      <c r="H4410" s="16"/>
      <c r="I4410" s="16"/>
      <c r="J4410" s="19"/>
    </row>
    <row r="4411" ht="15.75" customHeight="1">
      <c r="B4411" s="20"/>
      <c r="C4411" s="21"/>
      <c r="D4411" s="21"/>
      <c r="E4411" s="21"/>
      <c r="F4411" s="22"/>
      <c r="G4411" s="22"/>
      <c r="H4411" s="21"/>
      <c r="I4411" s="21"/>
      <c r="J4411" s="23"/>
    </row>
    <row r="4412" ht="15.75" customHeight="1">
      <c r="B4412" s="15"/>
      <c r="C4412" s="16"/>
      <c r="D4412" s="16"/>
      <c r="E4412" s="16"/>
      <c r="F4412" s="17"/>
      <c r="G4412" s="17"/>
      <c r="H4412" s="16"/>
      <c r="I4412" s="16"/>
      <c r="J4412" s="19"/>
    </row>
    <row r="4413" ht="15.75" customHeight="1">
      <c r="B4413" s="20"/>
      <c r="C4413" s="21"/>
      <c r="D4413" s="21"/>
      <c r="E4413" s="21"/>
      <c r="F4413" s="22"/>
      <c r="G4413" s="22"/>
      <c r="H4413" s="21"/>
      <c r="I4413" s="21"/>
      <c r="J4413" s="23"/>
    </row>
    <row r="4414" ht="15.75" customHeight="1">
      <c r="B4414" s="15"/>
      <c r="C4414" s="16"/>
      <c r="D4414" s="16"/>
      <c r="E4414" s="16"/>
      <c r="F4414" s="17"/>
      <c r="G4414" s="17"/>
      <c r="H4414" s="16"/>
      <c r="I4414" s="16"/>
      <c r="J4414" s="19"/>
    </row>
    <row r="4415" ht="15.75" customHeight="1">
      <c r="B4415" s="20"/>
      <c r="C4415" s="21"/>
      <c r="D4415" s="21"/>
      <c r="E4415" s="21"/>
      <c r="F4415" s="22"/>
      <c r="G4415" s="22"/>
      <c r="H4415" s="21"/>
      <c r="I4415" s="21"/>
      <c r="J4415" s="23"/>
    </row>
    <row r="4416" ht="15.75" customHeight="1">
      <c r="B4416" s="15"/>
      <c r="C4416" s="16"/>
      <c r="D4416" s="16"/>
      <c r="E4416" s="16"/>
      <c r="F4416" s="17"/>
      <c r="G4416" s="17"/>
      <c r="H4416" s="16"/>
      <c r="I4416" s="16"/>
      <c r="J4416" s="19"/>
    </row>
    <row r="4417" ht="15.75" customHeight="1">
      <c r="B4417" s="20"/>
      <c r="C4417" s="21"/>
      <c r="D4417" s="21"/>
      <c r="E4417" s="21"/>
      <c r="F4417" s="22"/>
      <c r="G4417" s="22"/>
      <c r="H4417" s="21"/>
      <c r="I4417" s="21"/>
      <c r="J4417" s="23"/>
    </row>
    <row r="4418" ht="15.75" customHeight="1">
      <c r="B4418" s="15"/>
      <c r="C4418" s="16"/>
      <c r="D4418" s="16"/>
      <c r="E4418" s="16"/>
      <c r="F4418" s="17"/>
      <c r="G4418" s="17"/>
      <c r="H4418" s="16"/>
      <c r="I4418" s="16"/>
      <c r="J4418" s="19"/>
    </row>
    <row r="4419" ht="15.75" customHeight="1">
      <c r="B4419" s="20"/>
      <c r="C4419" s="21"/>
      <c r="D4419" s="21"/>
      <c r="E4419" s="21"/>
      <c r="F4419" s="22"/>
      <c r="G4419" s="22"/>
      <c r="H4419" s="21"/>
      <c r="I4419" s="21"/>
      <c r="J4419" s="23"/>
    </row>
    <row r="4420" ht="15.75" customHeight="1">
      <c r="B4420" s="15"/>
      <c r="C4420" s="16"/>
      <c r="D4420" s="16"/>
      <c r="E4420" s="16"/>
      <c r="F4420" s="17"/>
      <c r="G4420" s="17"/>
      <c r="H4420" s="16"/>
      <c r="I4420" s="16"/>
      <c r="J4420" s="19"/>
    </row>
    <row r="4421" ht="15.75" customHeight="1">
      <c r="B4421" s="20"/>
      <c r="C4421" s="21"/>
      <c r="D4421" s="21"/>
      <c r="E4421" s="21"/>
      <c r="F4421" s="22"/>
      <c r="G4421" s="22"/>
      <c r="H4421" s="21"/>
      <c r="I4421" s="21"/>
      <c r="J4421" s="23"/>
    </row>
    <row r="4422" ht="15.75" customHeight="1">
      <c r="B4422" s="15"/>
      <c r="C4422" s="16"/>
      <c r="D4422" s="16"/>
      <c r="E4422" s="16"/>
      <c r="F4422" s="17"/>
      <c r="G4422" s="17"/>
      <c r="H4422" s="16"/>
      <c r="I4422" s="16"/>
      <c r="J4422" s="19"/>
    </row>
    <row r="4423" ht="15.75" customHeight="1">
      <c r="B4423" s="20"/>
      <c r="C4423" s="21"/>
      <c r="D4423" s="21"/>
      <c r="E4423" s="21"/>
      <c r="F4423" s="22"/>
      <c r="G4423" s="22"/>
      <c r="H4423" s="21"/>
      <c r="I4423" s="21"/>
      <c r="J4423" s="23"/>
    </row>
    <row r="4424" ht="15.75" customHeight="1">
      <c r="B4424" s="15"/>
      <c r="C4424" s="16"/>
      <c r="D4424" s="16"/>
      <c r="E4424" s="16"/>
      <c r="F4424" s="17"/>
      <c r="G4424" s="17"/>
      <c r="H4424" s="16"/>
      <c r="I4424" s="16"/>
      <c r="J4424" s="19"/>
    </row>
    <row r="4425" ht="15.75" customHeight="1">
      <c r="B4425" s="20"/>
      <c r="C4425" s="21"/>
      <c r="D4425" s="21"/>
      <c r="E4425" s="21"/>
      <c r="F4425" s="22"/>
      <c r="G4425" s="22"/>
      <c r="H4425" s="21"/>
      <c r="I4425" s="21"/>
      <c r="J4425" s="23"/>
    </row>
    <row r="4426" ht="15.75" customHeight="1">
      <c r="B4426" s="15"/>
      <c r="C4426" s="16"/>
      <c r="D4426" s="16"/>
      <c r="E4426" s="16"/>
      <c r="F4426" s="17"/>
      <c r="G4426" s="17"/>
      <c r="H4426" s="16"/>
      <c r="I4426" s="16"/>
      <c r="J4426" s="19"/>
    </row>
    <row r="4427" ht="15.75" customHeight="1">
      <c r="B4427" s="20"/>
      <c r="C4427" s="21"/>
      <c r="D4427" s="21"/>
      <c r="E4427" s="21"/>
      <c r="F4427" s="22"/>
      <c r="G4427" s="22"/>
      <c r="H4427" s="21"/>
      <c r="I4427" s="21"/>
      <c r="J4427" s="23"/>
    </row>
    <row r="4428" ht="15.75" customHeight="1">
      <c r="B4428" s="15"/>
      <c r="C4428" s="16"/>
      <c r="D4428" s="16"/>
      <c r="E4428" s="16"/>
      <c r="F4428" s="17"/>
      <c r="G4428" s="17"/>
      <c r="H4428" s="16"/>
      <c r="I4428" s="16"/>
      <c r="J4428" s="19"/>
    </row>
    <row r="4429" ht="15.75" customHeight="1">
      <c r="B4429" s="20"/>
      <c r="C4429" s="21"/>
      <c r="D4429" s="21"/>
      <c r="E4429" s="21"/>
      <c r="F4429" s="22"/>
      <c r="G4429" s="22"/>
      <c r="H4429" s="21"/>
      <c r="I4429" s="21"/>
      <c r="J4429" s="23"/>
    </row>
    <row r="4430" ht="15.75" customHeight="1">
      <c r="B4430" s="15"/>
      <c r="C4430" s="16"/>
      <c r="D4430" s="16"/>
      <c r="E4430" s="16"/>
      <c r="F4430" s="17"/>
      <c r="G4430" s="17"/>
      <c r="H4430" s="16"/>
      <c r="I4430" s="16"/>
      <c r="J4430" s="19"/>
    </row>
    <row r="4431" ht="15.75" customHeight="1">
      <c r="B4431" s="20"/>
      <c r="C4431" s="21"/>
      <c r="D4431" s="21"/>
      <c r="E4431" s="21"/>
      <c r="F4431" s="22"/>
      <c r="G4431" s="22"/>
      <c r="H4431" s="21"/>
      <c r="I4431" s="21"/>
      <c r="J4431" s="23"/>
    </row>
    <row r="4432" ht="15.75" customHeight="1">
      <c r="B4432" s="15"/>
      <c r="C4432" s="16"/>
      <c r="D4432" s="16"/>
      <c r="E4432" s="16"/>
      <c r="F4432" s="17"/>
      <c r="G4432" s="17"/>
      <c r="H4432" s="16"/>
      <c r="I4432" s="16"/>
      <c r="J4432" s="19"/>
    </row>
    <row r="4433" ht="15.75" customHeight="1">
      <c r="B4433" s="20"/>
      <c r="C4433" s="21"/>
      <c r="D4433" s="21"/>
      <c r="E4433" s="21"/>
      <c r="F4433" s="22"/>
      <c r="G4433" s="22"/>
      <c r="H4433" s="21"/>
      <c r="I4433" s="21"/>
      <c r="J4433" s="23"/>
    </row>
    <row r="4434" ht="15.75" customHeight="1">
      <c r="B4434" s="15"/>
      <c r="C4434" s="16"/>
      <c r="D4434" s="16"/>
      <c r="E4434" s="16"/>
      <c r="F4434" s="17"/>
      <c r="G4434" s="17"/>
      <c r="H4434" s="16"/>
      <c r="I4434" s="16"/>
      <c r="J4434" s="19"/>
    </row>
    <row r="4435" ht="15.75" customHeight="1">
      <c r="B4435" s="20"/>
      <c r="C4435" s="21"/>
      <c r="D4435" s="21"/>
      <c r="E4435" s="21"/>
      <c r="F4435" s="22"/>
      <c r="G4435" s="22"/>
      <c r="H4435" s="21"/>
      <c r="I4435" s="21"/>
      <c r="J4435" s="23"/>
    </row>
    <row r="4436" ht="15.75" customHeight="1">
      <c r="B4436" s="15"/>
      <c r="C4436" s="16"/>
      <c r="D4436" s="16"/>
      <c r="E4436" s="16"/>
      <c r="F4436" s="17"/>
      <c r="G4436" s="17"/>
      <c r="H4436" s="16"/>
      <c r="I4436" s="16"/>
      <c r="J4436" s="19"/>
    </row>
    <row r="4437" ht="15.75" customHeight="1">
      <c r="B4437" s="20"/>
      <c r="C4437" s="21"/>
      <c r="D4437" s="21"/>
      <c r="E4437" s="21"/>
      <c r="F4437" s="22"/>
      <c r="G4437" s="22"/>
      <c r="H4437" s="21"/>
      <c r="I4437" s="21"/>
      <c r="J4437" s="23"/>
    </row>
    <row r="4438" ht="15.75" customHeight="1">
      <c r="B4438" s="15"/>
      <c r="C4438" s="16"/>
      <c r="D4438" s="16"/>
      <c r="E4438" s="16"/>
      <c r="F4438" s="17"/>
      <c r="G4438" s="17"/>
      <c r="H4438" s="16"/>
      <c r="I4438" s="16"/>
      <c r="J4438" s="19"/>
    </row>
    <row r="4439" ht="15.75" customHeight="1">
      <c r="B4439" s="20"/>
      <c r="C4439" s="21"/>
      <c r="D4439" s="21"/>
      <c r="E4439" s="21"/>
      <c r="F4439" s="22"/>
      <c r="G4439" s="22"/>
      <c r="H4439" s="21"/>
      <c r="I4439" s="21"/>
      <c r="J4439" s="23"/>
    </row>
    <row r="4440" ht="15.75" customHeight="1">
      <c r="B4440" s="15"/>
      <c r="C4440" s="16"/>
      <c r="D4440" s="16"/>
      <c r="E4440" s="16"/>
      <c r="F4440" s="17"/>
      <c r="G4440" s="17"/>
      <c r="H4440" s="16"/>
      <c r="I4440" s="16"/>
      <c r="J4440" s="19"/>
    </row>
    <row r="4441" ht="15.75" customHeight="1">
      <c r="B4441" s="20"/>
      <c r="C4441" s="21"/>
      <c r="D4441" s="21"/>
      <c r="E4441" s="21"/>
      <c r="F4441" s="22"/>
      <c r="G4441" s="22"/>
      <c r="H4441" s="21"/>
      <c r="I4441" s="21"/>
      <c r="J4441" s="23"/>
    </row>
    <row r="4442" ht="15.75" customHeight="1">
      <c r="B4442" s="15"/>
      <c r="C4442" s="16"/>
      <c r="D4442" s="16"/>
      <c r="E4442" s="16"/>
      <c r="F4442" s="17"/>
      <c r="G4442" s="17"/>
      <c r="H4442" s="16"/>
      <c r="I4442" s="16"/>
      <c r="J4442" s="19"/>
    </row>
    <row r="4443" ht="15.75" customHeight="1">
      <c r="B4443" s="20"/>
      <c r="C4443" s="21"/>
      <c r="D4443" s="21"/>
      <c r="E4443" s="21"/>
      <c r="F4443" s="22"/>
      <c r="G4443" s="22"/>
      <c r="H4443" s="21"/>
      <c r="I4443" s="21"/>
      <c r="J4443" s="23"/>
    </row>
    <row r="4444" ht="15.75" customHeight="1">
      <c r="B4444" s="15"/>
      <c r="C4444" s="16"/>
      <c r="D4444" s="16"/>
      <c r="E4444" s="16"/>
      <c r="F4444" s="17"/>
      <c r="G4444" s="17"/>
      <c r="H4444" s="16"/>
      <c r="I4444" s="16"/>
      <c r="J4444" s="19"/>
    </row>
    <row r="4445" ht="15.75" customHeight="1">
      <c r="B4445" s="20"/>
      <c r="C4445" s="21"/>
      <c r="D4445" s="21"/>
      <c r="E4445" s="21"/>
      <c r="F4445" s="22"/>
      <c r="G4445" s="22"/>
      <c r="H4445" s="21"/>
      <c r="I4445" s="21"/>
      <c r="J4445" s="23"/>
    </row>
    <row r="4446" ht="15.75" customHeight="1">
      <c r="B4446" s="15"/>
      <c r="C4446" s="16"/>
      <c r="D4446" s="16"/>
      <c r="E4446" s="16"/>
      <c r="F4446" s="17"/>
      <c r="G4446" s="17"/>
      <c r="H4446" s="16"/>
      <c r="I4446" s="16"/>
      <c r="J4446" s="19"/>
    </row>
    <row r="4447" ht="15.75" customHeight="1">
      <c r="B4447" s="20"/>
      <c r="C4447" s="21"/>
      <c r="D4447" s="21"/>
      <c r="E4447" s="21"/>
      <c r="F4447" s="22"/>
      <c r="G4447" s="22"/>
      <c r="H4447" s="21"/>
      <c r="I4447" s="21"/>
      <c r="J4447" s="23"/>
    </row>
    <row r="4448" ht="15.75" customHeight="1">
      <c r="B4448" s="15"/>
      <c r="C4448" s="16"/>
      <c r="D4448" s="16"/>
      <c r="E4448" s="16"/>
      <c r="F4448" s="17"/>
      <c r="G4448" s="17"/>
      <c r="H4448" s="16"/>
      <c r="I4448" s="16"/>
      <c r="J4448" s="19"/>
    </row>
    <row r="4449" ht="15.75" customHeight="1">
      <c r="B4449" s="20"/>
      <c r="C4449" s="21"/>
      <c r="D4449" s="21"/>
      <c r="E4449" s="21"/>
      <c r="F4449" s="22"/>
      <c r="G4449" s="22"/>
      <c r="H4449" s="21"/>
      <c r="I4449" s="21"/>
      <c r="J4449" s="23"/>
    </row>
    <row r="4450" ht="15.75" customHeight="1">
      <c r="B4450" s="15"/>
      <c r="C4450" s="16"/>
      <c r="D4450" s="16"/>
      <c r="E4450" s="16"/>
      <c r="F4450" s="17"/>
      <c r="G4450" s="17"/>
      <c r="H4450" s="16"/>
      <c r="I4450" s="16"/>
      <c r="J4450" s="19"/>
    </row>
    <row r="4451" ht="15.75" customHeight="1">
      <c r="B4451" s="20"/>
      <c r="C4451" s="21"/>
      <c r="D4451" s="21"/>
      <c r="E4451" s="21"/>
      <c r="F4451" s="22"/>
      <c r="G4451" s="22"/>
      <c r="H4451" s="21"/>
      <c r="I4451" s="21"/>
      <c r="J4451" s="23"/>
    </row>
    <row r="4452" ht="15.75" customHeight="1">
      <c r="B4452" s="15"/>
      <c r="C4452" s="16"/>
      <c r="D4452" s="16"/>
      <c r="E4452" s="16"/>
      <c r="F4452" s="17"/>
      <c r="G4452" s="17"/>
      <c r="H4452" s="16"/>
      <c r="I4452" s="16"/>
      <c r="J4452" s="19"/>
    </row>
    <row r="4453" ht="15.75" customHeight="1">
      <c r="B4453" s="20"/>
      <c r="C4453" s="21"/>
      <c r="D4453" s="21"/>
      <c r="E4453" s="21"/>
      <c r="F4453" s="22"/>
      <c r="G4453" s="22"/>
      <c r="H4453" s="21"/>
      <c r="I4453" s="21"/>
      <c r="J4453" s="23"/>
    </row>
    <row r="4454" ht="15.75" customHeight="1">
      <c r="B4454" s="15"/>
      <c r="C4454" s="16"/>
      <c r="D4454" s="16"/>
      <c r="E4454" s="16"/>
      <c r="F4454" s="17"/>
      <c r="G4454" s="17"/>
      <c r="H4454" s="16"/>
      <c r="I4454" s="16"/>
      <c r="J4454" s="19"/>
    </row>
    <row r="4455" ht="15.75" customHeight="1">
      <c r="B4455" s="20"/>
      <c r="C4455" s="21"/>
      <c r="D4455" s="21"/>
      <c r="E4455" s="21"/>
      <c r="F4455" s="22"/>
      <c r="G4455" s="22"/>
      <c r="H4455" s="21"/>
      <c r="I4455" s="21"/>
      <c r="J4455" s="23"/>
    </row>
    <row r="4456" ht="15.75" customHeight="1">
      <c r="B4456" s="15"/>
      <c r="C4456" s="16"/>
      <c r="D4456" s="16"/>
      <c r="E4456" s="16"/>
      <c r="F4456" s="17"/>
      <c r="G4456" s="17"/>
      <c r="H4456" s="16"/>
      <c r="I4456" s="16"/>
      <c r="J4456" s="19"/>
    </row>
    <row r="4457" ht="15.75" customHeight="1">
      <c r="B4457" s="20"/>
      <c r="C4457" s="21"/>
      <c r="D4457" s="21"/>
      <c r="E4457" s="21"/>
      <c r="F4457" s="22"/>
      <c r="G4457" s="22"/>
      <c r="H4457" s="21"/>
      <c r="I4457" s="21"/>
      <c r="J4457" s="23"/>
    </row>
    <row r="4458" ht="15.75" customHeight="1">
      <c r="B4458" s="15"/>
      <c r="C4458" s="16"/>
      <c r="D4458" s="16"/>
      <c r="E4458" s="16"/>
      <c r="F4458" s="17"/>
      <c r="G4458" s="17"/>
      <c r="H4458" s="16"/>
      <c r="I4458" s="16"/>
      <c r="J4458" s="19"/>
    </row>
    <row r="4459" ht="15.75" customHeight="1">
      <c r="B4459" s="20"/>
      <c r="C4459" s="21"/>
      <c r="D4459" s="21"/>
      <c r="E4459" s="21"/>
      <c r="F4459" s="22"/>
      <c r="G4459" s="22"/>
      <c r="H4459" s="21"/>
      <c r="I4459" s="21"/>
      <c r="J4459" s="23"/>
    </row>
    <row r="4460" ht="15.75" customHeight="1">
      <c r="B4460" s="15"/>
      <c r="C4460" s="16"/>
      <c r="D4460" s="16"/>
      <c r="E4460" s="16"/>
      <c r="F4460" s="17"/>
      <c r="G4460" s="17"/>
      <c r="H4460" s="16"/>
      <c r="I4460" s="16"/>
      <c r="J4460" s="19"/>
    </row>
    <row r="4461" ht="15.75" customHeight="1">
      <c r="B4461" s="20"/>
      <c r="C4461" s="21"/>
      <c r="D4461" s="21"/>
      <c r="E4461" s="21"/>
      <c r="F4461" s="22"/>
      <c r="G4461" s="22"/>
      <c r="H4461" s="21"/>
      <c r="I4461" s="21"/>
      <c r="J4461" s="23"/>
    </row>
    <row r="4462" ht="15.75" customHeight="1">
      <c r="B4462" s="15"/>
      <c r="C4462" s="16"/>
      <c r="D4462" s="16"/>
      <c r="E4462" s="16"/>
      <c r="F4462" s="17"/>
      <c r="G4462" s="17"/>
      <c r="H4462" s="16"/>
      <c r="I4462" s="16"/>
      <c r="J4462" s="19"/>
    </row>
    <row r="4463" ht="15.75" customHeight="1">
      <c r="B4463" s="20"/>
      <c r="C4463" s="21"/>
      <c r="D4463" s="21"/>
      <c r="E4463" s="21"/>
      <c r="F4463" s="22"/>
      <c r="G4463" s="22"/>
      <c r="H4463" s="21"/>
      <c r="I4463" s="21"/>
      <c r="J4463" s="23"/>
    </row>
    <row r="4464" ht="15.75" customHeight="1">
      <c r="B4464" s="15"/>
      <c r="C4464" s="16"/>
      <c r="D4464" s="16"/>
      <c r="E4464" s="16"/>
      <c r="F4464" s="17"/>
      <c r="G4464" s="17"/>
      <c r="H4464" s="16"/>
      <c r="I4464" s="16"/>
      <c r="J4464" s="19"/>
    </row>
    <row r="4465" ht="15.75" customHeight="1">
      <c r="B4465" s="20"/>
      <c r="C4465" s="21"/>
      <c r="D4465" s="21"/>
      <c r="E4465" s="21"/>
      <c r="F4465" s="22"/>
      <c r="G4465" s="22"/>
      <c r="H4465" s="21"/>
      <c r="I4465" s="21"/>
      <c r="J4465" s="23"/>
    </row>
    <row r="4466" ht="15.75" customHeight="1">
      <c r="B4466" s="15"/>
      <c r="C4466" s="16"/>
      <c r="D4466" s="16"/>
      <c r="E4466" s="16"/>
      <c r="F4466" s="17"/>
      <c r="G4466" s="17"/>
      <c r="H4466" s="16"/>
      <c r="I4466" s="16"/>
      <c r="J4466" s="19"/>
    </row>
    <row r="4467" ht="15.75" customHeight="1">
      <c r="B4467" s="20"/>
      <c r="C4467" s="21"/>
      <c r="D4467" s="21"/>
      <c r="E4467" s="21"/>
      <c r="F4467" s="22"/>
      <c r="G4467" s="22"/>
      <c r="H4467" s="21"/>
      <c r="I4467" s="21"/>
      <c r="J4467" s="23"/>
    </row>
    <row r="4468" ht="15.75" customHeight="1">
      <c r="B4468" s="15"/>
      <c r="C4468" s="16"/>
      <c r="D4468" s="16"/>
      <c r="E4468" s="16"/>
      <c r="F4468" s="17"/>
      <c r="G4468" s="17"/>
      <c r="H4468" s="16"/>
      <c r="I4468" s="16"/>
      <c r="J4468" s="19"/>
    </row>
    <row r="4469" ht="15.75" customHeight="1">
      <c r="B4469" s="20"/>
      <c r="C4469" s="21"/>
      <c r="D4469" s="21"/>
      <c r="E4469" s="21"/>
      <c r="F4469" s="22"/>
      <c r="G4469" s="22"/>
      <c r="H4469" s="21"/>
      <c r="I4469" s="21"/>
      <c r="J4469" s="23"/>
    </row>
    <row r="4470" ht="15.75" customHeight="1">
      <c r="B4470" s="15"/>
      <c r="C4470" s="16"/>
      <c r="D4470" s="16"/>
      <c r="E4470" s="16"/>
      <c r="F4470" s="17"/>
      <c r="G4470" s="17"/>
      <c r="H4470" s="16"/>
      <c r="I4470" s="16"/>
      <c r="J4470" s="19"/>
    </row>
    <row r="4471" ht="15.75" customHeight="1">
      <c r="B4471" s="20"/>
      <c r="C4471" s="21"/>
      <c r="D4471" s="21"/>
      <c r="E4471" s="21"/>
      <c r="F4471" s="22"/>
      <c r="G4471" s="22"/>
      <c r="H4471" s="21"/>
      <c r="I4471" s="21"/>
      <c r="J4471" s="23"/>
    </row>
    <row r="4472" ht="15.75" customHeight="1">
      <c r="B4472" s="15"/>
      <c r="C4472" s="16"/>
      <c r="D4472" s="16"/>
      <c r="E4472" s="16"/>
      <c r="F4472" s="17"/>
      <c r="G4472" s="17"/>
      <c r="H4472" s="16"/>
      <c r="I4472" s="16"/>
      <c r="J4472" s="19"/>
    </row>
    <row r="4473" ht="15.75" customHeight="1">
      <c r="B4473" s="20"/>
      <c r="C4473" s="21"/>
      <c r="D4473" s="21"/>
      <c r="E4473" s="21"/>
      <c r="F4473" s="22"/>
      <c r="G4473" s="22"/>
      <c r="H4473" s="21"/>
      <c r="I4473" s="21"/>
      <c r="J4473" s="23"/>
    </row>
    <row r="4474" ht="15.75" customHeight="1">
      <c r="B4474" s="15"/>
      <c r="C4474" s="16"/>
      <c r="D4474" s="16"/>
      <c r="E4474" s="16"/>
      <c r="F4474" s="17"/>
      <c r="G4474" s="17"/>
      <c r="H4474" s="16"/>
      <c r="I4474" s="16"/>
      <c r="J4474" s="19"/>
    </row>
    <row r="4475" ht="15.75" customHeight="1">
      <c r="B4475" s="20"/>
      <c r="C4475" s="21"/>
      <c r="D4475" s="21"/>
      <c r="E4475" s="21"/>
      <c r="F4475" s="22"/>
      <c r="G4475" s="22"/>
      <c r="H4475" s="21"/>
      <c r="I4475" s="21"/>
      <c r="J4475" s="23"/>
    </row>
    <row r="4476" ht="15.75" customHeight="1">
      <c r="B4476" s="15"/>
      <c r="C4476" s="16"/>
      <c r="D4476" s="16"/>
      <c r="E4476" s="16"/>
      <c r="F4476" s="17"/>
      <c r="G4476" s="17"/>
      <c r="H4476" s="16"/>
      <c r="I4476" s="16"/>
      <c r="J4476" s="19"/>
    </row>
    <row r="4477" ht="15.75" customHeight="1">
      <c r="B4477" s="20"/>
      <c r="C4477" s="21"/>
      <c r="D4477" s="21"/>
      <c r="E4477" s="21"/>
      <c r="F4477" s="22"/>
      <c r="G4477" s="22"/>
      <c r="H4477" s="21"/>
      <c r="I4477" s="21"/>
      <c r="J4477" s="23"/>
    </row>
    <row r="4478" ht="15.75" customHeight="1">
      <c r="B4478" s="15"/>
      <c r="C4478" s="16"/>
      <c r="D4478" s="16"/>
      <c r="E4478" s="16"/>
      <c r="F4478" s="17"/>
      <c r="G4478" s="17"/>
      <c r="H4478" s="16"/>
      <c r="I4478" s="16"/>
      <c r="J4478" s="19"/>
    </row>
    <row r="4479" ht="15.75" customHeight="1">
      <c r="B4479" s="20"/>
      <c r="C4479" s="21"/>
      <c r="D4479" s="21"/>
      <c r="E4479" s="21"/>
      <c r="F4479" s="22"/>
      <c r="G4479" s="22"/>
      <c r="H4479" s="21"/>
      <c r="I4479" s="21"/>
      <c r="J4479" s="23"/>
    </row>
    <row r="4480" ht="15.75" customHeight="1">
      <c r="B4480" s="15"/>
      <c r="C4480" s="16"/>
      <c r="D4480" s="16"/>
      <c r="E4480" s="16"/>
      <c r="F4480" s="17"/>
      <c r="G4480" s="17"/>
      <c r="H4480" s="16"/>
      <c r="I4480" s="16"/>
      <c r="J4480" s="19"/>
    </row>
    <row r="4481" ht="15.75" customHeight="1">
      <c r="B4481" s="20"/>
      <c r="C4481" s="21"/>
      <c r="D4481" s="21"/>
      <c r="E4481" s="21"/>
      <c r="F4481" s="22"/>
      <c r="G4481" s="22"/>
      <c r="H4481" s="21"/>
      <c r="I4481" s="21"/>
      <c r="J4481" s="23"/>
    </row>
    <row r="4482" ht="15.75" customHeight="1">
      <c r="B4482" s="15"/>
      <c r="C4482" s="16"/>
      <c r="D4482" s="16"/>
      <c r="E4482" s="16"/>
      <c r="F4482" s="17"/>
      <c r="G4482" s="17"/>
      <c r="H4482" s="16"/>
      <c r="I4482" s="16"/>
      <c r="J4482" s="19"/>
    </row>
    <row r="4483" ht="15.75" customHeight="1">
      <c r="B4483" s="20"/>
      <c r="C4483" s="21"/>
      <c r="D4483" s="21"/>
      <c r="E4483" s="21"/>
      <c r="F4483" s="22"/>
      <c r="G4483" s="22"/>
      <c r="H4483" s="21"/>
      <c r="I4483" s="21"/>
      <c r="J4483" s="23"/>
    </row>
    <row r="4484" ht="15.75" customHeight="1">
      <c r="B4484" s="15"/>
      <c r="C4484" s="16"/>
      <c r="D4484" s="16"/>
      <c r="E4484" s="16"/>
      <c r="F4484" s="17"/>
      <c r="G4484" s="17"/>
      <c r="H4484" s="16"/>
      <c r="I4484" s="16"/>
      <c r="J4484" s="19"/>
    </row>
    <row r="4485" ht="15.75" customHeight="1">
      <c r="B4485" s="20"/>
      <c r="C4485" s="21"/>
      <c r="D4485" s="21"/>
      <c r="E4485" s="21"/>
      <c r="F4485" s="22"/>
      <c r="G4485" s="22"/>
      <c r="H4485" s="21"/>
      <c r="I4485" s="21"/>
      <c r="J4485" s="23"/>
    </row>
    <row r="4486" ht="15.75" customHeight="1">
      <c r="B4486" s="15"/>
      <c r="C4486" s="16"/>
      <c r="D4486" s="16"/>
      <c r="E4486" s="16"/>
      <c r="F4486" s="17"/>
      <c r="G4486" s="17"/>
      <c r="H4486" s="16"/>
      <c r="I4486" s="16"/>
      <c r="J4486" s="19"/>
    </row>
    <row r="4487" ht="15.75" customHeight="1">
      <c r="B4487" s="20"/>
      <c r="C4487" s="21"/>
      <c r="D4487" s="21"/>
      <c r="E4487" s="21"/>
      <c r="F4487" s="22"/>
      <c r="G4487" s="22"/>
      <c r="H4487" s="21"/>
      <c r="I4487" s="21"/>
      <c r="J4487" s="23"/>
    </row>
    <row r="4488" ht="15.75" customHeight="1">
      <c r="B4488" s="15"/>
      <c r="C4488" s="16"/>
      <c r="D4488" s="16"/>
      <c r="E4488" s="16"/>
      <c r="F4488" s="17"/>
      <c r="G4488" s="17"/>
      <c r="H4488" s="16"/>
      <c r="I4488" s="16"/>
      <c r="J4488" s="19"/>
    </row>
    <row r="4489" ht="15.75" customHeight="1">
      <c r="B4489" s="20"/>
      <c r="C4489" s="21"/>
      <c r="D4489" s="21"/>
      <c r="E4489" s="21"/>
      <c r="F4489" s="22"/>
      <c r="G4489" s="22"/>
      <c r="H4489" s="21"/>
      <c r="I4489" s="21"/>
      <c r="J4489" s="23"/>
    </row>
    <row r="4490" ht="15.75" customHeight="1">
      <c r="B4490" s="15"/>
      <c r="C4490" s="16"/>
      <c r="D4490" s="16"/>
      <c r="E4490" s="16"/>
      <c r="F4490" s="17"/>
      <c r="G4490" s="17"/>
      <c r="H4490" s="16"/>
      <c r="I4490" s="16"/>
      <c r="J4490" s="19"/>
    </row>
    <row r="4491" ht="15.75" customHeight="1">
      <c r="B4491" s="20"/>
      <c r="C4491" s="21"/>
      <c r="D4491" s="21"/>
      <c r="E4491" s="21"/>
      <c r="F4491" s="22"/>
      <c r="G4491" s="22"/>
      <c r="H4491" s="21"/>
      <c r="I4491" s="21"/>
      <c r="J4491" s="23"/>
    </row>
    <row r="4492" ht="15.75" customHeight="1">
      <c r="B4492" s="15"/>
      <c r="C4492" s="16"/>
      <c r="D4492" s="16"/>
      <c r="E4492" s="16"/>
      <c r="F4492" s="17"/>
      <c r="G4492" s="17"/>
      <c r="H4492" s="16"/>
      <c r="I4492" s="16"/>
      <c r="J4492" s="19"/>
    </row>
    <row r="4493" ht="15.75" customHeight="1">
      <c r="B4493" s="20"/>
      <c r="C4493" s="21"/>
      <c r="D4493" s="21"/>
      <c r="E4493" s="21"/>
      <c r="F4493" s="22"/>
      <c r="G4493" s="22"/>
      <c r="H4493" s="21"/>
      <c r="I4493" s="21"/>
      <c r="J4493" s="23"/>
    </row>
    <row r="4494" ht="15.75" customHeight="1">
      <c r="B4494" s="15"/>
      <c r="C4494" s="16"/>
      <c r="D4494" s="16"/>
      <c r="E4494" s="16"/>
      <c r="F4494" s="17"/>
      <c r="G4494" s="17"/>
      <c r="H4494" s="16"/>
      <c r="I4494" s="16"/>
      <c r="J4494" s="19"/>
    </row>
    <row r="4495" ht="15.75" customHeight="1">
      <c r="B4495" s="20"/>
      <c r="C4495" s="21"/>
      <c r="D4495" s="21"/>
      <c r="E4495" s="21"/>
      <c r="F4495" s="22"/>
      <c r="G4495" s="22"/>
      <c r="H4495" s="21"/>
      <c r="I4495" s="21"/>
      <c r="J4495" s="23"/>
    </row>
    <row r="4496" ht="15.75" customHeight="1">
      <c r="B4496" s="15"/>
      <c r="C4496" s="16"/>
      <c r="D4496" s="16"/>
      <c r="E4496" s="16"/>
      <c r="F4496" s="17"/>
      <c r="G4496" s="17"/>
      <c r="H4496" s="16"/>
      <c r="I4496" s="16"/>
      <c r="J4496" s="19"/>
    </row>
    <row r="4497" ht="15.75" customHeight="1">
      <c r="B4497" s="20"/>
      <c r="C4497" s="21"/>
      <c r="D4497" s="21"/>
      <c r="E4497" s="21"/>
      <c r="F4497" s="22"/>
      <c r="G4497" s="22"/>
      <c r="H4497" s="21"/>
      <c r="I4497" s="21"/>
      <c r="J4497" s="23"/>
    </row>
    <row r="4498" ht="15.75" customHeight="1">
      <c r="B4498" s="15"/>
      <c r="C4498" s="16"/>
      <c r="D4498" s="16"/>
      <c r="E4498" s="16"/>
      <c r="F4498" s="17"/>
      <c r="G4498" s="17"/>
      <c r="H4498" s="16"/>
      <c r="I4498" s="16"/>
      <c r="J4498" s="19"/>
    </row>
    <row r="4499" ht="15.75" customHeight="1">
      <c r="B4499" s="20"/>
      <c r="C4499" s="21"/>
      <c r="D4499" s="21"/>
      <c r="E4499" s="21"/>
      <c r="F4499" s="22"/>
      <c r="G4499" s="22"/>
      <c r="H4499" s="21"/>
      <c r="I4499" s="21"/>
      <c r="J4499" s="23"/>
    </row>
    <row r="4500" ht="15.75" customHeight="1">
      <c r="B4500" s="15"/>
      <c r="C4500" s="16"/>
      <c r="D4500" s="16"/>
      <c r="E4500" s="16"/>
      <c r="F4500" s="17"/>
      <c r="G4500" s="17"/>
      <c r="H4500" s="16"/>
      <c r="I4500" s="16"/>
      <c r="J4500" s="19"/>
    </row>
    <row r="4501" ht="15.75" customHeight="1">
      <c r="B4501" s="20"/>
      <c r="C4501" s="21"/>
      <c r="D4501" s="21"/>
      <c r="E4501" s="21"/>
      <c r="F4501" s="22"/>
      <c r="G4501" s="22"/>
      <c r="H4501" s="21"/>
      <c r="I4501" s="21"/>
      <c r="J4501" s="23"/>
    </row>
    <row r="4502" ht="15.75" customHeight="1">
      <c r="B4502" s="15"/>
      <c r="C4502" s="16"/>
      <c r="D4502" s="16"/>
      <c r="E4502" s="16"/>
      <c r="F4502" s="17"/>
      <c r="G4502" s="17"/>
      <c r="H4502" s="16"/>
      <c r="I4502" s="16"/>
      <c r="J4502" s="19"/>
    </row>
    <row r="4503" ht="15.75" customHeight="1">
      <c r="B4503" s="20"/>
      <c r="C4503" s="21"/>
      <c r="D4503" s="21"/>
      <c r="E4503" s="21"/>
      <c r="F4503" s="22"/>
      <c r="G4503" s="22"/>
      <c r="H4503" s="21"/>
      <c r="I4503" s="21"/>
      <c r="J4503" s="23"/>
    </row>
    <row r="4504" ht="15.75" customHeight="1">
      <c r="B4504" s="15"/>
      <c r="C4504" s="16"/>
      <c r="D4504" s="16"/>
      <c r="E4504" s="16"/>
      <c r="F4504" s="17"/>
      <c r="G4504" s="17"/>
      <c r="H4504" s="16"/>
      <c r="I4504" s="16"/>
      <c r="J4504" s="19"/>
    </row>
    <row r="4505" ht="15.75" customHeight="1">
      <c r="B4505" s="20"/>
      <c r="C4505" s="21"/>
      <c r="D4505" s="21"/>
      <c r="E4505" s="21"/>
      <c r="F4505" s="22"/>
      <c r="G4505" s="22"/>
      <c r="H4505" s="21"/>
      <c r="I4505" s="21"/>
      <c r="J4505" s="23"/>
    </row>
    <row r="4506" ht="15.75" customHeight="1">
      <c r="B4506" s="15"/>
      <c r="C4506" s="16"/>
      <c r="D4506" s="16"/>
      <c r="E4506" s="16"/>
      <c r="F4506" s="17"/>
      <c r="G4506" s="17"/>
      <c r="H4506" s="16"/>
      <c r="I4506" s="16"/>
      <c r="J4506" s="19"/>
    </row>
    <row r="4507" ht="15.75" customHeight="1">
      <c r="B4507" s="20"/>
      <c r="C4507" s="21"/>
      <c r="D4507" s="21"/>
      <c r="E4507" s="21"/>
      <c r="F4507" s="22"/>
      <c r="G4507" s="22"/>
      <c r="H4507" s="21"/>
      <c r="I4507" s="21"/>
      <c r="J4507" s="23"/>
    </row>
    <row r="4508" ht="15.75" customHeight="1">
      <c r="B4508" s="15"/>
      <c r="C4508" s="16"/>
      <c r="D4508" s="16"/>
      <c r="E4508" s="16"/>
      <c r="F4508" s="17"/>
      <c r="G4508" s="17"/>
      <c r="H4508" s="16"/>
      <c r="I4508" s="16"/>
      <c r="J4508" s="19"/>
    </row>
    <row r="4509" ht="15.75" customHeight="1">
      <c r="B4509" s="20"/>
      <c r="C4509" s="21"/>
      <c r="D4509" s="21"/>
      <c r="E4509" s="21"/>
      <c r="F4509" s="22"/>
      <c r="G4509" s="22"/>
      <c r="H4509" s="21"/>
      <c r="I4509" s="21"/>
      <c r="J4509" s="23"/>
    </row>
    <row r="4510" ht="15.75" customHeight="1">
      <c r="B4510" s="15"/>
      <c r="C4510" s="16"/>
      <c r="D4510" s="16"/>
      <c r="E4510" s="16"/>
      <c r="F4510" s="17"/>
      <c r="G4510" s="17"/>
      <c r="H4510" s="16"/>
      <c r="I4510" s="16"/>
      <c r="J4510" s="19"/>
    </row>
    <row r="4511" ht="15.75" customHeight="1">
      <c r="B4511" s="20"/>
      <c r="C4511" s="21"/>
      <c r="D4511" s="21"/>
      <c r="E4511" s="21"/>
      <c r="F4511" s="22"/>
      <c r="G4511" s="22"/>
      <c r="H4511" s="21"/>
      <c r="I4511" s="21"/>
      <c r="J4511" s="23"/>
    </row>
    <row r="4512" ht="15.75" customHeight="1">
      <c r="B4512" s="15"/>
      <c r="C4512" s="16"/>
      <c r="D4512" s="16"/>
      <c r="E4512" s="16"/>
      <c r="F4512" s="17"/>
      <c r="G4512" s="17"/>
      <c r="H4512" s="16"/>
      <c r="I4512" s="16"/>
      <c r="J4512" s="19"/>
    </row>
    <row r="4513" ht="15.75" customHeight="1">
      <c r="B4513" s="20"/>
      <c r="C4513" s="21"/>
      <c r="D4513" s="21"/>
      <c r="E4513" s="21"/>
      <c r="F4513" s="22"/>
      <c r="G4513" s="22"/>
      <c r="H4513" s="21"/>
      <c r="I4513" s="21"/>
      <c r="J4513" s="23"/>
    </row>
    <row r="4514" ht="15.75" customHeight="1">
      <c r="B4514" s="15"/>
      <c r="C4514" s="16"/>
      <c r="D4514" s="16"/>
      <c r="E4514" s="16"/>
      <c r="F4514" s="17"/>
      <c r="G4514" s="17"/>
      <c r="H4514" s="16"/>
      <c r="I4514" s="16"/>
      <c r="J4514" s="19"/>
    </row>
    <row r="4515" ht="15.75" customHeight="1">
      <c r="B4515" s="20"/>
      <c r="C4515" s="21"/>
      <c r="D4515" s="21"/>
      <c r="E4515" s="21"/>
      <c r="F4515" s="22"/>
      <c r="G4515" s="22"/>
      <c r="H4515" s="21"/>
      <c r="I4515" s="21"/>
      <c r="J4515" s="23"/>
    </row>
    <row r="4516" ht="15.75" customHeight="1">
      <c r="B4516" s="15"/>
      <c r="C4516" s="16"/>
      <c r="D4516" s="16"/>
      <c r="E4516" s="16"/>
      <c r="F4516" s="17"/>
      <c r="G4516" s="17"/>
      <c r="H4516" s="16"/>
      <c r="I4516" s="16"/>
      <c r="J4516" s="19"/>
    </row>
    <row r="4517" ht="15.75" customHeight="1">
      <c r="B4517" s="20"/>
      <c r="C4517" s="21"/>
      <c r="D4517" s="21"/>
      <c r="E4517" s="21"/>
      <c r="F4517" s="22"/>
      <c r="G4517" s="22"/>
      <c r="H4517" s="21"/>
      <c r="I4517" s="21"/>
      <c r="J4517" s="23"/>
    </row>
    <row r="4518" ht="15.75" customHeight="1">
      <c r="B4518" s="15"/>
      <c r="C4518" s="16"/>
      <c r="D4518" s="16"/>
      <c r="E4518" s="16"/>
      <c r="F4518" s="17"/>
      <c r="G4518" s="17"/>
      <c r="H4518" s="16"/>
      <c r="I4518" s="16"/>
      <c r="J4518" s="19"/>
    </row>
    <row r="4519" ht="15.75" customHeight="1">
      <c r="B4519" s="20"/>
      <c r="C4519" s="21"/>
      <c r="D4519" s="21"/>
      <c r="E4519" s="21"/>
      <c r="F4519" s="22"/>
      <c r="G4519" s="22"/>
      <c r="H4519" s="21"/>
      <c r="I4519" s="21"/>
      <c r="J4519" s="23"/>
    </row>
    <row r="4520" ht="15.75" customHeight="1">
      <c r="B4520" s="15"/>
      <c r="C4520" s="16"/>
      <c r="D4520" s="16"/>
      <c r="E4520" s="16"/>
      <c r="F4520" s="17"/>
      <c r="G4520" s="17"/>
      <c r="H4520" s="16"/>
      <c r="I4520" s="16"/>
      <c r="J4520" s="19"/>
    </row>
    <row r="4521" ht="15.75" customHeight="1">
      <c r="B4521" s="20"/>
      <c r="C4521" s="21"/>
      <c r="D4521" s="21"/>
      <c r="E4521" s="21"/>
      <c r="F4521" s="22"/>
      <c r="G4521" s="22"/>
      <c r="H4521" s="21"/>
      <c r="I4521" s="21"/>
      <c r="J4521" s="23"/>
    </row>
    <row r="4522" ht="15.75" customHeight="1">
      <c r="B4522" s="15"/>
      <c r="C4522" s="16"/>
      <c r="D4522" s="16"/>
      <c r="E4522" s="16"/>
      <c r="F4522" s="17"/>
      <c r="G4522" s="17"/>
      <c r="H4522" s="16"/>
      <c r="I4522" s="16"/>
      <c r="J4522" s="19"/>
    </row>
    <row r="4523" ht="15.75" customHeight="1">
      <c r="B4523" s="20"/>
      <c r="C4523" s="21"/>
      <c r="D4523" s="21"/>
      <c r="E4523" s="21"/>
      <c r="F4523" s="22"/>
      <c r="G4523" s="22"/>
      <c r="H4523" s="21"/>
      <c r="I4523" s="21"/>
      <c r="J4523" s="23"/>
    </row>
    <row r="4524" ht="15.75" customHeight="1">
      <c r="B4524" s="15"/>
      <c r="C4524" s="16"/>
      <c r="D4524" s="16"/>
      <c r="E4524" s="16"/>
      <c r="F4524" s="17"/>
      <c r="G4524" s="17"/>
      <c r="H4524" s="16"/>
      <c r="I4524" s="16"/>
      <c r="J4524" s="19"/>
    </row>
    <row r="4525" ht="15.75" customHeight="1">
      <c r="B4525" s="20"/>
      <c r="C4525" s="21"/>
      <c r="D4525" s="21"/>
      <c r="E4525" s="21"/>
      <c r="F4525" s="22"/>
      <c r="G4525" s="22"/>
      <c r="H4525" s="21"/>
      <c r="I4525" s="21"/>
      <c r="J4525" s="23"/>
    </row>
    <row r="4526" ht="15.75" customHeight="1">
      <c r="B4526" s="15"/>
      <c r="C4526" s="16"/>
      <c r="D4526" s="16"/>
      <c r="E4526" s="16"/>
      <c r="F4526" s="17"/>
      <c r="G4526" s="17"/>
      <c r="H4526" s="16"/>
      <c r="I4526" s="16"/>
      <c r="J4526" s="19"/>
    </row>
    <row r="4527" ht="15.75" customHeight="1">
      <c r="B4527" s="20"/>
      <c r="C4527" s="21"/>
      <c r="D4527" s="21"/>
      <c r="E4527" s="21"/>
      <c r="F4527" s="22"/>
      <c r="G4527" s="22"/>
      <c r="H4527" s="21"/>
      <c r="I4527" s="21"/>
      <c r="J4527" s="23"/>
    </row>
    <row r="4528" ht="15.75" customHeight="1">
      <c r="B4528" s="15"/>
      <c r="C4528" s="16"/>
      <c r="D4528" s="16"/>
      <c r="E4528" s="16"/>
      <c r="F4528" s="17"/>
      <c r="G4528" s="17"/>
      <c r="H4528" s="16"/>
      <c r="I4528" s="16"/>
      <c r="J4528" s="19"/>
    </row>
    <row r="4529" ht="15.75" customHeight="1">
      <c r="B4529" s="20"/>
      <c r="C4529" s="21"/>
      <c r="D4529" s="21"/>
      <c r="E4529" s="21"/>
      <c r="F4529" s="22"/>
      <c r="G4529" s="22"/>
      <c r="H4529" s="21"/>
      <c r="I4529" s="21"/>
      <c r="J4529" s="23"/>
    </row>
    <row r="4530" ht="15.75" customHeight="1">
      <c r="B4530" s="15"/>
      <c r="C4530" s="16"/>
      <c r="D4530" s="16"/>
      <c r="E4530" s="16"/>
      <c r="F4530" s="17"/>
      <c r="G4530" s="17"/>
      <c r="H4530" s="16"/>
      <c r="I4530" s="16"/>
      <c r="J4530" s="19"/>
    </row>
    <row r="4531" ht="15.75" customHeight="1">
      <c r="B4531" s="20"/>
      <c r="C4531" s="21"/>
      <c r="D4531" s="21"/>
      <c r="E4531" s="21"/>
      <c r="F4531" s="22"/>
      <c r="G4531" s="22"/>
      <c r="H4531" s="21"/>
      <c r="I4531" s="21"/>
      <c r="J4531" s="23"/>
    </row>
    <row r="4532" ht="15.75" customHeight="1">
      <c r="B4532" s="15"/>
      <c r="C4532" s="16"/>
      <c r="D4532" s="16"/>
      <c r="E4532" s="16"/>
      <c r="F4532" s="17"/>
      <c r="G4532" s="17"/>
      <c r="H4532" s="16"/>
      <c r="I4532" s="16"/>
      <c r="J4532" s="19"/>
    </row>
    <row r="4533" ht="15.75" customHeight="1">
      <c r="B4533" s="20"/>
      <c r="C4533" s="21"/>
      <c r="D4533" s="21"/>
      <c r="E4533" s="21"/>
      <c r="F4533" s="22"/>
      <c r="G4533" s="22"/>
      <c r="H4533" s="21"/>
      <c r="I4533" s="21"/>
      <c r="J4533" s="23"/>
    </row>
    <row r="4534" ht="15.75" customHeight="1">
      <c r="B4534" s="15"/>
      <c r="C4534" s="16"/>
      <c r="D4534" s="16"/>
      <c r="E4534" s="16"/>
      <c r="F4534" s="17"/>
      <c r="G4534" s="17"/>
      <c r="H4534" s="16"/>
      <c r="I4534" s="16"/>
      <c r="J4534" s="19"/>
    </row>
    <row r="4535" ht="15.75" customHeight="1">
      <c r="B4535" s="20"/>
      <c r="C4535" s="21"/>
      <c r="D4535" s="21"/>
      <c r="E4535" s="21"/>
      <c r="F4535" s="22"/>
      <c r="G4535" s="22"/>
      <c r="H4535" s="21"/>
      <c r="I4535" s="21"/>
      <c r="J4535" s="23"/>
    </row>
    <row r="4536" ht="15.75" customHeight="1">
      <c r="B4536" s="15"/>
      <c r="C4536" s="16"/>
      <c r="D4536" s="16"/>
      <c r="E4536" s="16"/>
      <c r="F4536" s="17"/>
      <c r="G4536" s="17"/>
      <c r="H4536" s="16"/>
      <c r="I4536" s="16"/>
      <c r="J4536" s="19"/>
    </row>
    <row r="4537" ht="15.75" customHeight="1">
      <c r="B4537" s="20"/>
      <c r="C4537" s="21"/>
      <c r="D4537" s="21"/>
      <c r="E4537" s="21"/>
      <c r="F4537" s="22"/>
      <c r="G4537" s="22"/>
      <c r="H4537" s="21"/>
      <c r="I4537" s="21"/>
      <c r="J4537" s="23"/>
    </row>
    <row r="4538" ht="15.75" customHeight="1">
      <c r="B4538" s="15"/>
      <c r="C4538" s="16"/>
      <c r="D4538" s="16"/>
      <c r="E4538" s="16"/>
      <c r="F4538" s="17"/>
      <c r="G4538" s="17"/>
      <c r="H4538" s="16"/>
      <c r="I4538" s="16"/>
      <c r="J4538" s="19"/>
    </row>
    <row r="4539" ht="15.75" customHeight="1">
      <c r="B4539" s="20"/>
      <c r="C4539" s="21"/>
      <c r="D4539" s="21"/>
      <c r="E4539" s="21"/>
      <c r="F4539" s="22"/>
      <c r="G4539" s="22"/>
      <c r="H4539" s="21"/>
      <c r="I4539" s="21"/>
      <c r="J4539" s="23"/>
    </row>
    <row r="4540" ht="15.75" customHeight="1">
      <c r="B4540" s="15"/>
      <c r="C4540" s="16"/>
      <c r="D4540" s="16"/>
      <c r="E4540" s="16"/>
      <c r="F4540" s="17"/>
      <c r="G4540" s="17"/>
      <c r="H4540" s="16"/>
      <c r="I4540" s="16"/>
      <c r="J4540" s="19"/>
    </row>
    <row r="4541" ht="15.75" customHeight="1">
      <c r="B4541" s="20"/>
      <c r="C4541" s="21"/>
      <c r="D4541" s="21"/>
      <c r="E4541" s="21"/>
      <c r="F4541" s="22"/>
      <c r="G4541" s="22"/>
      <c r="H4541" s="21"/>
      <c r="I4541" s="21"/>
      <c r="J4541" s="23"/>
    </row>
    <row r="4542" ht="15.75" customHeight="1">
      <c r="B4542" s="15"/>
      <c r="C4542" s="16"/>
      <c r="D4542" s="16"/>
      <c r="E4542" s="16"/>
      <c r="F4542" s="17"/>
      <c r="G4542" s="17"/>
      <c r="H4542" s="16"/>
      <c r="I4542" s="16"/>
      <c r="J4542" s="19"/>
    </row>
    <row r="4543" ht="15.75" customHeight="1">
      <c r="B4543" s="20"/>
      <c r="C4543" s="21"/>
      <c r="D4543" s="21"/>
      <c r="E4543" s="21"/>
      <c r="F4543" s="22"/>
      <c r="G4543" s="22"/>
      <c r="H4543" s="21"/>
      <c r="I4543" s="21"/>
      <c r="J4543" s="23"/>
    </row>
    <row r="4544" ht="15.75" customHeight="1">
      <c r="B4544" s="15"/>
      <c r="C4544" s="16"/>
      <c r="D4544" s="16"/>
      <c r="E4544" s="16"/>
      <c r="F4544" s="17"/>
      <c r="G4544" s="17"/>
      <c r="H4544" s="16"/>
      <c r="I4544" s="16"/>
      <c r="J4544" s="19"/>
    </row>
    <row r="4545" ht="15.75" customHeight="1">
      <c r="B4545" s="20"/>
      <c r="C4545" s="21"/>
      <c r="D4545" s="21"/>
      <c r="E4545" s="21"/>
      <c r="F4545" s="22"/>
      <c r="G4545" s="22"/>
      <c r="H4545" s="21"/>
      <c r="I4545" s="21"/>
      <c r="J4545" s="23"/>
    </row>
    <row r="4546" ht="15.75" customHeight="1">
      <c r="B4546" s="15"/>
      <c r="C4546" s="16"/>
      <c r="D4546" s="16"/>
      <c r="E4546" s="16"/>
      <c r="F4546" s="17"/>
      <c r="G4546" s="17"/>
      <c r="H4546" s="16"/>
      <c r="I4546" s="16"/>
      <c r="J4546" s="19"/>
    </row>
    <row r="4547" ht="15.75" customHeight="1">
      <c r="B4547" s="20"/>
      <c r="C4547" s="21"/>
      <c r="D4547" s="21"/>
      <c r="E4547" s="21"/>
      <c r="F4547" s="22"/>
      <c r="G4547" s="22"/>
      <c r="H4547" s="21"/>
      <c r="I4547" s="21"/>
      <c r="J4547" s="23"/>
    </row>
    <row r="4548" ht="15.75" customHeight="1">
      <c r="B4548" s="15"/>
      <c r="C4548" s="16"/>
      <c r="D4548" s="16"/>
      <c r="E4548" s="16"/>
      <c r="F4548" s="17"/>
      <c r="G4548" s="17"/>
      <c r="H4548" s="16"/>
      <c r="I4548" s="16"/>
      <c r="J4548" s="19"/>
    </row>
    <row r="4549" ht="15.75" customHeight="1">
      <c r="B4549" s="20"/>
      <c r="C4549" s="21"/>
      <c r="D4549" s="21"/>
      <c r="E4549" s="21"/>
      <c r="F4549" s="22"/>
      <c r="G4549" s="22"/>
      <c r="H4549" s="21"/>
      <c r="I4549" s="21"/>
      <c r="J4549" s="23"/>
    </row>
    <row r="4550" ht="15.75" customHeight="1">
      <c r="B4550" s="15"/>
      <c r="C4550" s="16"/>
      <c r="D4550" s="16"/>
      <c r="E4550" s="16"/>
      <c r="F4550" s="17"/>
      <c r="G4550" s="17"/>
      <c r="H4550" s="16"/>
      <c r="I4550" s="16"/>
      <c r="J4550" s="19"/>
    </row>
    <row r="4551" ht="15.75" customHeight="1">
      <c r="B4551" s="20"/>
      <c r="C4551" s="21"/>
      <c r="D4551" s="21"/>
      <c r="E4551" s="21"/>
      <c r="F4551" s="22"/>
      <c r="G4551" s="22"/>
      <c r="H4551" s="21"/>
      <c r="I4551" s="21"/>
      <c r="J4551" s="23"/>
    </row>
    <row r="4552" ht="15.75" customHeight="1">
      <c r="B4552" s="15"/>
      <c r="C4552" s="16"/>
      <c r="D4552" s="16"/>
      <c r="E4552" s="16"/>
      <c r="F4552" s="17"/>
      <c r="G4552" s="17"/>
      <c r="H4552" s="16"/>
      <c r="I4552" s="16"/>
      <c r="J4552" s="19"/>
    </row>
    <row r="4553" ht="15.75" customHeight="1">
      <c r="B4553" s="20"/>
      <c r="C4553" s="21"/>
      <c r="D4553" s="21"/>
      <c r="E4553" s="21"/>
      <c r="F4553" s="22"/>
      <c r="G4553" s="22"/>
      <c r="H4553" s="21"/>
      <c r="I4553" s="21"/>
      <c r="J4553" s="23"/>
    </row>
    <row r="4554" ht="15.75" customHeight="1">
      <c r="B4554" s="15"/>
      <c r="C4554" s="16"/>
      <c r="D4554" s="16"/>
      <c r="E4554" s="16"/>
      <c r="F4554" s="17"/>
      <c r="G4554" s="17"/>
      <c r="H4554" s="16"/>
      <c r="I4554" s="16"/>
      <c r="J4554" s="19"/>
    </row>
    <row r="4555" ht="15.75" customHeight="1">
      <c r="B4555" s="20"/>
      <c r="C4555" s="21"/>
      <c r="D4555" s="21"/>
      <c r="E4555" s="21"/>
      <c r="F4555" s="22"/>
      <c r="G4555" s="22"/>
      <c r="H4555" s="21"/>
      <c r="I4555" s="21"/>
      <c r="J4555" s="23"/>
    </row>
    <row r="4556" ht="15.75" customHeight="1">
      <c r="B4556" s="15"/>
      <c r="C4556" s="16"/>
      <c r="D4556" s="16"/>
      <c r="E4556" s="16"/>
      <c r="F4556" s="17"/>
      <c r="G4556" s="17"/>
      <c r="H4556" s="16"/>
      <c r="I4556" s="16"/>
      <c r="J4556" s="19"/>
    </row>
    <row r="4557" ht="15.75" customHeight="1">
      <c r="B4557" s="20"/>
      <c r="C4557" s="21"/>
      <c r="D4557" s="21"/>
      <c r="E4557" s="21"/>
      <c r="F4557" s="22"/>
      <c r="G4557" s="22"/>
      <c r="H4557" s="21"/>
      <c r="I4557" s="21"/>
      <c r="J4557" s="23"/>
    </row>
    <row r="4558" ht="15.75" customHeight="1">
      <c r="B4558" s="15"/>
      <c r="C4558" s="16"/>
      <c r="D4558" s="16"/>
      <c r="E4558" s="16"/>
      <c r="F4558" s="17"/>
      <c r="G4558" s="17"/>
      <c r="H4558" s="16"/>
      <c r="I4558" s="16"/>
      <c r="J4558" s="19"/>
    </row>
    <row r="4559" ht="15.75" customHeight="1">
      <c r="B4559" s="20"/>
      <c r="C4559" s="21"/>
      <c r="D4559" s="21"/>
      <c r="E4559" s="21"/>
      <c r="F4559" s="22"/>
      <c r="G4559" s="22"/>
      <c r="H4559" s="21"/>
      <c r="I4559" s="21"/>
      <c r="J4559" s="23"/>
    </row>
    <row r="4560" ht="15.75" customHeight="1">
      <c r="B4560" s="15"/>
      <c r="C4560" s="16"/>
      <c r="D4560" s="16"/>
      <c r="E4560" s="16"/>
      <c r="F4560" s="17"/>
      <c r="G4560" s="17"/>
      <c r="H4560" s="16"/>
      <c r="I4560" s="16"/>
      <c r="J4560" s="19"/>
    </row>
    <row r="4561" ht="15.75" customHeight="1">
      <c r="B4561" s="20"/>
      <c r="C4561" s="21"/>
      <c r="D4561" s="21"/>
      <c r="E4561" s="21"/>
      <c r="F4561" s="22"/>
      <c r="G4561" s="22"/>
      <c r="H4561" s="21"/>
      <c r="I4561" s="21"/>
      <c r="J4561" s="23"/>
    </row>
    <row r="4562" ht="15.75" customHeight="1">
      <c r="B4562" s="15"/>
      <c r="C4562" s="16"/>
      <c r="D4562" s="16"/>
      <c r="E4562" s="16"/>
      <c r="F4562" s="17"/>
      <c r="G4562" s="17"/>
      <c r="H4562" s="16"/>
      <c r="I4562" s="16"/>
      <c r="J4562" s="19"/>
    </row>
    <row r="4563" ht="15.75" customHeight="1">
      <c r="B4563" s="20"/>
      <c r="C4563" s="21"/>
      <c r="D4563" s="21"/>
      <c r="E4563" s="21"/>
      <c r="F4563" s="22"/>
      <c r="G4563" s="22"/>
      <c r="H4563" s="21"/>
      <c r="I4563" s="21"/>
      <c r="J4563" s="23"/>
    </row>
    <row r="4564" ht="15.75" customHeight="1">
      <c r="B4564" s="15"/>
      <c r="C4564" s="16"/>
      <c r="D4564" s="16"/>
      <c r="E4564" s="16"/>
      <c r="F4564" s="17"/>
      <c r="G4564" s="17"/>
      <c r="H4564" s="16"/>
      <c r="I4564" s="16"/>
      <c r="J4564" s="19"/>
    </row>
    <row r="4565" ht="15.75" customHeight="1">
      <c r="B4565" s="20"/>
      <c r="C4565" s="21"/>
      <c r="D4565" s="21"/>
      <c r="E4565" s="21"/>
      <c r="F4565" s="22"/>
      <c r="G4565" s="22"/>
      <c r="H4565" s="21"/>
      <c r="I4565" s="21"/>
      <c r="J4565" s="23"/>
    </row>
    <row r="4566" ht="15.75" customHeight="1">
      <c r="B4566" s="15"/>
      <c r="C4566" s="16"/>
      <c r="D4566" s="16"/>
      <c r="E4566" s="16"/>
      <c r="F4566" s="17"/>
      <c r="G4566" s="17"/>
      <c r="H4566" s="16"/>
      <c r="I4566" s="16"/>
      <c r="J4566" s="19"/>
    </row>
    <row r="4567" ht="15.75" customHeight="1">
      <c r="B4567" s="20"/>
      <c r="C4567" s="21"/>
      <c r="D4567" s="21"/>
      <c r="E4567" s="21"/>
      <c r="F4567" s="22"/>
      <c r="G4567" s="22"/>
      <c r="H4567" s="21"/>
      <c r="I4567" s="21"/>
      <c r="J4567" s="23"/>
    </row>
    <row r="4568" ht="15.75" customHeight="1">
      <c r="B4568" s="15"/>
      <c r="C4568" s="16"/>
      <c r="D4568" s="16"/>
      <c r="E4568" s="16"/>
      <c r="F4568" s="17"/>
      <c r="G4568" s="17"/>
      <c r="H4568" s="16"/>
      <c r="I4568" s="16"/>
      <c r="J4568" s="19"/>
    </row>
    <row r="4569" ht="15.75" customHeight="1">
      <c r="B4569" s="20"/>
      <c r="C4569" s="21"/>
      <c r="D4569" s="21"/>
      <c r="E4569" s="21"/>
      <c r="F4569" s="22"/>
      <c r="G4569" s="22"/>
      <c r="H4569" s="21"/>
      <c r="I4569" s="21"/>
      <c r="J4569" s="23"/>
    </row>
    <row r="4570" ht="15.75" customHeight="1">
      <c r="B4570" s="15"/>
      <c r="C4570" s="16"/>
      <c r="D4570" s="16"/>
      <c r="E4570" s="16"/>
      <c r="F4570" s="17"/>
      <c r="G4570" s="17"/>
      <c r="H4570" s="16"/>
      <c r="I4570" s="16"/>
      <c r="J4570" s="19"/>
    </row>
    <row r="4571" ht="15.75" customHeight="1">
      <c r="B4571" s="20"/>
      <c r="C4571" s="21"/>
      <c r="D4571" s="21"/>
      <c r="E4571" s="21"/>
      <c r="F4571" s="22"/>
      <c r="G4571" s="22"/>
      <c r="H4571" s="21"/>
      <c r="I4571" s="21"/>
      <c r="J4571" s="23"/>
    </row>
    <row r="4572" ht="15.75" customHeight="1">
      <c r="B4572" s="15"/>
      <c r="C4572" s="16"/>
      <c r="D4572" s="16"/>
      <c r="E4572" s="16"/>
      <c r="F4572" s="17"/>
      <c r="G4572" s="17"/>
      <c r="H4572" s="16"/>
      <c r="I4572" s="16"/>
      <c r="J4572" s="19"/>
    </row>
    <row r="4573" ht="15.75" customHeight="1">
      <c r="B4573" s="20"/>
      <c r="C4573" s="21"/>
      <c r="D4573" s="21"/>
      <c r="E4573" s="21"/>
      <c r="F4573" s="22"/>
      <c r="G4573" s="22"/>
      <c r="H4573" s="21"/>
      <c r="I4573" s="21"/>
      <c r="J4573" s="23"/>
    </row>
    <row r="4574" ht="15.75" customHeight="1">
      <c r="B4574" s="15"/>
      <c r="C4574" s="16"/>
      <c r="D4574" s="16"/>
      <c r="E4574" s="16"/>
      <c r="F4574" s="17"/>
      <c r="G4574" s="17"/>
      <c r="H4574" s="16"/>
      <c r="I4574" s="16"/>
      <c r="J4574" s="19"/>
    </row>
    <row r="4575" ht="15.75" customHeight="1">
      <c r="B4575" s="20"/>
      <c r="C4575" s="21"/>
      <c r="D4575" s="21"/>
      <c r="E4575" s="21"/>
      <c r="F4575" s="22"/>
      <c r="G4575" s="22"/>
      <c r="H4575" s="21"/>
      <c r="I4575" s="21"/>
      <c r="J4575" s="23"/>
    </row>
    <row r="4576" ht="15.75" customHeight="1">
      <c r="B4576" s="15"/>
      <c r="C4576" s="16"/>
      <c r="D4576" s="16"/>
      <c r="E4576" s="16"/>
      <c r="F4576" s="17"/>
      <c r="G4576" s="17"/>
      <c r="H4576" s="16"/>
      <c r="I4576" s="16"/>
      <c r="J4576" s="19"/>
    </row>
    <row r="4577" ht="15.75" customHeight="1">
      <c r="B4577" s="20"/>
      <c r="C4577" s="21"/>
      <c r="D4577" s="21"/>
      <c r="E4577" s="21"/>
      <c r="F4577" s="22"/>
      <c r="G4577" s="22"/>
      <c r="H4577" s="21"/>
      <c r="I4577" s="21"/>
      <c r="J4577" s="23"/>
    </row>
    <row r="4578" ht="15.75" customHeight="1">
      <c r="B4578" s="15"/>
      <c r="C4578" s="16"/>
      <c r="D4578" s="16"/>
      <c r="E4578" s="16"/>
      <c r="F4578" s="17"/>
      <c r="G4578" s="17"/>
      <c r="H4578" s="16"/>
      <c r="I4578" s="16"/>
      <c r="J4578" s="19"/>
    </row>
    <row r="4579" ht="15.75" customHeight="1">
      <c r="B4579" s="20"/>
      <c r="C4579" s="21"/>
      <c r="D4579" s="21"/>
      <c r="E4579" s="21"/>
      <c r="F4579" s="22"/>
      <c r="G4579" s="22"/>
      <c r="H4579" s="21"/>
      <c r="I4579" s="21"/>
      <c r="J4579" s="23"/>
    </row>
    <row r="4580" ht="15.75" customHeight="1">
      <c r="B4580" s="15"/>
      <c r="C4580" s="16"/>
      <c r="D4580" s="16"/>
      <c r="E4580" s="16"/>
      <c r="F4580" s="17"/>
      <c r="G4580" s="17"/>
      <c r="H4580" s="16"/>
      <c r="I4580" s="16"/>
      <c r="J4580" s="19"/>
    </row>
    <row r="4581" ht="15.75" customHeight="1">
      <c r="B4581" s="20"/>
      <c r="C4581" s="21"/>
      <c r="D4581" s="21"/>
      <c r="E4581" s="21"/>
      <c r="F4581" s="22"/>
      <c r="G4581" s="22"/>
      <c r="H4581" s="21"/>
      <c r="I4581" s="21"/>
      <c r="J4581" s="23"/>
    </row>
    <row r="4582" ht="15.75" customHeight="1">
      <c r="B4582" s="15"/>
      <c r="C4582" s="16"/>
      <c r="D4582" s="16"/>
      <c r="E4582" s="16"/>
      <c r="F4582" s="17"/>
      <c r="G4582" s="17"/>
      <c r="H4582" s="16"/>
      <c r="I4582" s="16"/>
      <c r="J4582" s="19"/>
    </row>
    <row r="4583" ht="15.75" customHeight="1">
      <c r="B4583" s="20"/>
      <c r="C4583" s="21"/>
      <c r="D4583" s="21"/>
      <c r="E4583" s="21"/>
      <c r="F4583" s="22"/>
      <c r="G4583" s="22"/>
      <c r="H4583" s="21"/>
      <c r="I4583" s="21"/>
      <c r="J4583" s="23"/>
    </row>
    <row r="4584" ht="15.75" customHeight="1">
      <c r="B4584" s="15"/>
      <c r="C4584" s="16"/>
      <c r="D4584" s="16"/>
      <c r="E4584" s="16"/>
      <c r="F4584" s="17"/>
      <c r="G4584" s="17"/>
      <c r="H4584" s="16"/>
      <c r="I4584" s="16"/>
      <c r="J4584" s="19"/>
    </row>
    <row r="4585" ht="15.75" customHeight="1">
      <c r="B4585" s="20"/>
      <c r="C4585" s="21"/>
      <c r="D4585" s="21"/>
      <c r="E4585" s="21"/>
      <c r="F4585" s="22"/>
      <c r="G4585" s="22"/>
      <c r="H4585" s="21"/>
      <c r="I4585" s="21"/>
      <c r="J4585" s="23"/>
    </row>
    <row r="4586" ht="15.75" customHeight="1">
      <c r="B4586" s="15"/>
      <c r="C4586" s="16"/>
      <c r="D4586" s="16"/>
      <c r="E4586" s="16"/>
      <c r="F4586" s="17"/>
      <c r="G4586" s="17"/>
      <c r="H4586" s="16"/>
      <c r="I4586" s="16"/>
      <c r="J4586" s="19"/>
    </row>
    <row r="4587" ht="15.75" customHeight="1">
      <c r="B4587" s="20"/>
      <c r="C4587" s="21"/>
      <c r="D4587" s="21"/>
      <c r="E4587" s="21"/>
      <c r="F4587" s="22"/>
      <c r="G4587" s="22"/>
      <c r="H4587" s="21"/>
      <c r="I4587" s="21"/>
      <c r="J4587" s="23"/>
    </row>
    <row r="4588" ht="15.75" customHeight="1">
      <c r="B4588" s="15"/>
      <c r="C4588" s="16"/>
      <c r="D4588" s="16"/>
      <c r="E4588" s="16"/>
      <c r="F4588" s="17"/>
      <c r="G4588" s="17"/>
      <c r="H4588" s="16"/>
      <c r="I4588" s="16"/>
      <c r="J4588" s="19"/>
    </row>
    <row r="4589" ht="15.75" customHeight="1">
      <c r="B4589" s="20"/>
      <c r="C4589" s="21"/>
      <c r="D4589" s="21"/>
      <c r="E4589" s="21"/>
      <c r="F4589" s="22"/>
      <c r="G4589" s="22"/>
      <c r="H4589" s="21"/>
      <c r="I4589" s="21"/>
      <c r="J4589" s="23"/>
    </row>
    <row r="4590" ht="15.75" customHeight="1">
      <c r="B4590" s="15"/>
      <c r="C4590" s="16"/>
      <c r="D4590" s="16"/>
      <c r="E4590" s="16"/>
      <c r="F4590" s="17"/>
      <c r="G4590" s="17"/>
      <c r="H4590" s="16"/>
      <c r="I4590" s="16"/>
      <c r="J4590" s="19"/>
    </row>
    <row r="4591" ht="15.75" customHeight="1">
      <c r="B4591" s="20"/>
      <c r="C4591" s="21"/>
      <c r="D4591" s="21"/>
      <c r="E4591" s="21"/>
      <c r="F4591" s="22"/>
      <c r="G4591" s="22"/>
      <c r="H4591" s="21"/>
      <c r="I4591" s="21"/>
      <c r="J4591" s="23"/>
    </row>
    <row r="4592" ht="15.75" customHeight="1">
      <c r="B4592" s="15"/>
      <c r="C4592" s="16"/>
      <c r="D4592" s="16"/>
      <c r="E4592" s="16"/>
      <c r="F4592" s="17"/>
      <c r="G4592" s="17"/>
      <c r="H4592" s="16"/>
      <c r="I4592" s="16"/>
      <c r="J4592" s="19"/>
    </row>
    <row r="4593" ht="15.75" customHeight="1">
      <c r="B4593" s="20"/>
      <c r="C4593" s="21"/>
      <c r="D4593" s="21"/>
      <c r="E4593" s="21"/>
      <c r="F4593" s="22"/>
      <c r="G4593" s="22"/>
      <c r="H4593" s="21"/>
      <c r="I4593" s="21"/>
      <c r="J4593" s="2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1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1" t="s">
        <v>9</v>
      </c>
      <c r="J1" s="32" t="s">
        <v>10</v>
      </c>
      <c r="K1" s="32" t="s">
        <v>11</v>
      </c>
    </row>
    <row r="2">
      <c r="A2" s="15">
        <v>2014.0</v>
      </c>
      <c r="B2" s="16">
        <v>1.0</v>
      </c>
      <c r="C2" s="16">
        <v>3.0</v>
      </c>
      <c r="D2" s="16">
        <v>1.0</v>
      </c>
      <c r="E2" s="17" t="s">
        <v>16</v>
      </c>
      <c r="F2" s="18" t="s">
        <v>62</v>
      </c>
      <c r="G2" s="16">
        <v>7.0</v>
      </c>
      <c r="H2" s="16">
        <v>5.93</v>
      </c>
      <c r="I2" s="19">
        <v>12.93</v>
      </c>
      <c r="J2" s="33"/>
      <c r="K2" s="33"/>
    </row>
    <row r="3">
      <c r="A3" s="20">
        <v>2014.0</v>
      </c>
      <c r="B3" s="21">
        <v>1.0</v>
      </c>
      <c r="C3" s="21">
        <v>3.0</v>
      </c>
      <c r="D3" s="21">
        <v>1.0</v>
      </c>
      <c r="E3" s="22" t="s">
        <v>16</v>
      </c>
      <c r="F3" s="22" t="s">
        <v>122</v>
      </c>
      <c r="G3" s="21">
        <v>5.33</v>
      </c>
      <c r="H3" s="21">
        <v>4.6</v>
      </c>
      <c r="I3" s="23">
        <v>9.93</v>
      </c>
      <c r="J3" s="33"/>
      <c r="K3" s="33"/>
    </row>
    <row r="4">
      <c r="A4" s="15">
        <v>2014.0</v>
      </c>
      <c r="B4" s="16">
        <v>1.0</v>
      </c>
      <c r="C4" s="16">
        <v>3.0</v>
      </c>
      <c r="D4" s="16">
        <v>2.0</v>
      </c>
      <c r="E4" s="17" t="s">
        <v>16</v>
      </c>
      <c r="F4" s="17" t="s">
        <v>27</v>
      </c>
      <c r="G4" s="16">
        <v>5.1</v>
      </c>
      <c r="H4" s="16">
        <v>5.0</v>
      </c>
      <c r="I4" s="19">
        <v>10.1</v>
      </c>
      <c r="J4" s="33"/>
      <c r="K4" s="33"/>
    </row>
    <row r="5">
      <c r="A5" s="20">
        <v>2014.0</v>
      </c>
      <c r="B5" s="21">
        <v>1.0</v>
      </c>
      <c r="C5" s="21">
        <v>3.0</v>
      </c>
      <c r="D5" s="21">
        <v>2.0</v>
      </c>
      <c r="E5" s="22" t="s">
        <v>16</v>
      </c>
      <c r="F5" s="24" t="s">
        <v>123</v>
      </c>
      <c r="G5" s="21">
        <v>7.0</v>
      </c>
      <c r="H5" s="21">
        <v>3.93</v>
      </c>
      <c r="I5" s="23">
        <v>10.93</v>
      </c>
      <c r="J5" s="33"/>
      <c r="K5" s="33"/>
    </row>
    <row r="6">
      <c r="A6" s="15">
        <v>2014.0</v>
      </c>
      <c r="B6" s="16">
        <v>1.0</v>
      </c>
      <c r="C6" s="16">
        <v>3.0</v>
      </c>
      <c r="D6" s="16">
        <v>3.0</v>
      </c>
      <c r="E6" s="17" t="s">
        <v>16</v>
      </c>
      <c r="F6" s="17" t="s">
        <v>31</v>
      </c>
      <c r="G6" s="25">
        <v>7.433</v>
      </c>
      <c r="H6" s="16">
        <v>6.33</v>
      </c>
      <c r="I6" s="26">
        <v>13.763</v>
      </c>
      <c r="J6" s="33"/>
      <c r="K6" s="33"/>
    </row>
    <row r="7">
      <c r="A7" s="20">
        <v>2014.0</v>
      </c>
      <c r="B7" s="21">
        <v>1.0</v>
      </c>
      <c r="C7" s="21">
        <v>3.0</v>
      </c>
      <c r="D7" s="21">
        <v>3.0</v>
      </c>
      <c r="E7" s="22" t="s">
        <v>16</v>
      </c>
      <c r="F7" s="24" t="s">
        <v>124</v>
      </c>
      <c r="G7" s="21">
        <v>8.33</v>
      </c>
      <c r="H7" s="21">
        <v>6.83</v>
      </c>
      <c r="I7" s="23">
        <v>15.16</v>
      </c>
      <c r="J7" s="33"/>
      <c r="K7" s="33"/>
    </row>
    <row r="8">
      <c r="A8" s="15">
        <v>2014.0</v>
      </c>
      <c r="B8" s="16">
        <v>1.0</v>
      </c>
      <c r="C8" s="16">
        <v>3.0</v>
      </c>
      <c r="D8" s="16">
        <v>4.0</v>
      </c>
      <c r="E8" s="17" t="s">
        <v>16</v>
      </c>
      <c r="F8" s="24" t="s">
        <v>125</v>
      </c>
      <c r="G8" s="16">
        <v>5.67</v>
      </c>
      <c r="H8" s="16">
        <v>4.53</v>
      </c>
      <c r="I8" s="19">
        <v>10.2</v>
      </c>
      <c r="J8" s="33"/>
      <c r="K8" s="33"/>
    </row>
    <row r="9">
      <c r="A9" s="20">
        <v>2014.0</v>
      </c>
      <c r="B9" s="21">
        <v>1.0</v>
      </c>
      <c r="C9" s="21">
        <v>3.0</v>
      </c>
      <c r="D9" s="21">
        <v>4.0</v>
      </c>
      <c r="E9" s="22" t="s">
        <v>16</v>
      </c>
      <c r="F9" s="22" t="s">
        <v>29</v>
      </c>
      <c r="G9" s="21">
        <v>5.13</v>
      </c>
      <c r="H9" s="21">
        <v>4.83</v>
      </c>
      <c r="I9" s="23">
        <v>9.96</v>
      </c>
      <c r="J9" s="33"/>
      <c r="K9" s="33"/>
    </row>
    <row r="10">
      <c r="A10" s="15">
        <v>2014.0</v>
      </c>
      <c r="B10" s="16">
        <v>1.0</v>
      </c>
      <c r="C10" s="16">
        <v>3.0</v>
      </c>
      <c r="D10" s="16">
        <v>5.0</v>
      </c>
      <c r="E10" s="17" t="s">
        <v>16</v>
      </c>
      <c r="F10" s="24" t="s">
        <v>30</v>
      </c>
      <c r="G10" s="16">
        <v>7.83</v>
      </c>
      <c r="H10" s="16">
        <v>5.33</v>
      </c>
      <c r="I10" s="19">
        <v>13.16</v>
      </c>
      <c r="J10" s="33"/>
      <c r="K10" s="33"/>
    </row>
    <row r="11">
      <c r="A11" s="20">
        <v>2014.0</v>
      </c>
      <c r="B11" s="21">
        <v>1.0</v>
      </c>
      <c r="C11" s="21">
        <v>3.0</v>
      </c>
      <c r="D11" s="21">
        <v>5.0</v>
      </c>
      <c r="E11" s="22" t="s">
        <v>16</v>
      </c>
      <c r="F11" s="22" t="s">
        <v>47</v>
      </c>
      <c r="G11" s="21">
        <v>2.6</v>
      </c>
      <c r="H11" s="21">
        <v>2.17</v>
      </c>
      <c r="I11" s="23">
        <v>4.77</v>
      </c>
      <c r="J11" s="33"/>
      <c r="K11" s="33"/>
    </row>
    <row r="12">
      <c r="A12" s="15">
        <v>2014.0</v>
      </c>
      <c r="B12" s="16">
        <v>1.0</v>
      </c>
      <c r="C12" s="16">
        <v>3.0</v>
      </c>
      <c r="D12" s="16">
        <v>6.0</v>
      </c>
      <c r="E12" s="17" t="s">
        <v>16</v>
      </c>
      <c r="F12" s="24" t="s">
        <v>41</v>
      </c>
      <c r="G12" s="16">
        <v>8.5</v>
      </c>
      <c r="H12" s="16">
        <v>7.33</v>
      </c>
      <c r="I12" s="19">
        <v>15.83</v>
      </c>
      <c r="J12" s="33"/>
      <c r="K12" s="33"/>
    </row>
    <row r="13">
      <c r="A13" s="20">
        <v>2014.0</v>
      </c>
      <c r="B13" s="21">
        <v>1.0</v>
      </c>
      <c r="C13" s="21">
        <v>3.0</v>
      </c>
      <c r="D13" s="21">
        <v>6.0</v>
      </c>
      <c r="E13" s="22" t="s">
        <v>16</v>
      </c>
      <c r="F13" s="22" t="s">
        <v>100</v>
      </c>
      <c r="G13" s="21">
        <v>7.33</v>
      </c>
      <c r="H13" s="21">
        <v>6.13</v>
      </c>
      <c r="I13" s="23">
        <v>13.46</v>
      </c>
      <c r="J13" s="33"/>
      <c r="K13" s="33"/>
    </row>
    <row r="14">
      <c r="A14" s="15">
        <v>2014.0</v>
      </c>
      <c r="B14" s="16">
        <v>1.0</v>
      </c>
      <c r="C14" s="16">
        <v>3.0</v>
      </c>
      <c r="D14" s="16">
        <v>7.0</v>
      </c>
      <c r="E14" s="17" t="s">
        <v>16</v>
      </c>
      <c r="F14" s="24" t="s">
        <v>37</v>
      </c>
      <c r="G14" s="16">
        <v>9.07</v>
      </c>
      <c r="H14" s="16">
        <v>7.5</v>
      </c>
      <c r="I14" s="19">
        <v>16.57</v>
      </c>
      <c r="J14" s="33"/>
      <c r="K14" s="33"/>
    </row>
    <row r="15">
      <c r="A15" s="20">
        <v>2014.0</v>
      </c>
      <c r="B15" s="21">
        <v>1.0</v>
      </c>
      <c r="C15" s="21">
        <v>3.0</v>
      </c>
      <c r="D15" s="21">
        <v>7.0</v>
      </c>
      <c r="E15" s="22" t="s">
        <v>16</v>
      </c>
      <c r="F15" s="22" t="s">
        <v>120</v>
      </c>
      <c r="G15" s="21">
        <v>5.5</v>
      </c>
      <c r="H15" s="21">
        <v>3.17</v>
      </c>
      <c r="I15" s="23">
        <v>8.67</v>
      </c>
      <c r="J15" s="33"/>
      <c r="K15" s="33"/>
    </row>
    <row r="16">
      <c r="A16" s="15">
        <v>2014.0</v>
      </c>
      <c r="B16" s="16">
        <v>1.0</v>
      </c>
      <c r="C16" s="16">
        <v>3.0</v>
      </c>
      <c r="D16" s="16">
        <v>8.0</v>
      </c>
      <c r="E16" s="17" t="s">
        <v>16</v>
      </c>
      <c r="F16" s="24" t="s">
        <v>42</v>
      </c>
      <c r="G16" s="16">
        <v>8.33</v>
      </c>
      <c r="H16" s="16">
        <v>5.67</v>
      </c>
      <c r="I16" s="19">
        <v>14.0</v>
      </c>
      <c r="J16" s="33"/>
      <c r="K16" s="33"/>
    </row>
    <row r="17">
      <c r="A17" s="20">
        <v>2014.0</v>
      </c>
      <c r="B17" s="21">
        <v>1.0</v>
      </c>
      <c r="C17" s="21">
        <v>3.0</v>
      </c>
      <c r="D17" s="21">
        <v>8.0</v>
      </c>
      <c r="E17" s="22" t="s">
        <v>16</v>
      </c>
      <c r="F17" s="22" t="s">
        <v>50</v>
      </c>
      <c r="G17" s="21">
        <v>0.0</v>
      </c>
      <c r="H17" s="21">
        <v>5.33</v>
      </c>
      <c r="I17" s="23">
        <v>5.33</v>
      </c>
      <c r="J17" s="33"/>
      <c r="K17" s="33"/>
    </row>
    <row r="18">
      <c r="A18" s="15">
        <v>2014.0</v>
      </c>
      <c r="B18" s="16">
        <v>1.0</v>
      </c>
      <c r="C18" s="16">
        <v>3.0</v>
      </c>
      <c r="D18" s="16">
        <v>9.0</v>
      </c>
      <c r="E18" s="17" t="s">
        <v>16</v>
      </c>
      <c r="F18" s="24" t="s">
        <v>45</v>
      </c>
      <c r="G18" s="16">
        <v>6.5</v>
      </c>
      <c r="H18" s="16">
        <v>5.97</v>
      </c>
      <c r="I18" s="19">
        <v>12.47</v>
      </c>
      <c r="J18" s="33"/>
      <c r="K18" s="33"/>
    </row>
    <row r="19">
      <c r="A19" s="20">
        <v>2014.0</v>
      </c>
      <c r="B19" s="21">
        <v>1.0</v>
      </c>
      <c r="C19" s="21">
        <v>3.0</v>
      </c>
      <c r="D19" s="21">
        <v>9.0</v>
      </c>
      <c r="E19" s="22" t="s">
        <v>16</v>
      </c>
      <c r="F19" s="22" t="s">
        <v>32</v>
      </c>
      <c r="G19" s="21">
        <v>5.83</v>
      </c>
      <c r="H19" s="21">
        <v>5.5</v>
      </c>
      <c r="I19" s="23">
        <v>11.33</v>
      </c>
      <c r="J19" s="33"/>
      <c r="K19" s="33"/>
    </row>
    <row r="20">
      <c r="A20" s="15">
        <v>2014.0</v>
      </c>
      <c r="B20" s="16">
        <v>1.0</v>
      </c>
      <c r="C20" s="16">
        <v>3.0</v>
      </c>
      <c r="D20" s="16">
        <v>10.0</v>
      </c>
      <c r="E20" s="17" t="s">
        <v>16</v>
      </c>
      <c r="F20" s="24" t="s">
        <v>56</v>
      </c>
      <c r="G20" s="16">
        <v>9.0</v>
      </c>
      <c r="H20" s="16">
        <v>6.17</v>
      </c>
      <c r="I20" s="19">
        <v>15.17</v>
      </c>
      <c r="J20" s="33"/>
      <c r="K20" s="33"/>
    </row>
    <row r="21">
      <c r="A21" s="20">
        <v>2014.0</v>
      </c>
      <c r="B21" s="21">
        <v>1.0</v>
      </c>
      <c r="C21" s="21">
        <v>3.0</v>
      </c>
      <c r="D21" s="21">
        <v>10.0</v>
      </c>
      <c r="E21" s="22" t="s">
        <v>16</v>
      </c>
      <c r="F21" s="22" t="s">
        <v>35</v>
      </c>
      <c r="G21" s="21">
        <v>7.03</v>
      </c>
      <c r="H21" s="21">
        <v>5.57</v>
      </c>
      <c r="I21" s="23">
        <v>12.6</v>
      </c>
      <c r="J21" s="33"/>
      <c r="K21" s="33"/>
    </row>
    <row r="22">
      <c r="A22" s="15">
        <v>2014.0</v>
      </c>
      <c r="B22" s="16">
        <v>1.0</v>
      </c>
      <c r="C22" s="16">
        <v>3.0</v>
      </c>
      <c r="D22" s="16">
        <v>11.0</v>
      </c>
      <c r="E22" s="17" t="s">
        <v>16</v>
      </c>
      <c r="F22" s="17" t="s">
        <v>57</v>
      </c>
      <c r="G22" s="16">
        <v>9.73</v>
      </c>
      <c r="H22" s="16">
        <v>6.17</v>
      </c>
      <c r="I22" s="19">
        <v>15.9</v>
      </c>
      <c r="J22" s="33"/>
      <c r="K22" s="33"/>
    </row>
    <row r="23">
      <c r="A23" s="20">
        <v>2014.0</v>
      </c>
      <c r="B23" s="21">
        <v>1.0</v>
      </c>
      <c r="C23" s="21">
        <v>3.0</v>
      </c>
      <c r="D23" s="21">
        <v>11.0</v>
      </c>
      <c r="E23" s="22" t="s">
        <v>16</v>
      </c>
      <c r="F23" s="24" t="s">
        <v>55</v>
      </c>
      <c r="G23" s="21">
        <v>8.87</v>
      </c>
      <c r="H23" s="21">
        <v>7.33</v>
      </c>
      <c r="I23" s="23">
        <v>16.2</v>
      </c>
      <c r="J23" s="33"/>
      <c r="K23" s="33"/>
    </row>
    <row r="24">
      <c r="A24" s="15">
        <v>2014.0</v>
      </c>
      <c r="B24" s="16">
        <v>1.0</v>
      </c>
      <c r="C24" s="16">
        <v>3.0</v>
      </c>
      <c r="D24" s="16">
        <v>12.0</v>
      </c>
      <c r="E24" s="17" t="s">
        <v>16</v>
      </c>
      <c r="F24" s="24" t="s">
        <v>39</v>
      </c>
      <c r="G24" s="16">
        <v>7.33</v>
      </c>
      <c r="H24" s="16">
        <v>6.33</v>
      </c>
      <c r="I24" s="19">
        <v>13.66</v>
      </c>
      <c r="J24" s="33"/>
      <c r="K24" s="33"/>
    </row>
    <row r="25">
      <c r="A25" s="20">
        <v>2014.0</v>
      </c>
      <c r="B25" s="21">
        <v>1.0</v>
      </c>
      <c r="C25" s="21">
        <v>3.0</v>
      </c>
      <c r="D25" s="21">
        <v>12.0</v>
      </c>
      <c r="E25" s="22" t="s">
        <v>16</v>
      </c>
      <c r="F25" s="22" t="s">
        <v>126</v>
      </c>
      <c r="G25" s="21">
        <v>6.67</v>
      </c>
      <c r="H25" s="21">
        <v>6.57</v>
      </c>
      <c r="I25" s="23">
        <v>13.24</v>
      </c>
      <c r="J25" s="33"/>
      <c r="K25" s="33"/>
    </row>
    <row r="26">
      <c r="A26" s="15">
        <v>2014.0</v>
      </c>
      <c r="B26" s="16">
        <v>1.0</v>
      </c>
      <c r="C26" s="16">
        <v>4.0</v>
      </c>
      <c r="D26" s="16">
        <v>1.0</v>
      </c>
      <c r="E26" s="17" t="s">
        <v>16</v>
      </c>
      <c r="F26" s="24" t="s">
        <v>62</v>
      </c>
      <c r="G26" s="16">
        <v>7.7</v>
      </c>
      <c r="H26" s="16">
        <v>6.83</v>
      </c>
      <c r="I26" s="19">
        <v>14.53</v>
      </c>
      <c r="J26" s="33"/>
      <c r="K26" s="33"/>
    </row>
    <row r="27">
      <c r="A27" s="20">
        <v>2014.0</v>
      </c>
      <c r="B27" s="21">
        <v>1.0</v>
      </c>
      <c r="C27" s="21">
        <v>4.0</v>
      </c>
      <c r="D27" s="21">
        <v>1.0</v>
      </c>
      <c r="E27" s="22" t="s">
        <v>16</v>
      </c>
      <c r="F27" s="22" t="s">
        <v>123</v>
      </c>
      <c r="G27" s="21">
        <v>7.57</v>
      </c>
      <c r="H27" s="21">
        <v>6.53</v>
      </c>
      <c r="I27" s="23">
        <v>14.1</v>
      </c>
      <c r="J27" s="33"/>
      <c r="K27" s="33"/>
    </row>
    <row r="28">
      <c r="A28" s="15">
        <v>2014.0</v>
      </c>
      <c r="B28" s="16">
        <v>1.0</v>
      </c>
      <c r="C28" s="16">
        <v>4.0</v>
      </c>
      <c r="D28" s="16">
        <v>1.0</v>
      </c>
      <c r="E28" s="17" t="s">
        <v>16</v>
      </c>
      <c r="F28" s="17" t="s">
        <v>124</v>
      </c>
      <c r="G28" s="16">
        <v>7.43</v>
      </c>
      <c r="H28" s="16">
        <v>5.57</v>
      </c>
      <c r="I28" s="19">
        <v>13.0</v>
      </c>
      <c r="J28" s="33"/>
      <c r="K28" s="33"/>
    </row>
    <row r="29">
      <c r="A29" s="20">
        <v>2014.0</v>
      </c>
      <c r="B29" s="21">
        <v>1.0</v>
      </c>
      <c r="C29" s="21">
        <v>4.0</v>
      </c>
      <c r="D29" s="21">
        <v>2.0</v>
      </c>
      <c r="E29" s="22" t="s">
        <v>16</v>
      </c>
      <c r="F29" s="22" t="s">
        <v>125</v>
      </c>
      <c r="G29" s="21">
        <v>4.9</v>
      </c>
      <c r="H29" s="21">
        <v>4.63</v>
      </c>
      <c r="I29" s="23">
        <v>9.53</v>
      </c>
      <c r="J29" s="33"/>
      <c r="K29" s="33"/>
    </row>
    <row r="30">
      <c r="A30" s="15">
        <v>2014.0</v>
      </c>
      <c r="B30" s="16">
        <v>1.0</v>
      </c>
      <c r="C30" s="16">
        <v>4.0</v>
      </c>
      <c r="D30" s="16">
        <v>2.0</v>
      </c>
      <c r="E30" s="17" t="s">
        <v>16</v>
      </c>
      <c r="F30" s="24" t="s">
        <v>30</v>
      </c>
      <c r="G30" s="16">
        <v>8.6</v>
      </c>
      <c r="H30" s="16">
        <v>6.33</v>
      </c>
      <c r="I30" s="19">
        <v>14.93</v>
      </c>
      <c r="J30" s="33"/>
      <c r="K30" s="33"/>
    </row>
    <row r="31">
      <c r="A31" s="20">
        <v>2014.0</v>
      </c>
      <c r="B31" s="21">
        <v>1.0</v>
      </c>
      <c r="C31" s="21">
        <v>4.0</v>
      </c>
      <c r="D31" s="21">
        <v>2.0</v>
      </c>
      <c r="E31" s="22" t="s">
        <v>16</v>
      </c>
      <c r="F31" s="22" t="s">
        <v>41</v>
      </c>
      <c r="G31" s="21">
        <v>7.93</v>
      </c>
      <c r="H31" s="21">
        <v>6.77</v>
      </c>
      <c r="I31" s="23">
        <v>14.7</v>
      </c>
      <c r="J31" s="33"/>
      <c r="K31" s="33"/>
    </row>
    <row r="32">
      <c r="A32" s="15">
        <v>2014.0</v>
      </c>
      <c r="B32" s="16">
        <v>1.0</v>
      </c>
      <c r="C32" s="16">
        <v>4.0</v>
      </c>
      <c r="D32" s="16">
        <v>3.0</v>
      </c>
      <c r="E32" s="17" t="s">
        <v>16</v>
      </c>
      <c r="F32" s="17" t="s">
        <v>37</v>
      </c>
      <c r="G32" s="16">
        <v>7.5</v>
      </c>
      <c r="H32" s="16">
        <v>6.27</v>
      </c>
      <c r="I32" s="19">
        <v>13.77</v>
      </c>
      <c r="J32" s="33"/>
      <c r="K32" s="33"/>
    </row>
    <row r="33">
      <c r="A33" s="20">
        <v>2014.0</v>
      </c>
      <c r="B33" s="21">
        <v>1.0</v>
      </c>
      <c r="C33" s="21">
        <v>4.0</v>
      </c>
      <c r="D33" s="21">
        <v>3.0</v>
      </c>
      <c r="E33" s="22" t="s">
        <v>16</v>
      </c>
      <c r="F33" s="24" t="s">
        <v>42</v>
      </c>
      <c r="G33" s="21">
        <v>8.27</v>
      </c>
      <c r="H33" s="21">
        <v>6.6</v>
      </c>
      <c r="I33" s="23">
        <v>14.87</v>
      </c>
      <c r="J33" s="33"/>
      <c r="K33" s="33"/>
    </row>
    <row r="34">
      <c r="A34" s="15">
        <v>2014.0</v>
      </c>
      <c r="B34" s="16">
        <v>1.0</v>
      </c>
      <c r="C34" s="16">
        <v>4.0</v>
      </c>
      <c r="D34" s="16">
        <v>3.0</v>
      </c>
      <c r="E34" s="17" t="s">
        <v>16</v>
      </c>
      <c r="F34" s="17" t="s">
        <v>45</v>
      </c>
      <c r="G34" s="16">
        <v>6.1</v>
      </c>
      <c r="H34" s="16">
        <v>4.67</v>
      </c>
      <c r="I34" s="19">
        <v>10.77</v>
      </c>
      <c r="J34" s="33"/>
      <c r="K34" s="33"/>
    </row>
    <row r="35">
      <c r="A35" s="20">
        <v>2014.0</v>
      </c>
      <c r="B35" s="21">
        <v>1.0</v>
      </c>
      <c r="C35" s="21">
        <v>4.0</v>
      </c>
      <c r="D35" s="21">
        <v>4.0</v>
      </c>
      <c r="E35" s="22" t="s">
        <v>16</v>
      </c>
      <c r="F35" s="22" t="s">
        <v>56</v>
      </c>
      <c r="G35" s="21">
        <v>6.4</v>
      </c>
      <c r="H35" s="21">
        <v>4.5</v>
      </c>
      <c r="I35" s="23">
        <v>10.9</v>
      </c>
      <c r="J35" s="33"/>
      <c r="K35" s="33"/>
    </row>
    <row r="36">
      <c r="A36" s="15">
        <v>2014.0</v>
      </c>
      <c r="B36" s="16">
        <v>1.0</v>
      </c>
      <c r="C36" s="16">
        <v>4.0</v>
      </c>
      <c r="D36" s="16">
        <v>4.0</v>
      </c>
      <c r="E36" s="17" t="s">
        <v>16</v>
      </c>
      <c r="F36" s="17" t="s">
        <v>55</v>
      </c>
      <c r="G36" s="16">
        <v>6.67</v>
      </c>
      <c r="H36" s="16">
        <v>4.9</v>
      </c>
      <c r="I36" s="19">
        <v>11.57</v>
      </c>
      <c r="J36" s="33"/>
      <c r="K36" s="33"/>
    </row>
    <row r="37">
      <c r="A37" s="20">
        <v>2014.0</v>
      </c>
      <c r="B37" s="21">
        <v>1.0</v>
      </c>
      <c r="C37" s="21">
        <v>4.0</v>
      </c>
      <c r="D37" s="21">
        <v>4.0</v>
      </c>
      <c r="E37" s="22" t="s">
        <v>16</v>
      </c>
      <c r="F37" s="24" t="s">
        <v>39</v>
      </c>
      <c r="G37" s="21">
        <v>7.07</v>
      </c>
      <c r="H37" s="21">
        <v>6.87</v>
      </c>
      <c r="I37" s="23">
        <v>13.94</v>
      </c>
      <c r="J37" s="33"/>
      <c r="K37" s="33"/>
    </row>
    <row r="38">
      <c r="A38" s="15">
        <v>2014.0</v>
      </c>
      <c r="B38" s="16">
        <v>1.0</v>
      </c>
      <c r="C38" s="16">
        <v>5.0</v>
      </c>
      <c r="D38" s="16">
        <v>1.0</v>
      </c>
      <c r="E38" s="17" t="s">
        <v>16</v>
      </c>
      <c r="F38" s="17" t="s">
        <v>123</v>
      </c>
      <c r="G38" s="16">
        <v>7.07</v>
      </c>
      <c r="H38" s="16">
        <v>6.13</v>
      </c>
      <c r="I38" s="19">
        <v>13.2</v>
      </c>
      <c r="J38" s="33"/>
      <c r="K38" s="33"/>
    </row>
    <row r="39">
      <c r="A39" s="20">
        <v>2014.0</v>
      </c>
      <c r="B39" s="21">
        <v>1.0</v>
      </c>
      <c r="C39" s="21">
        <v>5.0</v>
      </c>
      <c r="D39" s="21">
        <v>1.0</v>
      </c>
      <c r="E39" s="22" t="s">
        <v>16</v>
      </c>
      <c r="F39" s="24" t="s">
        <v>125</v>
      </c>
      <c r="G39" s="21">
        <v>7.33</v>
      </c>
      <c r="H39" s="21">
        <v>6.2</v>
      </c>
      <c r="I39" s="23">
        <v>13.53</v>
      </c>
      <c r="J39" s="33"/>
      <c r="K39" s="33"/>
    </row>
    <row r="40">
      <c r="A40" s="15">
        <v>2014.0</v>
      </c>
      <c r="B40" s="16">
        <v>1.0</v>
      </c>
      <c r="C40" s="16">
        <v>5.0</v>
      </c>
      <c r="D40" s="16">
        <v>2.0</v>
      </c>
      <c r="E40" s="17" t="s">
        <v>16</v>
      </c>
      <c r="F40" s="24" t="s">
        <v>41</v>
      </c>
      <c r="G40" s="16">
        <v>9.23</v>
      </c>
      <c r="H40" s="16">
        <v>9.17</v>
      </c>
      <c r="I40" s="19">
        <v>18.4</v>
      </c>
      <c r="J40" s="33"/>
      <c r="K40" s="33"/>
    </row>
    <row r="41">
      <c r="A41" s="20">
        <v>2014.0</v>
      </c>
      <c r="B41" s="21">
        <v>1.0</v>
      </c>
      <c r="C41" s="21">
        <v>5.0</v>
      </c>
      <c r="D41" s="21">
        <v>2.0</v>
      </c>
      <c r="E41" s="22" t="s">
        <v>16</v>
      </c>
      <c r="F41" s="22" t="s">
        <v>124</v>
      </c>
      <c r="G41" s="21">
        <v>6.27</v>
      </c>
      <c r="H41" s="21">
        <v>4.0</v>
      </c>
      <c r="I41" s="23">
        <v>10.27</v>
      </c>
      <c r="J41" s="33"/>
      <c r="K41" s="33"/>
    </row>
    <row r="42">
      <c r="A42" s="15">
        <v>2014.0</v>
      </c>
      <c r="B42" s="16">
        <v>1.0</v>
      </c>
      <c r="C42" s="16">
        <v>5.0</v>
      </c>
      <c r="D42" s="16">
        <v>3.0</v>
      </c>
      <c r="E42" s="17" t="s">
        <v>16</v>
      </c>
      <c r="F42" s="24" t="s">
        <v>37</v>
      </c>
      <c r="G42" s="16">
        <v>8.33</v>
      </c>
      <c r="H42" s="16">
        <v>7.93</v>
      </c>
      <c r="I42" s="19">
        <v>16.26</v>
      </c>
      <c r="J42" s="33"/>
      <c r="K42" s="33"/>
    </row>
    <row r="43">
      <c r="A43" s="20">
        <v>2014.0</v>
      </c>
      <c r="B43" s="21">
        <v>1.0</v>
      </c>
      <c r="C43" s="21">
        <v>5.0</v>
      </c>
      <c r="D43" s="21">
        <v>3.0</v>
      </c>
      <c r="E43" s="22" t="s">
        <v>16</v>
      </c>
      <c r="F43" s="22" t="s">
        <v>56</v>
      </c>
      <c r="G43" s="21">
        <v>7.33</v>
      </c>
      <c r="H43" s="21">
        <v>7.07</v>
      </c>
      <c r="I43" s="23">
        <v>14.4</v>
      </c>
      <c r="J43" s="33"/>
      <c r="K43" s="33"/>
    </row>
    <row r="44">
      <c r="A44" s="15">
        <v>2014.0</v>
      </c>
      <c r="B44" s="16">
        <v>1.0</v>
      </c>
      <c r="C44" s="16">
        <v>5.0</v>
      </c>
      <c r="D44" s="16">
        <v>4.0</v>
      </c>
      <c r="E44" s="17" t="s">
        <v>16</v>
      </c>
      <c r="F44" s="24" t="s">
        <v>55</v>
      </c>
      <c r="G44" s="16">
        <v>8.8</v>
      </c>
      <c r="H44" s="16">
        <v>7.6</v>
      </c>
      <c r="I44" s="19">
        <v>16.4</v>
      </c>
      <c r="J44" s="33"/>
      <c r="K44" s="33"/>
    </row>
    <row r="45">
      <c r="A45" s="20">
        <v>2014.0</v>
      </c>
      <c r="B45" s="21">
        <v>1.0</v>
      </c>
      <c r="C45" s="21">
        <v>5.0</v>
      </c>
      <c r="D45" s="21">
        <v>4.0</v>
      </c>
      <c r="E45" s="22" t="s">
        <v>16</v>
      </c>
      <c r="F45" s="22" t="s">
        <v>45</v>
      </c>
      <c r="G45" s="21">
        <v>8.43</v>
      </c>
      <c r="H45" s="21">
        <v>6.77</v>
      </c>
      <c r="I45" s="23">
        <v>15.2</v>
      </c>
      <c r="J45" s="33"/>
      <c r="K45" s="33"/>
    </row>
    <row r="46">
      <c r="A46" s="15">
        <v>2014.0</v>
      </c>
      <c r="B46" s="16">
        <v>1.0</v>
      </c>
      <c r="C46" s="16">
        <v>6.0</v>
      </c>
      <c r="D46" s="16">
        <v>1.0</v>
      </c>
      <c r="E46" s="17" t="s">
        <v>16</v>
      </c>
      <c r="F46" s="24" t="s">
        <v>62</v>
      </c>
      <c r="G46" s="16">
        <v>8.0</v>
      </c>
      <c r="H46" s="16">
        <v>7.0</v>
      </c>
      <c r="I46" s="19">
        <v>15.0</v>
      </c>
      <c r="J46" s="33"/>
      <c r="K46" s="33"/>
    </row>
    <row r="47">
      <c r="A47" s="20">
        <v>2014.0</v>
      </c>
      <c r="B47" s="21">
        <v>1.0</v>
      </c>
      <c r="C47" s="21">
        <v>6.0</v>
      </c>
      <c r="D47" s="21">
        <v>1.0</v>
      </c>
      <c r="E47" s="22" t="s">
        <v>16</v>
      </c>
      <c r="F47" s="22" t="s">
        <v>125</v>
      </c>
      <c r="G47" s="21">
        <v>7.43</v>
      </c>
      <c r="H47" s="21">
        <v>5.03</v>
      </c>
      <c r="I47" s="23">
        <v>12.46</v>
      </c>
      <c r="J47" s="33"/>
      <c r="K47" s="33"/>
    </row>
    <row r="48">
      <c r="A48" s="15">
        <v>2014.0</v>
      </c>
      <c r="B48" s="16">
        <v>1.0</v>
      </c>
      <c r="C48" s="16">
        <v>6.0</v>
      </c>
      <c r="D48" s="16">
        <v>2.0</v>
      </c>
      <c r="E48" s="17" t="s">
        <v>16</v>
      </c>
      <c r="F48" s="24" t="s">
        <v>30</v>
      </c>
      <c r="G48" s="16">
        <v>9.4</v>
      </c>
      <c r="H48" s="16">
        <v>6.43</v>
      </c>
      <c r="I48" s="19">
        <v>15.83</v>
      </c>
      <c r="J48" s="33"/>
      <c r="K48" s="33"/>
    </row>
    <row r="49">
      <c r="A49" s="20">
        <v>2014.0</v>
      </c>
      <c r="B49" s="21">
        <v>1.0</v>
      </c>
      <c r="C49" s="21">
        <v>6.0</v>
      </c>
      <c r="D49" s="21">
        <v>2.0</v>
      </c>
      <c r="E49" s="22" t="s">
        <v>16</v>
      </c>
      <c r="F49" s="22" t="s">
        <v>41</v>
      </c>
      <c r="G49" s="21">
        <v>7.2</v>
      </c>
      <c r="H49" s="21">
        <v>6.8</v>
      </c>
      <c r="I49" s="23">
        <v>14.0</v>
      </c>
      <c r="J49" s="33"/>
      <c r="K49" s="33"/>
    </row>
    <row r="50">
      <c r="A50" s="15">
        <v>2014.0</v>
      </c>
      <c r="B50" s="16">
        <v>1.0</v>
      </c>
      <c r="C50" s="16">
        <v>6.0</v>
      </c>
      <c r="D50" s="16">
        <v>3.0</v>
      </c>
      <c r="E50" s="17" t="s">
        <v>16</v>
      </c>
      <c r="F50" s="24" t="s">
        <v>42</v>
      </c>
      <c r="G50" s="16">
        <v>8.6</v>
      </c>
      <c r="H50" s="16">
        <v>7.93</v>
      </c>
      <c r="I50" s="19">
        <v>16.53</v>
      </c>
      <c r="J50" s="33"/>
      <c r="K50" s="33"/>
    </row>
    <row r="51">
      <c r="A51" s="20">
        <v>2014.0</v>
      </c>
      <c r="B51" s="21">
        <v>1.0</v>
      </c>
      <c r="C51" s="21">
        <v>6.0</v>
      </c>
      <c r="D51" s="21">
        <v>3.0</v>
      </c>
      <c r="E51" s="22" t="s">
        <v>16</v>
      </c>
      <c r="F51" s="22" t="s">
        <v>37</v>
      </c>
      <c r="G51" s="21">
        <v>6.67</v>
      </c>
      <c r="H51" s="21">
        <v>5.5</v>
      </c>
      <c r="I51" s="23">
        <v>12.17</v>
      </c>
      <c r="J51" s="33"/>
      <c r="K51" s="33"/>
    </row>
    <row r="52">
      <c r="A52" s="15">
        <v>2014.0</v>
      </c>
      <c r="B52" s="16">
        <v>1.0</v>
      </c>
      <c r="C52" s="16">
        <v>6.0</v>
      </c>
      <c r="D52" s="16">
        <v>4.0</v>
      </c>
      <c r="E52" s="17" t="s">
        <v>16</v>
      </c>
      <c r="F52" s="24" t="s">
        <v>39</v>
      </c>
      <c r="G52" s="16">
        <v>9.0</v>
      </c>
      <c r="H52" s="16">
        <v>8.93</v>
      </c>
      <c r="I52" s="19">
        <v>17.93</v>
      </c>
      <c r="J52" s="33"/>
      <c r="K52" s="33"/>
    </row>
    <row r="53">
      <c r="A53" s="20">
        <v>2014.0</v>
      </c>
      <c r="B53" s="21">
        <v>1.0</v>
      </c>
      <c r="C53" s="21">
        <v>6.0</v>
      </c>
      <c r="D53" s="21">
        <v>4.0</v>
      </c>
      <c r="E53" s="22" t="s">
        <v>16</v>
      </c>
      <c r="F53" s="22" t="s">
        <v>55</v>
      </c>
      <c r="G53" s="21">
        <v>6.83</v>
      </c>
      <c r="H53" s="21">
        <v>6.43</v>
      </c>
      <c r="I53" s="23">
        <v>13.26</v>
      </c>
      <c r="J53" s="33"/>
      <c r="K53" s="33"/>
    </row>
    <row r="54">
      <c r="A54" s="15">
        <v>2014.0</v>
      </c>
      <c r="B54" s="16">
        <v>1.0</v>
      </c>
      <c r="C54" s="16">
        <v>7.0</v>
      </c>
      <c r="D54" s="16">
        <v>1.0</v>
      </c>
      <c r="E54" s="17" t="s">
        <v>16</v>
      </c>
      <c r="F54" s="17" t="s">
        <v>62</v>
      </c>
      <c r="G54" s="16">
        <v>7.77</v>
      </c>
      <c r="H54" s="16">
        <v>6.33</v>
      </c>
      <c r="I54" s="19">
        <v>14.1</v>
      </c>
      <c r="J54" s="33"/>
      <c r="K54" s="33"/>
    </row>
    <row r="55">
      <c r="A55" s="20">
        <v>2014.0</v>
      </c>
      <c r="B55" s="21">
        <v>1.0</v>
      </c>
      <c r="C55" s="21">
        <v>7.0</v>
      </c>
      <c r="D55" s="21">
        <v>1.0</v>
      </c>
      <c r="E55" s="22" t="s">
        <v>16</v>
      </c>
      <c r="F55" s="24" t="s">
        <v>30</v>
      </c>
      <c r="G55" s="21">
        <v>7.23</v>
      </c>
      <c r="H55" s="21">
        <v>6.9</v>
      </c>
      <c r="I55" s="23">
        <v>14.13</v>
      </c>
      <c r="J55" s="33"/>
      <c r="K55" s="33"/>
    </row>
    <row r="56">
      <c r="A56" s="15">
        <v>2014.0</v>
      </c>
      <c r="B56" s="16">
        <v>1.0</v>
      </c>
      <c r="C56" s="16">
        <v>7.0</v>
      </c>
      <c r="D56" s="16">
        <v>2.0</v>
      </c>
      <c r="E56" s="17" t="s">
        <v>16</v>
      </c>
      <c r="F56" s="17" t="s">
        <v>42</v>
      </c>
      <c r="G56" s="16">
        <v>7.07</v>
      </c>
      <c r="H56" s="16">
        <v>2.6</v>
      </c>
      <c r="I56" s="19">
        <v>9.67</v>
      </c>
      <c r="J56" s="33"/>
      <c r="K56" s="33"/>
    </row>
    <row r="57">
      <c r="A57" s="20">
        <v>2014.0</v>
      </c>
      <c r="B57" s="21">
        <v>1.0</v>
      </c>
      <c r="C57" s="21">
        <v>7.0</v>
      </c>
      <c r="D57" s="21">
        <v>2.0</v>
      </c>
      <c r="E57" s="22" t="s">
        <v>16</v>
      </c>
      <c r="F57" s="24" t="s">
        <v>39</v>
      </c>
      <c r="G57" s="21">
        <v>9.93</v>
      </c>
      <c r="H57" s="21">
        <v>8.77</v>
      </c>
      <c r="I57" s="23">
        <v>18.7</v>
      </c>
      <c r="J57" s="33"/>
      <c r="K57" s="33"/>
    </row>
    <row r="58">
      <c r="A58" s="15">
        <v>2014.0</v>
      </c>
      <c r="B58" s="16">
        <v>1.0</v>
      </c>
      <c r="C58" s="16">
        <v>8.0</v>
      </c>
      <c r="D58" s="16">
        <v>1.0</v>
      </c>
      <c r="E58" s="17" t="s">
        <v>16</v>
      </c>
      <c r="F58" s="24" t="s">
        <v>30</v>
      </c>
      <c r="G58" s="16">
        <v>8.5</v>
      </c>
      <c r="H58" s="16">
        <v>7.83</v>
      </c>
      <c r="I58" s="19">
        <v>16.33</v>
      </c>
      <c r="J58" s="33"/>
      <c r="K58" s="33"/>
    </row>
    <row r="59">
      <c r="A59" s="20">
        <v>2014.0</v>
      </c>
      <c r="B59" s="21">
        <v>1.0</v>
      </c>
      <c r="C59" s="21">
        <v>8.0</v>
      </c>
      <c r="D59" s="21">
        <v>1.0</v>
      </c>
      <c r="E59" s="22" t="s">
        <v>16</v>
      </c>
      <c r="F59" s="22" t="s">
        <v>39</v>
      </c>
      <c r="G59" s="21">
        <v>9.0</v>
      </c>
      <c r="H59" s="21">
        <v>7.27</v>
      </c>
      <c r="I59" s="23">
        <v>16.27</v>
      </c>
      <c r="J59" s="33"/>
      <c r="K59" s="33"/>
    </row>
    <row r="60">
      <c r="A60" s="15">
        <v>2014.0</v>
      </c>
      <c r="B60" s="16">
        <v>2.0</v>
      </c>
      <c r="C60" s="16">
        <v>3.0</v>
      </c>
      <c r="D60" s="16">
        <v>1.0</v>
      </c>
      <c r="E60" s="17" t="s">
        <v>16</v>
      </c>
      <c r="F60" s="17" t="s">
        <v>62</v>
      </c>
      <c r="G60" s="16">
        <v>7.6</v>
      </c>
      <c r="H60" s="16">
        <v>7.33</v>
      </c>
      <c r="I60" s="19">
        <v>14.93</v>
      </c>
      <c r="J60" s="33"/>
      <c r="K60" s="33"/>
    </row>
    <row r="61">
      <c r="A61" s="20">
        <v>2014.0</v>
      </c>
      <c r="B61" s="21">
        <v>2.0</v>
      </c>
      <c r="C61" s="21">
        <v>3.0</v>
      </c>
      <c r="D61" s="21">
        <v>1.0</v>
      </c>
      <c r="E61" s="22" t="s">
        <v>16</v>
      </c>
      <c r="F61" s="27" t="s">
        <v>59</v>
      </c>
      <c r="G61" s="21">
        <v>8.6</v>
      </c>
      <c r="H61" s="21">
        <v>6.6</v>
      </c>
      <c r="I61" s="23">
        <v>15.2</v>
      </c>
      <c r="J61" s="33"/>
      <c r="K61" s="33"/>
    </row>
    <row r="62">
      <c r="A62" s="15">
        <v>2014.0</v>
      </c>
      <c r="B62" s="16">
        <v>2.0</v>
      </c>
      <c r="C62" s="16">
        <v>3.0</v>
      </c>
      <c r="D62" s="16">
        <v>2.0</v>
      </c>
      <c r="E62" s="17" t="s">
        <v>16</v>
      </c>
      <c r="F62" s="27" t="s">
        <v>45</v>
      </c>
      <c r="G62" s="16">
        <v>6.23</v>
      </c>
      <c r="H62" s="16">
        <v>6.0</v>
      </c>
      <c r="I62" s="19">
        <v>12.23</v>
      </c>
      <c r="J62" s="33"/>
      <c r="K62" s="33"/>
    </row>
    <row r="63">
      <c r="A63" s="20">
        <v>2014.0</v>
      </c>
      <c r="B63" s="21">
        <v>2.0</v>
      </c>
      <c r="C63" s="21">
        <v>3.0</v>
      </c>
      <c r="D63" s="21">
        <v>2.0</v>
      </c>
      <c r="E63" s="22" t="s">
        <v>16</v>
      </c>
      <c r="F63" s="22" t="s">
        <v>47</v>
      </c>
      <c r="G63" s="21">
        <v>5.4</v>
      </c>
      <c r="H63" s="21">
        <v>4.9</v>
      </c>
      <c r="I63" s="23">
        <v>10.3</v>
      </c>
      <c r="J63" s="33"/>
      <c r="K63" s="33"/>
    </row>
    <row r="64">
      <c r="A64" s="15">
        <v>2014.0</v>
      </c>
      <c r="B64" s="16">
        <v>2.0</v>
      </c>
      <c r="C64" s="16">
        <v>3.0</v>
      </c>
      <c r="D64" s="16">
        <v>3.0</v>
      </c>
      <c r="E64" s="17" t="s">
        <v>16</v>
      </c>
      <c r="F64" s="27" t="s">
        <v>28</v>
      </c>
      <c r="G64" s="16">
        <v>7.83</v>
      </c>
      <c r="H64" s="16">
        <v>5.27</v>
      </c>
      <c r="I64" s="19">
        <v>13.1</v>
      </c>
      <c r="J64" s="33"/>
      <c r="K64" s="33"/>
    </row>
    <row r="65">
      <c r="A65" s="20">
        <v>2014.0</v>
      </c>
      <c r="B65" s="21">
        <v>2.0</v>
      </c>
      <c r="C65" s="21">
        <v>3.0</v>
      </c>
      <c r="D65" s="21">
        <v>3.0</v>
      </c>
      <c r="E65" s="22" t="s">
        <v>16</v>
      </c>
      <c r="F65" s="22" t="s">
        <v>29</v>
      </c>
      <c r="G65" s="21">
        <v>7.5</v>
      </c>
      <c r="H65" s="21">
        <v>2.17</v>
      </c>
      <c r="I65" s="23">
        <v>9.67</v>
      </c>
      <c r="J65" s="33"/>
      <c r="K65" s="33"/>
    </row>
    <row r="66">
      <c r="A66" s="15">
        <v>2014.0</v>
      </c>
      <c r="B66" s="16">
        <v>2.0</v>
      </c>
      <c r="C66" s="16">
        <v>3.0</v>
      </c>
      <c r="D66" s="16">
        <v>4.0</v>
      </c>
      <c r="E66" s="17" t="s">
        <v>16</v>
      </c>
      <c r="F66" s="17" t="s">
        <v>125</v>
      </c>
      <c r="G66" s="16">
        <v>5.67</v>
      </c>
      <c r="H66" s="16">
        <v>4.0</v>
      </c>
      <c r="I66" s="19">
        <v>9.67</v>
      </c>
      <c r="J66" s="33"/>
      <c r="K66" s="33"/>
    </row>
    <row r="67">
      <c r="A67" s="20">
        <v>2014.0</v>
      </c>
      <c r="B67" s="21">
        <v>2.0</v>
      </c>
      <c r="C67" s="21">
        <v>3.0</v>
      </c>
      <c r="D67" s="21">
        <v>4.0</v>
      </c>
      <c r="E67" s="22" t="s">
        <v>16</v>
      </c>
      <c r="F67" s="27" t="s">
        <v>55</v>
      </c>
      <c r="G67" s="21">
        <v>6.67</v>
      </c>
      <c r="H67" s="21">
        <v>4.67</v>
      </c>
      <c r="I67" s="23">
        <v>11.34</v>
      </c>
      <c r="J67" s="33"/>
      <c r="K67" s="33"/>
    </row>
    <row r="68">
      <c r="A68" s="15">
        <v>2014.0</v>
      </c>
      <c r="B68" s="16">
        <v>2.0</v>
      </c>
      <c r="C68" s="16">
        <v>3.0</v>
      </c>
      <c r="D68" s="16">
        <v>5.0</v>
      </c>
      <c r="E68" s="17" t="s">
        <v>16</v>
      </c>
      <c r="F68" s="27" t="s">
        <v>30</v>
      </c>
      <c r="G68" s="16">
        <v>8.77</v>
      </c>
      <c r="H68" s="16">
        <v>7.67</v>
      </c>
      <c r="I68" s="19">
        <v>16.44</v>
      </c>
      <c r="J68" s="33"/>
      <c r="K68" s="33"/>
    </row>
    <row r="69">
      <c r="A69" s="20">
        <v>2014.0</v>
      </c>
      <c r="B69" s="21">
        <v>2.0</v>
      </c>
      <c r="C69" s="21">
        <v>3.0</v>
      </c>
      <c r="D69" s="21">
        <v>5.0</v>
      </c>
      <c r="E69" s="22" t="s">
        <v>16</v>
      </c>
      <c r="F69" s="22" t="s">
        <v>26</v>
      </c>
      <c r="G69" s="21">
        <v>8.5</v>
      </c>
      <c r="H69" s="21">
        <v>4.5</v>
      </c>
      <c r="I69" s="23">
        <v>13.0</v>
      </c>
      <c r="J69" s="33"/>
      <c r="K69" s="33"/>
    </row>
    <row r="70">
      <c r="A70" s="15">
        <v>2014.0</v>
      </c>
      <c r="B70" s="16">
        <v>2.0</v>
      </c>
      <c r="C70" s="16">
        <v>3.0</v>
      </c>
      <c r="D70" s="16">
        <v>6.0</v>
      </c>
      <c r="E70" s="17" t="s">
        <v>16</v>
      </c>
      <c r="F70" s="17" t="s">
        <v>41</v>
      </c>
      <c r="G70" s="16">
        <v>5.5</v>
      </c>
      <c r="H70" s="16">
        <v>4.33</v>
      </c>
      <c r="I70" s="19">
        <v>9.83</v>
      </c>
      <c r="J70" s="33"/>
      <c r="K70" s="33"/>
    </row>
    <row r="71">
      <c r="A71" s="20">
        <v>2014.0</v>
      </c>
      <c r="B71" s="21">
        <v>2.0</v>
      </c>
      <c r="C71" s="21">
        <v>3.0</v>
      </c>
      <c r="D71" s="21">
        <v>6.0</v>
      </c>
      <c r="E71" s="22" t="s">
        <v>16</v>
      </c>
      <c r="F71" s="27" t="s">
        <v>127</v>
      </c>
      <c r="G71" s="21">
        <v>9.77</v>
      </c>
      <c r="H71" s="21">
        <v>7.17</v>
      </c>
      <c r="I71" s="23">
        <v>16.94</v>
      </c>
      <c r="J71" s="33"/>
      <c r="K71" s="33"/>
    </row>
    <row r="72">
      <c r="A72" s="15">
        <v>2014.0</v>
      </c>
      <c r="B72" s="16">
        <v>2.0</v>
      </c>
      <c r="C72" s="16">
        <v>3.0</v>
      </c>
      <c r="D72" s="16">
        <v>7.0</v>
      </c>
      <c r="E72" s="17" t="s">
        <v>16</v>
      </c>
      <c r="F72" s="27" t="s">
        <v>37</v>
      </c>
      <c r="G72" s="16">
        <v>6.83</v>
      </c>
      <c r="H72" s="16">
        <v>5.73</v>
      </c>
      <c r="I72" s="19">
        <v>12.56</v>
      </c>
      <c r="J72" s="33"/>
      <c r="K72" s="33"/>
    </row>
    <row r="73">
      <c r="A73" s="20">
        <v>2014.0</v>
      </c>
      <c r="B73" s="21">
        <v>2.0</v>
      </c>
      <c r="C73" s="21">
        <v>3.0</v>
      </c>
      <c r="D73" s="21">
        <v>7.0</v>
      </c>
      <c r="E73" s="22" t="s">
        <v>16</v>
      </c>
      <c r="F73" s="22" t="s">
        <v>35</v>
      </c>
      <c r="G73" s="21">
        <v>5.27</v>
      </c>
      <c r="H73" s="21">
        <v>5.2</v>
      </c>
      <c r="I73" s="23">
        <v>10.47</v>
      </c>
      <c r="J73" s="33"/>
      <c r="K73" s="33"/>
    </row>
    <row r="74">
      <c r="A74" s="15">
        <v>2014.0</v>
      </c>
      <c r="B74" s="16">
        <v>2.0</v>
      </c>
      <c r="C74" s="16">
        <v>3.0</v>
      </c>
      <c r="D74" s="16">
        <v>8.0</v>
      </c>
      <c r="E74" s="17" t="s">
        <v>16</v>
      </c>
      <c r="F74" s="17" t="s">
        <v>60</v>
      </c>
      <c r="G74" s="16">
        <v>4.97</v>
      </c>
      <c r="H74" s="16">
        <v>4.73</v>
      </c>
      <c r="I74" s="19">
        <v>9.7</v>
      </c>
      <c r="J74" s="33"/>
      <c r="K74" s="33"/>
    </row>
    <row r="75">
      <c r="A75" s="20">
        <v>2014.0</v>
      </c>
      <c r="B75" s="21">
        <v>2.0</v>
      </c>
      <c r="C75" s="21">
        <v>3.0</v>
      </c>
      <c r="D75" s="21">
        <v>8.0</v>
      </c>
      <c r="E75" s="22" t="s">
        <v>16</v>
      </c>
      <c r="F75" s="27" t="s">
        <v>27</v>
      </c>
      <c r="G75" s="21">
        <v>6.67</v>
      </c>
      <c r="H75" s="21">
        <v>6.2</v>
      </c>
      <c r="I75" s="23">
        <v>12.87</v>
      </c>
      <c r="J75" s="33"/>
      <c r="K75" s="33"/>
    </row>
    <row r="76">
      <c r="A76" s="15">
        <v>2014.0</v>
      </c>
      <c r="B76" s="16">
        <v>2.0</v>
      </c>
      <c r="C76" s="16">
        <v>3.0</v>
      </c>
      <c r="D76" s="16">
        <v>9.0</v>
      </c>
      <c r="E76" s="17" t="s">
        <v>16</v>
      </c>
      <c r="F76" s="17" t="s">
        <v>128</v>
      </c>
      <c r="G76" s="16">
        <v>7.17</v>
      </c>
      <c r="H76" s="16">
        <v>4.83</v>
      </c>
      <c r="I76" s="19">
        <v>12.0</v>
      </c>
      <c r="J76" s="33"/>
      <c r="K76" s="33"/>
    </row>
    <row r="77">
      <c r="A77" s="20">
        <v>2014.0</v>
      </c>
      <c r="B77" s="21">
        <v>2.0</v>
      </c>
      <c r="C77" s="21">
        <v>3.0</v>
      </c>
      <c r="D77" s="21">
        <v>9.0</v>
      </c>
      <c r="E77" s="22" t="s">
        <v>16</v>
      </c>
      <c r="F77" s="27" t="s">
        <v>33</v>
      </c>
      <c r="G77" s="21">
        <v>8.07</v>
      </c>
      <c r="H77" s="21">
        <v>6.5</v>
      </c>
      <c r="I77" s="23">
        <v>14.57</v>
      </c>
      <c r="J77" s="33"/>
      <c r="K77" s="33"/>
    </row>
    <row r="78">
      <c r="A78" s="15">
        <v>2014.0</v>
      </c>
      <c r="B78" s="16">
        <v>2.0</v>
      </c>
      <c r="C78" s="16">
        <v>3.0</v>
      </c>
      <c r="D78" s="16">
        <v>10.0</v>
      </c>
      <c r="E78" s="17" t="s">
        <v>16</v>
      </c>
      <c r="F78" s="27" t="s">
        <v>56</v>
      </c>
      <c r="G78" s="16">
        <v>6.33</v>
      </c>
      <c r="H78" s="16">
        <v>5.93</v>
      </c>
      <c r="I78" s="19">
        <v>12.26</v>
      </c>
      <c r="J78" s="33"/>
      <c r="K78" s="33"/>
    </row>
    <row r="79">
      <c r="A79" s="20">
        <v>2014.0</v>
      </c>
      <c r="B79" s="21">
        <v>2.0</v>
      </c>
      <c r="C79" s="21">
        <v>3.0</v>
      </c>
      <c r="D79" s="21">
        <v>10.0</v>
      </c>
      <c r="E79" s="22" t="s">
        <v>16</v>
      </c>
      <c r="F79" s="22" t="s">
        <v>38</v>
      </c>
      <c r="G79" s="21">
        <v>5.53</v>
      </c>
      <c r="H79" s="21">
        <v>5.5</v>
      </c>
      <c r="I79" s="23">
        <v>11.03</v>
      </c>
      <c r="J79" s="33"/>
      <c r="K79" s="33"/>
    </row>
    <row r="80">
      <c r="A80" s="15">
        <v>2014.0</v>
      </c>
      <c r="B80" s="16">
        <v>2.0</v>
      </c>
      <c r="C80" s="16">
        <v>3.0</v>
      </c>
      <c r="D80" s="16">
        <v>11.0</v>
      </c>
      <c r="E80" s="17" t="s">
        <v>16</v>
      </c>
      <c r="F80" s="27" t="s">
        <v>42</v>
      </c>
      <c r="G80" s="16">
        <v>6.83</v>
      </c>
      <c r="H80" s="16">
        <v>5.67</v>
      </c>
      <c r="I80" s="19">
        <v>12.5</v>
      </c>
      <c r="J80" s="33"/>
      <c r="K80" s="33"/>
    </row>
    <row r="81">
      <c r="A81" s="20">
        <v>2014.0</v>
      </c>
      <c r="B81" s="21">
        <v>2.0</v>
      </c>
      <c r="C81" s="21">
        <v>3.0</v>
      </c>
      <c r="D81" s="21">
        <v>11.0</v>
      </c>
      <c r="E81" s="22" t="s">
        <v>16</v>
      </c>
      <c r="F81" s="22" t="s">
        <v>57</v>
      </c>
      <c r="G81" s="21">
        <v>6.6</v>
      </c>
      <c r="H81" s="21">
        <v>4.8</v>
      </c>
      <c r="I81" s="23">
        <v>11.4</v>
      </c>
      <c r="J81" s="33"/>
      <c r="K81" s="33"/>
    </row>
    <row r="82">
      <c r="A82" s="15">
        <v>2014.0</v>
      </c>
      <c r="B82" s="16">
        <v>2.0</v>
      </c>
      <c r="C82" s="16">
        <v>3.0</v>
      </c>
      <c r="D82" s="16">
        <v>12.0</v>
      </c>
      <c r="E82" s="17" t="s">
        <v>16</v>
      </c>
      <c r="F82" s="27" t="s">
        <v>39</v>
      </c>
      <c r="G82" s="16">
        <v>8.5</v>
      </c>
      <c r="H82" s="16">
        <v>6.0</v>
      </c>
      <c r="I82" s="19">
        <v>14.5</v>
      </c>
      <c r="J82" s="33"/>
      <c r="K82" s="33"/>
    </row>
    <row r="83">
      <c r="A83" s="20">
        <v>2014.0</v>
      </c>
      <c r="B83" s="21">
        <v>2.0</v>
      </c>
      <c r="C83" s="21">
        <v>3.0</v>
      </c>
      <c r="D83" s="21">
        <v>12.0</v>
      </c>
      <c r="E83" s="22" t="s">
        <v>16</v>
      </c>
      <c r="F83" s="22" t="s">
        <v>32</v>
      </c>
      <c r="G83" s="21">
        <v>3.5</v>
      </c>
      <c r="H83" s="21">
        <v>1.73</v>
      </c>
      <c r="I83" s="23">
        <v>5.23</v>
      </c>
      <c r="J83" s="33"/>
      <c r="K83" s="33"/>
    </row>
    <row r="84">
      <c r="A84" s="15">
        <v>2014.0</v>
      </c>
      <c r="B84" s="16">
        <v>2.0</v>
      </c>
      <c r="C84" s="16">
        <v>4.0</v>
      </c>
      <c r="D84" s="16">
        <v>1.0</v>
      </c>
      <c r="E84" s="17" t="s">
        <v>16</v>
      </c>
      <c r="F84" s="27" t="s">
        <v>59</v>
      </c>
      <c r="G84" s="16">
        <v>7.33</v>
      </c>
      <c r="H84" s="16">
        <v>6.33</v>
      </c>
      <c r="I84" s="19">
        <v>13.66</v>
      </c>
      <c r="J84" s="33"/>
      <c r="K84" s="33"/>
    </row>
    <row r="85">
      <c r="A85" s="20">
        <v>2014.0</v>
      </c>
      <c r="B85" s="21">
        <v>2.0</v>
      </c>
      <c r="C85" s="21">
        <v>4.0</v>
      </c>
      <c r="D85" s="21">
        <v>1.0</v>
      </c>
      <c r="E85" s="22" t="s">
        <v>16</v>
      </c>
      <c r="F85" s="22" t="s">
        <v>45</v>
      </c>
      <c r="G85" s="21">
        <v>6.93</v>
      </c>
      <c r="H85" s="21">
        <v>0.0</v>
      </c>
      <c r="I85" s="23">
        <v>6.93</v>
      </c>
      <c r="J85" s="33"/>
      <c r="K85" s="33"/>
    </row>
    <row r="86">
      <c r="A86" s="15">
        <v>2014.0</v>
      </c>
      <c r="B86" s="16">
        <v>2.0</v>
      </c>
      <c r="C86" s="16">
        <v>4.0</v>
      </c>
      <c r="D86" s="16">
        <v>1.0</v>
      </c>
      <c r="E86" s="17" t="s">
        <v>16</v>
      </c>
      <c r="F86" s="17" t="s">
        <v>28</v>
      </c>
      <c r="G86" s="16">
        <v>7.0</v>
      </c>
      <c r="H86" s="16">
        <v>5.0</v>
      </c>
      <c r="I86" s="19">
        <v>12.0</v>
      </c>
      <c r="J86" s="33"/>
      <c r="K86" s="33"/>
    </row>
    <row r="87">
      <c r="A87" s="20">
        <v>2014.0</v>
      </c>
      <c r="B87" s="21">
        <v>2.0</v>
      </c>
      <c r="C87" s="21">
        <v>4.0</v>
      </c>
      <c r="D87" s="21">
        <v>2.0</v>
      </c>
      <c r="E87" s="22" t="s">
        <v>16</v>
      </c>
      <c r="F87" s="22" t="s">
        <v>55</v>
      </c>
      <c r="G87" s="21">
        <v>6.3</v>
      </c>
      <c r="H87" s="21">
        <v>3.0</v>
      </c>
      <c r="I87" s="23">
        <v>9.3</v>
      </c>
      <c r="J87" s="33"/>
      <c r="K87" s="33"/>
    </row>
    <row r="88">
      <c r="A88" s="15">
        <v>2014.0</v>
      </c>
      <c r="B88" s="16">
        <v>2.0</v>
      </c>
      <c r="C88" s="16">
        <v>4.0</v>
      </c>
      <c r="D88" s="16">
        <v>2.0</v>
      </c>
      <c r="E88" s="17" t="s">
        <v>16</v>
      </c>
      <c r="F88" s="27" t="s">
        <v>30</v>
      </c>
      <c r="G88" s="16">
        <v>7.5</v>
      </c>
      <c r="H88" s="16">
        <v>6.83</v>
      </c>
      <c r="I88" s="19">
        <v>14.33</v>
      </c>
      <c r="J88" s="33"/>
      <c r="K88" s="33"/>
    </row>
    <row r="89">
      <c r="A89" s="20">
        <v>2014.0</v>
      </c>
      <c r="B89" s="21">
        <v>2.0</v>
      </c>
      <c r="C89" s="21">
        <v>4.0</v>
      </c>
      <c r="D89" s="21">
        <v>2.0</v>
      </c>
      <c r="E89" s="22" t="s">
        <v>16</v>
      </c>
      <c r="F89" s="22" t="s">
        <v>127</v>
      </c>
      <c r="G89" s="21">
        <v>6.0</v>
      </c>
      <c r="H89" s="21">
        <v>5.5</v>
      </c>
      <c r="I89" s="23">
        <v>11.5</v>
      </c>
      <c r="J89" s="33"/>
      <c r="K89" s="33"/>
    </row>
    <row r="90">
      <c r="A90" s="15">
        <v>2014.0</v>
      </c>
      <c r="B90" s="16">
        <v>2.0</v>
      </c>
      <c r="C90" s="16">
        <v>4.0</v>
      </c>
      <c r="D90" s="16">
        <v>3.0</v>
      </c>
      <c r="E90" s="17" t="s">
        <v>16</v>
      </c>
      <c r="F90" s="27" t="s">
        <v>37</v>
      </c>
      <c r="G90" s="16">
        <v>6.33</v>
      </c>
      <c r="H90" s="16">
        <v>5.6</v>
      </c>
      <c r="I90" s="19">
        <v>11.93</v>
      </c>
      <c r="J90" s="33"/>
      <c r="K90" s="33"/>
    </row>
    <row r="91">
      <c r="A91" s="20">
        <v>2014.0</v>
      </c>
      <c r="B91" s="21">
        <v>2.0</v>
      </c>
      <c r="C91" s="21">
        <v>4.0</v>
      </c>
      <c r="D91" s="21">
        <v>3.0</v>
      </c>
      <c r="E91" s="22" t="s">
        <v>16</v>
      </c>
      <c r="F91" s="22" t="s">
        <v>27</v>
      </c>
      <c r="G91" s="21">
        <v>4.33</v>
      </c>
      <c r="H91" s="21">
        <v>4.17</v>
      </c>
      <c r="I91" s="23">
        <v>8.5</v>
      </c>
      <c r="J91" s="33"/>
      <c r="K91" s="33"/>
    </row>
    <row r="92">
      <c r="A92" s="15">
        <v>2014.0</v>
      </c>
      <c r="B92" s="16">
        <v>2.0</v>
      </c>
      <c r="C92" s="16">
        <v>4.0</v>
      </c>
      <c r="D92" s="16">
        <v>3.0</v>
      </c>
      <c r="E92" s="17" t="s">
        <v>16</v>
      </c>
      <c r="F92" s="17" t="s">
        <v>33</v>
      </c>
      <c r="G92" s="16">
        <v>5.33</v>
      </c>
      <c r="H92" s="16">
        <v>5.3</v>
      </c>
      <c r="I92" s="19">
        <v>10.63</v>
      </c>
      <c r="J92" s="33"/>
      <c r="K92" s="33"/>
    </row>
    <row r="93">
      <c r="A93" s="20">
        <v>2014.0</v>
      </c>
      <c r="B93" s="21">
        <v>2.0</v>
      </c>
      <c r="C93" s="21">
        <v>4.0</v>
      </c>
      <c r="D93" s="21">
        <v>4.0</v>
      </c>
      <c r="E93" s="22" t="s">
        <v>16</v>
      </c>
      <c r="F93" s="27" t="s">
        <v>56</v>
      </c>
      <c r="G93" s="21">
        <v>7.0</v>
      </c>
      <c r="H93" s="21">
        <v>6.93</v>
      </c>
      <c r="I93" s="23">
        <v>13.93</v>
      </c>
      <c r="J93" s="33"/>
      <c r="K93" s="33"/>
    </row>
    <row r="94">
      <c r="A94" s="15">
        <v>2014.0</v>
      </c>
      <c r="B94" s="16">
        <v>2.0</v>
      </c>
      <c r="C94" s="16">
        <v>4.0</v>
      </c>
      <c r="D94" s="16">
        <v>4.0</v>
      </c>
      <c r="E94" s="17" t="s">
        <v>16</v>
      </c>
      <c r="F94" s="17" t="s">
        <v>42</v>
      </c>
      <c r="G94" s="16">
        <v>7.77</v>
      </c>
      <c r="H94" s="16">
        <v>5.6</v>
      </c>
      <c r="I94" s="19">
        <v>13.37</v>
      </c>
      <c r="J94" s="33"/>
      <c r="K94" s="33"/>
    </row>
    <row r="95">
      <c r="A95" s="20">
        <v>2014.0</v>
      </c>
      <c r="B95" s="21">
        <v>2.0</v>
      </c>
      <c r="C95" s="21">
        <v>4.0</v>
      </c>
      <c r="D95" s="21">
        <v>4.0</v>
      </c>
      <c r="E95" s="22" t="s">
        <v>16</v>
      </c>
      <c r="F95" s="22" t="s">
        <v>39</v>
      </c>
      <c r="G95" s="21">
        <v>5.4</v>
      </c>
      <c r="H95" s="21">
        <v>5.33</v>
      </c>
      <c r="I95" s="23">
        <v>10.73</v>
      </c>
      <c r="J95" s="33"/>
      <c r="K95" s="33"/>
    </row>
    <row r="96">
      <c r="A96" s="15">
        <v>2014.0</v>
      </c>
      <c r="B96" s="16">
        <v>2.0</v>
      </c>
      <c r="C96" s="16">
        <v>5.0</v>
      </c>
      <c r="D96" s="16">
        <v>1.0</v>
      </c>
      <c r="E96" s="17" t="s">
        <v>16</v>
      </c>
      <c r="F96" s="27" t="s">
        <v>28</v>
      </c>
      <c r="G96" s="16">
        <v>6.33</v>
      </c>
      <c r="H96" s="16">
        <v>4.83</v>
      </c>
      <c r="I96" s="19">
        <v>11.16</v>
      </c>
      <c r="J96" s="33"/>
      <c r="K96" s="33"/>
    </row>
    <row r="97">
      <c r="A97" s="20">
        <v>2014.0</v>
      </c>
      <c r="B97" s="21">
        <v>2.0</v>
      </c>
      <c r="C97" s="21">
        <v>5.0</v>
      </c>
      <c r="D97" s="21">
        <v>1.0</v>
      </c>
      <c r="E97" s="22" t="s">
        <v>16</v>
      </c>
      <c r="F97" s="22" t="s">
        <v>55</v>
      </c>
      <c r="G97" s="21">
        <v>4.6</v>
      </c>
      <c r="H97" s="21">
        <v>3.77</v>
      </c>
      <c r="I97" s="23">
        <v>8.37</v>
      </c>
      <c r="J97" s="33"/>
      <c r="K97" s="33"/>
    </row>
    <row r="98">
      <c r="A98" s="15">
        <v>2014.0</v>
      </c>
      <c r="B98" s="16">
        <v>2.0</v>
      </c>
      <c r="C98" s="16">
        <v>5.0</v>
      </c>
      <c r="D98" s="16">
        <v>2.0</v>
      </c>
      <c r="E98" s="17" t="s">
        <v>16</v>
      </c>
      <c r="F98" s="17" t="s">
        <v>127</v>
      </c>
      <c r="G98" s="16">
        <v>4.97</v>
      </c>
      <c r="H98" s="16">
        <v>4.5</v>
      </c>
      <c r="I98" s="19">
        <v>9.47</v>
      </c>
      <c r="J98" s="33"/>
      <c r="K98" s="33"/>
    </row>
    <row r="99">
      <c r="A99" s="20">
        <v>2014.0</v>
      </c>
      <c r="B99" s="21">
        <v>2.0</v>
      </c>
      <c r="C99" s="21">
        <v>5.0</v>
      </c>
      <c r="D99" s="21">
        <v>2.0</v>
      </c>
      <c r="E99" s="22" t="s">
        <v>16</v>
      </c>
      <c r="F99" s="27" t="s">
        <v>45</v>
      </c>
      <c r="G99" s="21">
        <v>8.17</v>
      </c>
      <c r="H99" s="21">
        <v>6.17</v>
      </c>
      <c r="I99" s="23">
        <v>14.34</v>
      </c>
      <c r="J99" s="33"/>
      <c r="K99" s="33"/>
    </row>
    <row r="100">
      <c r="A100" s="15">
        <v>2014.0</v>
      </c>
      <c r="B100" s="16">
        <v>2.0</v>
      </c>
      <c r="C100" s="16">
        <v>5.0</v>
      </c>
      <c r="D100" s="16">
        <v>3.0</v>
      </c>
      <c r="E100" s="17" t="s">
        <v>16</v>
      </c>
      <c r="F100" s="17" t="s">
        <v>33</v>
      </c>
      <c r="G100" s="16">
        <v>8.23</v>
      </c>
      <c r="H100" s="16">
        <v>5.27</v>
      </c>
      <c r="I100" s="19">
        <v>13.5</v>
      </c>
      <c r="J100" s="33"/>
      <c r="K100" s="33"/>
    </row>
    <row r="101">
      <c r="A101" s="20">
        <v>2014.0</v>
      </c>
      <c r="B101" s="21">
        <v>2.0</v>
      </c>
      <c r="C101" s="21">
        <v>5.0</v>
      </c>
      <c r="D101" s="21">
        <v>3.0</v>
      </c>
      <c r="E101" s="22" t="s">
        <v>16</v>
      </c>
      <c r="F101" s="27" t="s">
        <v>39</v>
      </c>
      <c r="G101" s="21">
        <v>8.43</v>
      </c>
      <c r="H101" s="21">
        <v>8.17</v>
      </c>
      <c r="I101" s="23">
        <v>16.6</v>
      </c>
      <c r="J101" s="33"/>
      <c r="K101" s="33"/>
    </row>
    <row r="102">
      <c r="A102" s="15">
        <v>2014.0</v>
      </c>
      <c r="B102" s="16">
        <v>2.0</v>
      </c>
      <c r="C102" s="16">
        <v>5.0</v>
      </c>
      <c r="D102" s="16">
        <v>4.0</v>
      </c>
      <c r="E102" s="17" t="s">
        <v>16</v>
      </c>
      <c r="F102" s="17" t="s">
        <v>42</v>
      </c>
      <c r="G102" s="16">
        <v>6.33</v>
      </c>
      <c r="H102" s="16">
        <v>5.17</v>
      </c>
      <c r="I102" s="19">
        <v>11.5</v>
      </c>
      <c r="J102" s="33"/>
      <c r="K102" s="33"/>
    </row>
    <row r="103">
      <c r="A103" s="20">
        <v>2014.0</v>
      </c>
      <c r="B103" s="21">
        <v>2.0</v>
      </c>
      <c r="C103" s="21">
        <v>5.0</v>
      </c>
      <c r="D103" s="21">
        <v>4.0</v>
      </c>
      <c r="E103" s="22" t="s">
        <v>16</v>
      </c>
      <c r="F103" s="27" t="s">
        <v>27</v>
      </c>
      <c r="G103" s="21">
        <v>7.83</v>
      </c>
      <c r="H103" s="21">
        <v>6.5</v>
      </c>
      <c r="I103" s="23">
        <v>14.33</v>
      </c>
      <c r="J103" s="33"/>
      <c r="K103" s="33"/>
    </row>
    <row r="104">
      <c r="A104" s="15">
        <v>2014.0</v>
      </c>
      <c r="B104" s="16">
        <v>2.0</v>
      </c>
      <c r="C104" s="16">
        <v>6.0</v>
      </c>
      <c r="D104" s="16">
        <v>1.0</v>
      </c>
      <c r="E104" s="17" t="s">
        <v>16</v>
      </c>
      <c r="F104" s="27" t="s">
        <v>59</v>
      </c>
      <c r="G104" s="16">
        <v>7.67</v>
      </c>
      <c r="H104" s="16">
        <v>7.63</v>
      </c>
      <c r="I104" s="19">
        <v>15.3</v>
      </c>
      <c r="J104" s="33"/>
      <c r="K104" s="33"/>
    </row>
    <row r="105">
      <c r="A105" s="20">
        <v>2014.0</v>
      </c>
      <c r="B105" s="21">
        <v>2.0</v>
      </c>
      <c r="C105" s="21">
        <v>6.0</v>
      </c>
      <c r="D105" s="21">
        <v>1.0</v>
      </c>
      <c r="E105" s="22" t="s">
        <v>16</v>
      </c>
      <c r="F105" s="22" t="s">
        <v>28</v>
      </c>
      <c r="G105" s="21">
        <v>8.0</v>
      </c>
      <c r="H105" s="21">
        <v>6.0</v>
      </c>
      <c r="I105" s="23">
        <v>14.0</v>
      </c>
      <c r="J105" s="33"/>
      <c r="K105" s="33"/>
    </row>
    <row r="106">
      <c r="A106" s="15">
        <v>2014.0</v>
      </c>
      <c r="B106" s="16">
        <v>2.0</v>
      </c>
      <c r="C106" s="16">
        <v>6.0</v>
      </c>
      <c r="D106" s="16">
        <v>2.0</v>
      </c>
      <c r="E106" s="17" t="s">
        <v>16</v>
      </c>
      <c r="F106" s="17" t="s">
        <v>30</v>
      </c>
      <c r="G106" s="16">
        <v>5.6</v>
      </c>
      <c r="H106" s="16">
        <v>5.17</v>
      </c>
      <c r="I106" s="19">
        <v>10.77</v>
      </c>
      <c r="J106" s="33"/>
      <c r="K106" s="33"/>
    </row>
    <row r="107">
      <c r="A107" s="20">
        <v>2014.0</v>
      </c>
      <c r="B107" s="21">
        <v>2.0</v>
      </c>
      <c r="C107" s="21">
        <v>6.0</v>
      </c>
      <c r="D107" s="21">
        <v>2.0</v>
      </c>
      <c r="E107" s="22" t="s">
        <v>16</v>
      </c>
      <c r="F107" s="27" t="s">
        <v>45</v>
      </c>
      <c r="G107" s="21">
        <v>7.0</v>
      </c>
      <c r="H107" s="21">
        <v>6.7</v>
      </c>
      <c r="I107" s="23">
        <v>13.7</v>
      </c>
      <c r="J107" s="33"/>
      <c r="K107" s="33"/>
    </row>
    <row r="108">
      <c r="A108" s="15">
        <v>2014.0</v>
      </c>
      <c r="B108" s="16">
        <v>2.0</v>
      </c>
      <c r="C108" s="16">
        <v>6.0</v>
      </c>
      <c r="D108" s="16">
        <v>3.0</v>
      </c>
      <c r="E108" s="17" t="s">
        <v>16</v>
      </c>
      <c r="F108" s="27" t="s">
        <v>37</v>
      </c>
      <c r="G108" s="16">
        <v>8.43</v>
      </c>
      <c r="H108" s="16">
        <v>7.1</v>
      </c>
      <c r="I108" s="19">
        <v>15.53</v>
      </c>
      <c r="J108" s="33"/>
      <c r="K108" s="33"/>
    </row>
    <row r="109">
      <c r="A109" s="20">
        <v>2014.0</v>
      </c>
      <c r="B109" s="21">
        <v>2.0</v>
      </c>
      <c r="C109" s="21">
        <v>6.0</v>
      </c>
      <c r="D109" s="21">
        <v>3.0</v>
      </c>
      <c r="E109" s="22" t="s">
        <v>16</v>
      </c>
      <c r="F109" s="22" t="s">
        <v>39</v>
      </c>
      <c r="G109" s="21">
        <v>8.77</v>
      </c>
      <c r="H109" s="21">
        <v>6.67</v>
      </c>
      <c r="I109" s="23">
        <v>15.44</v>
      </c>
      <c r="J109" s="33"/>
      <c r="K109" s="33"/>
    </row>
    <row r="110">
      <c r="A110" s="15">
        <v>2014.0</v>
      </c>
      <c r="B110" s="16">
        <v>2.0</v>
      </c>
      <c r="C110" s="16">
        <v>6.0</v>
      </c>
      <c r="D110" s="16">
        <v>4.0</v>
      </c>
      <c r="E110" s="17" t="s">
        <v>16</v>
      </c>
      <c r="F110" s="17" t="s">
        <v>56</v>
      </c>
      <c r="G110" s="16">
        <v>4.93</v>
      </c>
      <c r="H110" s="16">
        <v>4.83</v>
      </c>
      <c r="I110" s="19">
        <v>9.76</v>
      </c>
      <c r="J110" s="33"/>
      <c r="K110" s="33"/>
    </row>
    <row r="111">
      <c r="A111" s="20">
        <v>2014.0</v>
      </c>
      <c r="B111" s="21">
        <v>2.0</v>
      </c>
      <c r="C111" s="21">
        <v>6.0</v>
      </c>
      <c r="D111" s="21">
        <v>4.0</v>
      </c>
      <c r="E111" s="22" t="s">
        <v>16</v>
      </c>
      <c r="F111" s="27" t="s">
        <v>27</v>
      </c>
      <c r="G111" s="21">
        <v>6.67</v>
      </c>
      <c r="H111" s="21">
        <v>6.33</v>
      </c>
      <c r="I111" s="23">
        <v>13.0</v>
      </c>
      <c r="J111" s="33"/>
      <c r="K111" s="33"/>
    </row>
    <row r="112">
      <c r="A112" s="15">
        <v>2014.0</v>
      </c>
      <c r="B112" s="16">
        <v>2.0</v>
      </c>
      <c r="C112" s="16">
        <v>7.0</v>
      </c>
      <c r="D112" s="16">
        <v>1.0</v>
      </c>
      <c r="E112" s="17" t="s">
        <v>16</v>
      </c>
      <c r="F112" s="17" t="s">
        <v>59</v>
      </c>
      <c r="G112" s="16">
        <v>7.8</v>
      </c>
      <c r="H112" s="16">
        <v>7.07</v>
      </c>
      <c r="I112" s="19">
        <v>14.87</v>
      </c>
      <c r="J112" s="33"/>
      <c r="K112" s="33"/>
    </row>
    <row r="113">
      <c r="A113" s="20">
        <v>2014.0</v>
      </c>
      <c r="B113" s="21">
        <v>2.0</v>
      </c>
      <c r="C113" s="21">
        <v>7.0</v>
      </c>
      <c r="D113" s="21">
        <v>1.0</v>
      </c>
      <c r="E113" s="22" t="s">
        <v>16</v>
      </c>
      <c r="F113" s="27" t="s">
        <v>45</v>
      </c>
      <c r="G113" s="21">
        <v>8.83</v>
      </c>
      <c r="H113" s="21">
        <v>6.27</v>
      </c>
      <c r="I113" s="23">
        <v>15.1</v>
      </c>
      <c r="J113" s="33"/>
      <c r="K113" s="33"/>
    </row>
    <row r="114">
      <c r="A114" s="15">
        <v>2014.0</v>
      </c>
      <c r="B114" s="16">
        <v>2.0</v>
      </c>
      <c r="C114" s="16">
        <v>7.0</v>
      </c>
      <c r="D114" s="16">
        <v>2.0</v>
      </c>
      <c r="E114" s="17" t="s">
        <v>16</v>
      </c>
      <c r="F114" s="17" t="s">
        <v>37</v>
      </c>
      <c r="G114" s="16">
        <v>8.83</v>
      </c>
      <c r="H114" s="16">
        <v>7.07</v>
      </c>
      <c r="I114" s="19">
        <v>15.9</v>
      </c>
      <c r="J114" s="33"/>
      <c r="K114" s="33"/>
    </row>
    <row r="115">
      <c r="A115" s="20">
        <v>2014.0</v>
      </c>
      <c r="B115" s="21">
        <v>2.0</v>
      </c>
      <c r="C115" s="21">
        <v>7.0</v>
      </c>
      <c r="D115" s="21">
        <v>2.0</v>
      </c>
      <c r="E115" s="22" t="s">
        <v>16</v>
      </c>
      <c r="F115" s="27" t="s">
        <v>27</v>
      </c>
      <c r="G115" s="21">
        <v>9.37</v>
      </c>
      <c r="H115" s="21">
        <v>6.77</v>
      </c>
      <c r="I115" s="23">
        <v>16.14</v>
      </c>
      <c r="J115" s="33"/>
      <c r="K115" s="33"/>
    </row>
    <row r="116">
      <c r="A116" s="15">
        <v>2014.0</v>
      </c>
      <c r="B116" s="16">
        <v>2.0</v>
      </c>
      <c r="C116" s="16">
        <v>8.0</v>
      </c>
      <c r="D116" s="16">
        <v>1.0</v>
      </c>
      <c r="E116" s="17" t="s">
        <v>16</v>
      </c>
      <c r="F116" s="17" t="s">
        <v>45</v>
      </c>
      <c r="G116" s="16">
        <v>7.37</v>
      </c>
      <c r="H116" s="16">
        <v>5.07</v>
      </c>
      <c r="I116" s="19">
        <v>12.44</v>
      </c>
      <c r="J116" s="33"/>
      <c r="K116" s="33"/>
    </row>
    <row r="117">
      <c r="A117" s="20">
        <v>2014.0</v>
      </c>
      <c r="B117" s="21">
        <v>2.0</v>
      </c>
      <c r="C117" s="21">
        <v>8.0</v>
      </c>
      <c r="D117" s="21">
        <v>1.0</v>
      </c>
      <c r="E117" s="22" t="s">
        <v>16</v>
      </c>
      <c r="F117" s="27" t="s">
        <v>27</v>
      </c>
      <c r="G117" s="21">
        <v>8.33</v>
      </c>
      <c r="H117" s="21">
        <v>7.57</v>
      </c>
      <c r="I117" s="23">
        <v>15.9</v>
      </c>
      <c r="J117" s="33"/>
      <c r="K117" s="33"/>
    </row>
    <row r="118">
      <c r="A118" s="15">
        <v>2014.0</v>
      </c>
      <c r="B118" s="16">
        <v>3.0</v>
      </c>
      <c r="C118" s="16">
        <v>3.0</v>
      </c>
      <c r="D118" s="16">
        <v>1.0</v>
      </c>
      <c r="E118" s="17" t="s">
        <v>16</v>
      </c>
      <c r="F118" s="17" t="s">
        <v>62</v>
      </c>
      <c r="G118" s="16">
        <v>7.0</v>
      </c>
      <c r="H118" s="16">
        <v>5.9</v>
      </c>
      <c r="I118" s="19">
        <v>12.9</v>
      </c>
      <c r="J118" s="33"/>
      <c r="K118" s="33"/>
    </row>
    <row r="119">
      <c r="A119" s="20">
        <v>2014.0</v>
      </c>
      <c r="B119" s="21">
        <v>3.0</v>
      </c>
      <c r="C119" s="21">
        <v>3.0</v>
      </c>
      <c r="D119" s="21">
        <v>1.0</v>
      </c>
      <c r="E119" s="22" t="s">
        <v>16</v>
      </c>
      <c r="F119" s="22" t="s">
        <v>124</v>
      </c>
      <c r="G119" s="21">
        <v>6.17</v>
      </c>
      <c r="H119" s="21">
        <v>4.67</v>
      </c>
      <c r="I119" s="23">
        <v>10.84</v>
      </c>
      <c r="J119" s="33"/>
      <c r="K119" s="33"/>
    </row>
    <row r="120">
      <c r="A120" s="15">
        <v>2014.0</v>
      </c>
      <c r="B120" s="16">
        <v>3.0</v>
      </c>
      <c r="C120" s="16">
        <v>3.0</v>
      </c>
      <c r="D120" s="16">
        <v>2.0</v>
      </c>
      <c r="E120" s="17" t="s">
        <v>16</v>
      </c>
      <c r="F120" s="17" t="s">
        <v>42</v>
      </c>
      <c r="G120" s="16">
        <v>6.2</v>
      </c>
      <c r="H120" s="16">
        <v>5.0</v>
      </c>
      <c r="I120" s="19">
        <v>11.2</v>
      </c>
      <c r="J120" s="33"/>
      <c r="K120" s="33"/>
    </row>
    <row r="121">
      <c r="A121" s="20">
        <v>2014.0</v>
      </c>
      <c r="B121" s="21">
        <v>3.0</v>
      </c>
      <c r="C121" s="21">
        <v>3.0</v>
      </c>
      <c r="D121" s="21">
        <v>2.0</v>
      </c>
      <c r="E121" s="22" t="s">
        <v>16</v>
      </c>
      <c r="F121" s="22" t="s">
        <v>33</v>
      </c>
      <c r="G121" s="21">
        <v>6.17</v>
      </c>
      <c r="H121" s="21">
        <v>4.57</v>
      </c>
      <c r="I121" s="23">
        <v>10.74</v>
      </c>
      <c r="J121" s="33"/>
      <c r="K121" s="33"/>
    </row>
    <row r="122">
      <c r="A122" s="15">
        <v>2014.0</v>
      </c>
      <c r="B122" s="16">
        <v>3.0</v>
      </c>
      <c r="C122" s="16">
        <v>3.0</v>
      </c>
      <c r="D122" s="16">
        <v>3.0</v>
      </c>
      <c r="E122" s="17" t="s">
        <v>16</v>
      </c>
      <c r="F122" s="17" t="s">
        <v>45</v>
      </c>
      <c r="G122" s="16">
        <v>6.77</v>
      </c>
      <c r="H122" s="16">
        <v>5.83</v>
      </c>
      <c r="I122" s="19">
        <v>12.6</v>
      </c>
      <c r="J122" s="33"/>
      <c r="K122" s="33"/>
    </row>
    <row r="123">
      <c r="A123" s="20">
        <v>2014.0</v>
      </c>
      <c r="B123" s="21">
        <v>3.0</v>
      </c>
      <c r="C123" s="21">
        <v>3.0</v>
      </c>
      <c r="D123" s="21">
        <v>3.0</v>
      </c>
      <c r="E123" s="22" t="s">
        <v>16</v>
      </c>
      <c r="F123" s="22" t="s">
        <v>29</v>
      </c>
      <c r="G123" s="21">
        <v>8.23</v>
      </c>
      <c r="H123" s="21">
        <v>7.33</v>
      </c>
      <c r="I123" s="23">
        <v>15.56</v>
      </c>
      <c r="J123" s="33"/>
      <c r="K123" s="33"/>
    </row>
    <row r="124">
      <c r="A124" s="15">
        <v>2014.0</v>
      </c>
      <c r="B124" s="16">
        <v>3.0</v>
      </c>
      <c r="C124" s="16">
        <v>3.0</v>
      </c>
      <c r="D124" s="16">
        <v>4.0</v>
      </c>
      <c r="E124" s="17" t="s">
        <v>16</v>
      </c>
      <c r="F124" s="17" t="s">
        <v>30</v>
      </c>
      <c r="G124" s="16">
        <v>8.67</v>
      </c>
      <c r="H124" s="16">
        <v>8.33</v>
      </c>
      <c r="I124" s="19">
        <v>17.0</v>
      </c>
      <c r="J124" s="33"/>
      <c r="K124" s="33"/>
    </row>
    <row r="125">
      <c r="A125" s="20">
        <v>2014.0</v>
      </c>
      <c r="B125" s="21">
        <v>3.0</v>
      </c>
      <c r="C125" s="21">
        <v>3.0</v>
      </c>
      <c r="D125" s="21">
        <v>4.0</v>
      </c>
      <c r="E125" s="22" t="s">
        <v>16</v>
      </c>
      <c r="F125" s="22" t="s">
        <v>59</v>
      </c>
      <c r="G125" s="21">
        <v>8.3</v>
      </c>
      <c r="H125" s="21">
        <v>6.83</v>
      </c>
      <c r="I125" s="23">
        <v>15.13</v>
      </c>
      <c r="J125" s="33"/>
      <c r="K125" s="33"/>
    </row>
    <row r="126">
      <c r="A126" s="15">
        <v>2014.0</v>
      </c>
      <c r="B126" s="16">
        <v>3.0</v>
      </c>
      <c r="C126" s="16">
        <v>3.0</v>
      </c>
      <c r="D126" s="16">
        <v>5.0</v>
      </c>
      <c r="E126" s="17" t="s">
        <v>16</v>
      </c>
      <c r="F126" s="17" t="s">
        <v>60</v>
      </c>
      <c r="G126" s="16">
        <v>8.5</v>
      </c>
      <c r="H126" s="16">
        <v>7.17</v>
      </c>
      <c r="I126" s="19">
        <v>15.67</v>
      </c>
      <c r="J126" s="33"/>
      <c r="K126" s="33"/>
    </row>
    <row r="127">
      <c r="A127" s="20">
        <v>2014.0</v>
      </c>
      <c r="B127" s="21">
        <v>3.0</v>
      </c>
      <c r="C127" s="21">
        <v>3.0</v>
      </c>
      <c r="D127" s="21">
        <v>5.0</v>
      </c>
      <c r="E127" s="22" t="s">
        <v>16</v>
      </c>
      <c r="F127" s="22" t="s">
        <v>26</v>
      </c>
      <c r="G127" s="21">
        <v>8.83</v>
      </c>
      <c r="H127" s="21">
        <v>7.0</v>
      </c>
      <c r="I127" s="23">
        <v>15.83</v>
      </c>
      <c r="J127" s="33"/>
      <c r="K127" s="33"/>
    </row>
    <row r="128">
      <c r="A128" s="15">
        <v>2014.0</v>
      </c>
      <c r="B128" s="16">
        <v>3.0</v>
      </c>
      <c r="C128" s="16">
        <v>3.0</v>
      </c>
      <c r="D128" s="16">
        <v>6.0</v>
      </c>
      <c r="E128" s="17" t="s">
        <v>16</v>
      </c>
      <c r="F128" s="17" t="s">
        <v>37</v>
      </c>
      <c r="G128" s="16">
        <v>7.83</v>
      </c>
      <c r="H128" s="16">
        <v>7.7</v>
      </c>
      <c r="I128" s="19">
        <v>15.53</v>
      </c>
      <c r="J128" s="33"/>
      <c r="K128" s="33"/>
    </row>
    <row r="129">
      <c r="A129" s="20">
        <v>2014.0</v>
      </c>
      <c r="B129" s="21">
        <v>3.0</v>
      </c>
      <c r="C129" s="21">
        <v>3.0</v>
      </c>
      <c r="D129" s="21">
        <v>6.0</v>
      </c>
      <c r="E129" s="22" t="s">
        <v>16</v>
      </c>
      <c r="F129" s="22" t="s">
        <v>99</v>
      </c>
      <c r="G129" s="21">
        <v>8.57</v>
      </c>
      <c r="H129" s="21">
        <v>5.83</v>
      </c>
      <c r="I129" s="23">
        <v>14.4</v>
      </c>
      <c r="J129" s="33"/>
      <c r="K129" s="33"/>
    </row>
    <row r="130">
      <c r="A130" s="15">
        <v>2014.0</v>
      </c>
      <c r="B130" s="16">
        <v>3.0</v>
      </c>
      <c r="C130" s="16">
        <v>3.0</v>
      </c>
      <c r="D130" s="16">
        <v>7.0</v>
      </c>
      <c r="E130" s="17" t="s">
        <v>16</v>
      </c>
      <c r="F130" s="17" t="s">
        <v>39</v>
      </c>
      <c r="G130" s="16">
        <v>7.6</v>
      </c>
      <c r="H130" s="16">
        <v>7.5</v>
      </c>
      <c r="I130" s="19">
        <v>15.1</v>
      </c>
      <c r="J130" s="33"/>
      <c r="K130" s="33"/>
    </row>
    <row r="131">
      <c r="A131" s="20">
        <v>2014.0</v>
      </c>
      <c r="B131" s="21">
        <v>3.0</v>
      </c>
      <c r="C131" s="21">
        <v>3.0</v>
      </c>
      <c r="D131" s="21">
        <v>7.0</v>
      </c>
      <c r="E131" s="22" t="s">
        <v>16</v>
      </c>
      <c r="F131" s="22" t="s">
        <v>107</v>
      </c>
      <c r="G131" s="21">
        <v>6.4</v>
      </c>
      <c r="H131" s="21">
        <v>4.5</v>
      </c>
      <c r="I131" s="23">
        <v>10.9</v>
      </c>
      <c r="J131" s="33"/>
      <c r="K131" s="33"/>
    </row>
    <row r="132">
      <c r="A132" s="15">
        <v>2014.0</v>
      </c>
      <c r="B132" s="16">
        <v>3.0</v>
      </c>
      <c r="C132" s="16">
        <v>3.0</v>
      </c>
      <c r="D132" s="16">
        <v>8.0</v>
      </c>
      <c r="E132" s="17" t="s">
        <v>16</v>
      </c>
      <c r="F132" s="17" t="s">
        <v>125</v>
      </c>
      <c r="G132" s="16">
        <v>6.0</v>
      </c>
      <c r="H132" s="16">
        <v>4.83</v>
      </c>
      <c r="I132" s="19">
        <v>10.83</v>
      </c>
      <c r="J132" s="33"/>
      <c r="K132" s="33"/>
    </row>
    <row r="133">
      <c r="A133" s="20">
        <v>2014.0</v>
      </c>
      <c r="B133" s="21">
        <v>3.0</v>
      </c>
      <c r="C133" s="21">
        <v>3.0</v>
      </c>
      <c r="D133" s="21">
        <v>8.0</v>
      </c>
      <c r="E133" s="22" t="s">
        <v>16</v>
      </c>
      <c r="F133" s="22" t="s">
        <v>57</v>
      </c>
      <c r="G133" s="21">
        <v>7.33</v>
      </c>
      <c r="H133" s="21">
        <v>6.1</v>
      </c>
      <c r="I133" s="23">
        <v>13.43</v>
      </c>
      <c r="J133" s="33"/>
      <c r="K133" s="33"/>
    </row>
    <row r="134">
      <c r="A134" s="15">
        <v>2014.0</v>
      </c>
      <c r="B134" s="16">
        <v>3.0</v>
      </c>
      <c r="C134" s="16">
        <v>3.0</v>
      </c>
      <c r="D134" s="16">
        <v>9.0</v>
      </c>
      <c r="E134" s="17" t="s">
        <v>16</v>
      </c>
      <c r="F134" s="17" t="s">
        <v>28</v>
      </c>
      <c r="G134" s="16">
        <v>9.57</v>
      </c>
      <c r="H134" s="16">
        <v>7.87</v>
      </c>
      <c r="I134" s="19">
        <v>17.44</v>
      </c>
      <c r="J134" s="33"/>
      <c r="K134" s="33"/>
    </row>
    <row r="135">
      <c r="A135" s="20">
        <v>2014.0</v>
      </c>
      <c r="B135" s="21">
        <v>3.0</v>
      </c>
      <c r="C135" s="21">
        <v>3.0</v>
      </c>
      <c r="D135" s="21">
        <v>9.0</v>
      </c>
      <c r="E135" s="22" t="s">
        <v>16</v>
      </c>
      <c r="F135" s="22" t="s">
        <v>38</v>
      </c>
      <c r="G135" s="21">
        <v>9.0</v>
      </c>
      <c r="H135" s="21">
        <v>6.5</v>
      </c>
      <c r="I135" s="23">
        <v>15.5</v>
      </c>
      <c r="J135" s="33"/>
      <c r="K135" s="33"/>
    </row>
    <row r="136">
      <c r="A136" s="15">
        <v>2014.0</v>
      </c>
      <c r="B136" s="16">
        <v>3.0</v>
      </c>
      <c r="C136" s="16">
        <v>3.0</v>
      </c>
      <c r="D136" s="16">
        <v>10.0</v>
      </c>
      <c r="E136" s="17" t="s">
        <v>16</v>
      </c>
      <c r="F136" s="17" t="s">
        <v>56</v>
      </c>
      <c r="G136" s="16">
        <v>6.33</v>
      </c>
      <c r="H136" s="16">
        <v>6.1</v>
      </c>
      <c r="I136" s="19">
        <v>12.43</v>
      </c>
      <c r="J136" s="33"/>
      <c r="K136" s="33"/>
    </row>
    <row r="137">
      <c r="A137" s="20">
        <v>2014.0</v>
      </c>
      <c r="B137" s="21">
        <v>3.0</v>
      </c>
      <c r="C137" s="21">
        <v>3.0</v>
      </c>
      <c r="D137" s="21">
        <v>10.0</v>
      </c>
      <c r="E137" s="22" t="s">
        <v>16</v>
      </c>
      <c r="F137" s="22" t="s">
        <v>123</v>
      </c>
      <c r="G137" s="21">
        <v>8.33</v>
      </c>
      <c r="H137" s="21">
        <v>4.93</v>
      </c>
      <c r="I137" s="23">
        <v>13.26</v>
      </c>
      <c r="J137" s="33"/>
      <c r="K137" s="33"/>
    </row>
    <row r="138">
      <c r="A138" s="15">
        <v>2014.0</v>
      </c>
      <c r="B138" s="16">
        <v>3.0</v>
      </c>
      <c r="C138" s="16">
        <v>3.0</v>
      </c>
      <c r="D138" s="16">
        <v>11.0</v>
      </c>
      <c r="E138" s="17" t="s">
        <v>16</v>
      </c>
      <c r="F138" s="17" t="s">
        <v>31</v>
      </c>
      <c r="G138" s="16">
        <v>9.93</v>
      </c>
      <c r="H138" s="16">
        <v>7.1</v>
      </c>
      <c r="I138" s="19">
        <v>17.03</v>
      </c>
      <c r="J138" s="33"/>
      <c r="K138" s="33"/>
    </row>
    <row r="139">
      <c r="A139" s="20">
        <v>2014.0</v>
      </c>
      <c r="B139" s="21">
        <v>3.0</v>
      </c>
      <c r="C139" s="21">
        <v>3.0</v>
      </c>
      <c r="D139" s="21">
        <v>11.0</v>
      </c>
      <c r="E139" s="22" t="s">
        <v>16</v>
      </c>
      <c r="F139" s="22" t="s">
        <v>55</v>
      </c>
      <c r="G139" s="21">
        <v>5.67</v>
      </c>
      <c r="H139" s="21">
        <v>3.67</v>
      </c>
      <c r="I139" s="23">
        <v>9.34</v>
      </c>
      <c r="J139" s="33"/>
      <c r="K139" s="33"/>
    </row>
    <row r="140">
      <c r="A140" s="15">
        <v>2014.0</v>
      </c>
      <c r="B140" s="16">
        <v>3.0</v>
      </c>
      <c r="C140" s="16">
        <v>3.0</v>
      </c>
      <c r="D140" s="16">
        <v>12.0</v>
      </c>
      <c r="E140" s="17" t="s">
        <v>16</v>
      </c>
      <c r="F140" s="17" t="s">
        <v>41</v>
      </c>
      <c r="G140" s="16">
        <v>9.67</v>
      </c>
      <c r="H140" s="16">
        <v>7.27</v>
      </c>
      <c r="I140" s="19">
        <v>16.94</v>
      </c>
      <c r="J140" s="33"/>
      <c r="K140" s="33"/>
    </row>
    <row r="141">
      <c r="A141" s="20">
        <v>2014.0</v>
      </c>
      <c r="B141" s="21">
        <v>3.0</v>
      </c>
      <c r="C141" s="21">
        <v>3.0</v>
      </c>
      <c r="D141" s="21">
        <v>12.0</v>
      </c>
      <c r="E141" s="22" t="s">
        <v>16</v>
      </c>
      <c r="F141" s="22" t="s">
        <v>34</v>
      </c>
      <c r="G141" s="21">
        <v>6.5</v>
      </c>
      <c r="H141" s="21">
        <v>4.0</v>
      </c>
      <c r="I141" s="23">
        <v>10.5</v>
      </c>
      <c r="J141" s="33"/>
      <c r="K141" s="33"/>
    </row>
    <row r="142">
      <c r="A142" s="15">
        <v>2014.0</v>
      </c>
      <c r="B142" s="16">
        <v>3.0</v>
      </c>
      <c r="C142" s="16">
        <v>4.0</v>
      </c>
      <c r="D142" s="16">
        <v>1.0</v>
      </c>
      <c r="E142" s="17" t="s">
        <v>16</v>
      </c>
      <c r="F142" s="17" t="s">
        <v>62</v>
      </c>
      <c r="G142" s="16">
        <v>8.07</v>
      </c>
      <c r="H142" s="16">
        <v>7.5</v>
      </c>
      <c r="I142" s="19">
        <v>15.57</v>
      </c>
      <c r="J142" s="33"/>
      <c r="K142" s="33"/>
    </row>
    <row r="143">
      <c r="A143" s="20">
        <v>2014.0</v>
      </c>
      <c r="B143" s="21">
        <v>3.0</v>
      </c>
      <c r="C143" s="21">
        <v>4.0</v>
      </c>
      <c r="D143" s="21">
        <v>1.0</v>
      </c>
      <c r="E143" s="22" t="s">
        <v>16</v>
      </c>
      <c r="F143" s="22" t="s">
        <v>42</v>
      </c>
      <c r="G143" s="21">
        <v>6.93</v>
      </c>
      <c r="H143" s="21">
        <v>5.17</v>
      </c>
      <c r="I143" s="23">
        <v>12.1</v>
      </c>
      <c r="J143" s="33"/>
      <c r="K143" s="33"/>
    </row>
    <row r="144">
      <c r="A144" s="15">
        <v>2014.0</v>
      </c>
      <c r="B144" s="16">
        <v>3.0</v>
      </c>
      <c r="C144" s="16">
        <v>4.0</v>
      </c>
      <c r="D144" s="16">
        <v>1.0</v>
      </c>
      <c r="E144" s="17" t="s">
        <v>16</v>
      </c>
      <c r="F144" s="17" t="s">
        <v>29</v>
      </c>
      <c r="G144" s="16">
        <v>5.5</v>
      </c>
      <c r="H144" s="16">
        <v>5.4</v>
      </c>
      <c r="I144" s="19">
        <v>10.9</v>
      </c>
      <c r="J144" s="33"/>
      <c r="K144" s="33"/>
    </row>
    <row r="145">
      <c r="A145" s="20">
        <v>2014.0</v>
      </c>
      <c r="B145" s="21">
        <v>3.0</v>
      </c>
      <c r="C145" s="21">
        <v>4.0</v>
      </c>
      <c r="D145" s="21">
        <v>2.0</v>
      </c>
      <c r="E145" s="22" t="s">
        <v>16</v>
      </c>
      <c r="F145" s="22" t="s">
        <v>30</v>
      </c>
      <c r="G145" s="21">
        <v>5.67</v>
      </c>
      <c r="H145" s="21">
        <v>5.5</v>
      </c>
      <c r="I145" s="23">
        <v>11.17</v>
      </c>
      <c r="J145" s="33"/>
      <c r="K145" s="33"/>
    </row>
    <row r="146">
      <c r="A146" s="15">
        <v>2014.0</v>
      </c>
      <c r="B146" s="16">
        <v>3.0</v>
      </c>
      <c r="C146" s="16">
        <v>4.0</v>
      </c>
      <c r="D146" s="16">
        <v>2.0</v>
      </c>
      <c r="E146" s="17" t="s">
        <v>16</v>
      </c>
      <c r="F146" s="17" t="s">
        <v>26</v>
      </c>
      <c r="G146" s="16">
        <v>10.0</v>
      </c>
      <c r="H146" s="16">
        <v>8.0</v>
      </c>
      <c r="I146" s="19">
        <v>18.0</v>
      </c>
      <c r="J146" s="33"/>
      <c r="K146" s="33"/>
    </row>
    <row r="147">
      <c r="A147" s="20">
        <v>2014.0</v>
      </c>
      <c r="B147" s="21">
        <v>3.0</v>
      </c>
      <c r="C147" s="21">
        <v>4.0</v>
      </c>
      <c r="D147" s="21">
        <v>2.0</v>
      </c>
      <c r="E147" s="22" t="s">
        <v>16</v>
      </c>
      <c r="F147" s="22" t="s">
        <v>37</v>
      </c>
      <c r="G147" s="21">
        <v>8.93</v>
      </c>
      <c r="H147" s="21">
        <v>7.6</v>
      </c>
      <c r="I147" s="23">
        <v>16.53</v>
      </c>
      <c r="J147" s="33"/>
      <c r="K147" s="33"/>
    </row>
    <row r="148">
      <c r="A148" s="15">
        <v>2014.0</v>
      </c>
      <c r="B148" s="16">
        <v>3.0</v>
      </c>
      <c r="C148" s="16">
        <v>4.0</v>
      </c>
      <c r="D148" s="16">
        <v>3.0</v>
      </c>
      <c r="E148" s="17" t="s">
        <v>16</v>
      </c>
      <c r="F148" s="17" t="s">
        <v>39</v>
      </c>
      <c r="G148" s="16">
        <v>8.93</v>
      </c>
      <c r="H148" s="16">
        <v>7.73</v>
      </c>
      <c r="I148" s="19">
        <v>16.66</v>
      </c>
      <c r="J148" s="33"/>
      <c r="K148" s="33"/>
    </row>
    <row r="149">
      <c r="A149" s="20">
        <v>2014.0</v>
      </c>
      <c r="B149" s="21">
        <v>3.0</v>
      </c>
      <c r="C149" s="21">
        <v>4.0</v>
      </c>
      <c r="D149" s="21">
        <v>3.0</v>
      </c>
      <c r="E149" s="22" t="s">
        <v>16</v>
      </c>
      <c r="F149" s="22" t="s">
        <v>57</v>
      </c>
      <c r="G149" s="21">
        <v>6.7</v>
      </c>
      <c r="H149" s="21">
        <v>5.5</v>
      </c>
      <c r="I149" s="23">
        <v>12.2</v>
      </c>
      <c r="J149" s="33"/>
      <c r="K149" s="33"/>
    </row>
    <row r="150">
      <c r="A150" s="15">
        <v>2014.0</v>
      </c>
      <c r="B150" s="16">
        <v>3.0</v>
      </c>
      <c r="C150" s="16">
        <v>4.0</v>
      </c>
      <c r="D150" s="16">
        <v>3.0</v>
      </c>
      <c r="E150" s="17" t="s">
        <v>16</v>
      </c>
      <c r="F150" s="17" t="s">
        <v>28</v>
      </c>
      <c r="G150" s="16">
        <v>8.17</v>
      </c>
      <c r="H150" s="16">
        <v>6.83</v>
      </c>
      <c r="I150" s="19">
        <v>15.0</v>
      </c>
      <c r="J150" s="33"/>
      <c r="K150" s="33"/>
    </row>
    <row r="151">
      <c r="A151" s="20">
        <v>2014.0</v>
      </c>
      <c r="B151" s="21">
        <v>3.0</v>
      </c>
      <c r="C151" s="21">
        <v>4.0</v>
      </c>
      <c r="D151" s="21">
        <v>4.0</v>
      </c>
      <c r="E151" s="22" t="s">
        <v>16</v>
      </c>
      <c r="F151" s="22" t="s">
        <v>123</v>
      </c>
      <c r="G151" s="21">
        <v>6.67</v>
      </c>
      <c r="H151" s="21">
        <v>5.5</v>
      </c>
      <c r="I151" s="23">
        <v>12.17</v>
      </c>
      <c r="J151" s="33"/>
      <c r="K151" s="33"/>
    </row>
    <row r="152">
      <c r="A152" s="15">
        <v>2014.0</v>
      </c>
      <c r="B152" s="16">
        <v>3.0</v>
      </c>
      <c r="C152" s="16">
        <v>4.0</v>
      </c>
      <c r="D152" s="16">
        <v>4.0</v>
      </c>
      <c r="E152" s="17" t="s">
        <v>16</v>
      </c>
      <c r="F152" s="17" t="s">
        <v>31</v>
      </c>
      <c r="G152" s="16">
        <v>5.67</v>
      </c>
      <c r="H152" s="16">
        <v>4.87</v>
      </c>
      <c r="I152" s="19">
        <v>10.54</v>
      </c>
      <c r="J152" s="33"/>
      <c r="K152" s="33"/>
    </row>
    <row r="153">
      <c r="A153" s="20">
        <v>2014.0</v>
      </c>
      <c r="B153" s="21">
        <v>3.0</v>
      </c>
      <c r="C153" s="21">
        <v>4.0</v>
      </c>
      <c r="D153" s="21">
        <v>4.0</v>
      </c>
      <c r="E153" s="22" t="s">
        <v>16</v>
      </c>
      <c r="F153" s="22" t="s">
        <v>41</v>
      </c>
      <c r="G153" s="21">
        <v>8.67</v>
      </c>
      <c r="H153" s="21">
        <v>7.67</v>
      </c>
      <c r="I153" s="23">
        <v>16.34</v>
      </c>
      <c r="J153" s="33"/>
      <c r="K153" s="33"/>
    </row>
    <row r="154">
      <c r="A154" s="15">
        <v>2014.0</v>
      </c>
      <c r="B154" s="16">
        <v>3.0</v>
      </c>
      <c r="C154" s="16">
        <v>5.0</v>
      </c>
      <c r="D154" s="16">
        <v>1.0</v>
      </c>
      <c r="E154" s="17" t="s">
        <v>16</v>
      </c>
      <c r="F154" s="17" t="s">
        <v>42</v>
      </c>
      <c r="G154" s="16">
        <v>8.5</v>
      </c>
      <c r="H154" s="16">
        <v>7.77</v>
      </c>
      <c r="I154" s="19">
        <v>16.27</v>
      </c>
      <c r="J154" s="33"/>
      <c r="K154" s="33"/>
    </row>
    <row r="155">
      <c r="A155" s="20">
        <v>2014.0</v>
      </c>
      <c r="B155" s="21">
        <v>3.0</v>
      </c>
      <c r="C155" s="21">
        <v>5.0</v>
      </c>
      <c r="D155" s="21">
        <v>1.0</v>
      </c>
      <c r="E155" s="22" t="s">
        <v>16</v>
      </c>
      <c r="F155" s="22" t="s">
        <v>30</v>
      </c>
      <c r="G155" s="21">
        <v>7.0</v>
      </c>
      <c r="H155" s="21">
        <v>6.33</v>
      </c>
      <c r="I155" s="23">
        <v>13.33</v>
      </c>
      <c r="J155" s="33"/>
      <c r="K155" s="33"/>
    </row>
    <row r="156">
      <c r="A156" s="15">
        <v>2014.0</v>
      </c>
      <c r="B156" s="16">
        <v>3.0</v>
      </c>
      <c r="C156" s="16">
        <v>5.0</v>
      </c>
      <c r="D156" s="16">
        <v>2.0</v>
      </c>
      <c r="E156" s="17" t="s">
        <v>16</v>
      </c>
      <c r="F156" s="17" t="s">
        <v>37</v>
      </c>
      <c r="G156" s="16">
        <v>8.33</v>
      </c>
      <c r="H156" s="16">
        <v>6.93</v>
      </c>
      <c r="I156" s="19">
        <v>15.26</v>
      </c>
      <c r="J156" s="33"/>
      <c r="K156" s="33"/>
    </row>
    <row r="157">
      <c r="A157" s="20">
        <v>2014.0</v>
      </c>
      <c r="B157" s="21">
        <v>3.0</v>
      </c>
      <c r="C157" s="21">
        <v>5.0</v>
      </c>
      <c r="D157" s="21">
        <v>2.0</v>
      </c>
      <c r="E157" s="22" t="s">
        <v>16</v>
      </c>
      <c r="F157" s="22" t="s">
        <v>29</v>
      </c>
      <c r="G157" s="21">
        <v>7.77</v>
      </c>
      <c r="H157" s="21">
        <v>4.67</v>
      </c>
      <c r="I157" s="23">
        <v>12.44</v>
      </c>
      <c r="J157" s="33"/>
      <c r="K157" s="33"/>
    </row>
    <row r="158">
      <c r="A158" s="15">
        <v>2014.0</v>
      </c>
      <c r="B158" s="16">
        <v>3.0</v>
      </c>
      <c r="C158" s="16">
        <v>5.0</v>
      </c>
      <c r="D158" s="16">
        <v>3.0</v>
      </c>
      <c r="E158" s="17" t="s">
        <v>16</v>
      </c>
      <c r="F158" s="17" t="s">
        <v>28</v>
      </c>
      <c r="G158" s="16">
        <v>9.93</v>
      </c>
      <c r="H158" s="16">
        <v>7.33</v>
      </c>
      <c r="I158" s="19">
        <v>17.26</v>
      </c>
      <c r="J158" s="33"/>
      <c r="K158" s="33"/>
    </row>
    <row r="159">
      <c r="A159" s="20">
        <v>2014.0</v>
      </c>
      <c r="B159" s="21">
        <v>3.0</v>
      </c>
      <c r="C159" s="21">
        <v>5.0</v>
      </c>
      <c r="D159" s="21">
        <v>3.0</v>
      </c>
      <c r="E159" s="22" t="s">
        <v>16</v>
      </c>
      <c r="F159" s="22" t="s">
        <v>31</v>
      </c>
      <c r="G159" s="21">
        <v>9.13</v>
      </c>
      <c r="H159" s="21">
        <v>8.17</v>
      </c>
      <c r="I159" s="23">
        <v>17.3</v>
      </c>
      <c r="J159" s="33"/>
      <c r="K159" s="33"/>
    </row>
    <row r="160">
      <c r="A160" s="15">
        <v>2014.0</v>
      </c>
      <c r="B160" s="16">
        <v>3.0</v>
      </c>
      <c r="C160" s="16">
        <v>5.0</v>
      </c>
      <c r="D160" s="16">
        <v>4.0</v>
      </c>
      <c r="E160" s="17" t="s">
        <v>16</v>
      </c>
      <c r="F160" s="17" t="s">
        <v>123</v>
      </c>
      <c r="G160" s="16">
        <v>7.77</v>
      </c>
      <c r="H160" s="16">
        <v>5.33</v>
      </c>
      <c r="I160" s="19">
        <v>13.1</v>
      </c>
      <c r="J160" s="33"/>
      <c r="K160" s="33"/>
    </row>
    <row r="161">
      <c r="A161" s="20">
        <v>2014.0</v>
      </c>
      <c r="B161" s="21">
        <v>3.0</v>
      </c>
      <c r="C161" s="21">
        <v>5.0</v>
      </c>
      <c r="D161" s="21">
        <v>4.0</v>
      </c>
      <c r="E161" s="22" t="s">
        <v>16</v>
      </c>
      <c r="F161" s="22" t="s">
        <v>57</v>
      </c>
      <c r="G161" s="21">
        <v>7.6</v>
      </c>
      <c r="H161" s="21">
        <v>5.77</v>
      </c>
      <c r="I161" s="23">
        <v>13.37</v>
      </c>
      <c r="J161" s="33"/>
      <c r="K161" s="33"/>
    </row>
    <row r="162">
      <c r="A162" s="15">
        <v>2014.0</v>
      </c>
      <c r="B162" s="16">
        <v>3.0</v>
      </c>
      <c r="C162" s="16">
        <v>6.0</v>
      </c>
      <c r="D162" s="16">
        <v>1.0</v>
      </c>
      <c r="E162" s="17" t="s">
        <v>16</v>
      </c>
      <c r="F162" s="17" t="s">
        <v>62</v>
      </c>
      <c r="G162" s="16">
        <v>8.1</v>
      </c>
      <c r="H162" s="16">
        <v>7.4</v>
      </c>
      <c r="I162" s="19">
        <v>15.5</v>
      </c>
      <c r="J162" s="33"/>
      <c r="K162" s="33"/>
    </row>
    <row r="163">
      <c r="A163" s="20">
        <v>2014.0</v>
      </c>
      <c r="B163" s="21">
        <v>3.0</v>
      </c>
      <c r="C163" s="21">
        <v>6.0</v>
      </c>
      <c r="D163" s="21">
        <v>1.0</v>
      </c>
      <c r="E163" s="22" t="s">
        <v>16</v>
      </c>
      <c r="F163" s="22" t="s">
        <v>42</v>
      </c>
      <c r="G163" s="21">
        <v>7.83</v>
      </c>
      <c r="H163" s="21">
        <v>5.33</v>
      </c>
      <c r="I163" s="23">
        <v>13.16</v>
      </c>
      <c r="J163" s="33"/>
      <c r="K163" s="33"/>
    </row>
    <row r="164">
      <c r="A164" s="15">
        <v>2014.0</v>
      </c>
      <c r="B164" s="16">
        <v>3.0</v>
      </c>
      <c r="C164" s="16">
        <v>6.0</v>
      </c>
      <c r="D164" s="16">
        <v>2.0</v>
      </c>
      <c r="E164" s="17" t="s">
        <v>16</v>
      </c>
      <c r="F164" s="17" t="s">
        <v>26</v>
      </c>
      <c r="G164" s="16">
        <v>6.83</v>
      </c>
      <c r="H164" s="16">
        <v>6.3</v>
      </c>
      <c r="I164" s="19">
        <v>13.13</v>
      </c>
      <c r="J164" s="33"/>
      <c r="K164" s="33"/>
    </row>
    <row r="165">
      <c r="A165" s="20">
        <v>2014.0</v>
      </c>
      <c r="B165" s="21">
        <v>3.0</v>
      </c>
      <c r="C165" s="21">
        <v>6.0</v>
      </c>
      <c r="D165" s="21">
        <v>2.0</v>
      </c>
      <c r="E165" s="22" t="s">
        <v>16</v>
      </c>
      <c r="F165" s="22" t="s">
        <v>37</v>
      </c>
      <c r="G165" s="21">
        <v>6.33</v>
      </c>
      <c r="H165" s="21">
        <v>4.77</v>
      </c>
      <c r="I165" s="23">
        <v>11.1</v>
      </c>
      <c r="J165" s="33"/>
      <c r="K165" s="33"/>
    </row>
    <row r="166">
      <c r="A166" s="15">
        <v>2014.0</v>
      </c>
      <c r="B166" s="16">
        <v>3.0</v>
      </c>
      <c r="C166" s="16">
        <v>6.0</v>
      </c>
      <c r="D166" s="16">
        <v>3.0</v>
      </c>
      <c r="E166" s="17" t="s">
        <v>16</v>
      </c>
      <c r="F166" s="17" t="s">
        <v>39</v>
      </c>
      <c r="G166" s="16">
        <v>7.67</v>
      </c>
      <c r="H166" s="16">
        <v>7.67</v>
      </c>
      <c r="I166" s="19">
        <v>15.34</v>
      </c>
      <c r="J166" s="33"/>
      <c r="K166" s="33"/>
    </row>
    <row r="167">
      <c r="A167" s="20">
        <v>2014.0</v>
      </c>
      <c r="B167" s="21">
        <v>3.0</v>
      </c>
      <c r="C167" s="21">
        <v>6.0</v>
      </c>
      <c r="D167" s="21">
        <v>3.0</v>
      </c>
      <c r="E167" s="22" t="s">
        <v>16</v>
      </c>
      <c r="F167" s="22" t="s">
        <v>31</v>
      </c>
      <c r="G167" s="21">
        <v>9.1</v>
      </c>
      <c r="H167" s="21">
        <v>8.43</v>
      </c>
      <c r="I167" s="23">
        <v>17.53</v>
      </c>
      <c r="J167" s="33"/>
      <c r="K167" s="33"/>
    </row>
    <row r="168">
      <c r="A168" s="15">
        <v>2014.0</v>
      </c>
      <c r="B168" s="16">
        <v>3.0</v>
      </c>
      <c r="C168" s="16">
        <v>6.0</v>
      </c>
      <c r="D168" s="16">
        <v>4.0</v>
      </c>
      <c r="E168" s="17" t="s">
        <v>16</v>
      </c>
      <c r="F168" s="17" t="s">
        <v>41</v>
      </c>
      <c r="G168" s="16">
        <v>7.83</v>
      </c>
      <c r="H168" s="16">
        <v>5.33</v>
      </c>
      <c r="I168" s="19">
        <v>13.16</v>
      </c>
      <c r="J168" s="33"/>
      <c r="K168" s="33"/>
    </row>
    <row r="169">
      <c r="A169" s="20">
        <v>2014.0</v>
      </c>
      <c r="B169" s="21">
        <v>3.0</v>
      </c>
      <c r="C169" s="21">
        <v>6.0</v>
      </c>
      <c r="D169" s="21">
        <v>4.0</v>
      </c>
      <c r="E169" s="22" t="s">
        <v>16</v>
      </c>
      <c r="F169" s="22" t="s">
        <v>57</v>
      </c>
      <c r="G169" s="21">
        <v>6.67</v>
      </c>
      <c r="H169" s="21">
        <v>4.7</v>
      </c>
      <c r="I169" s="23">
        <v>11.37</v>
      </c>
      <c r="J169" s="33"/>
      <c r="K169" s="33"/>
    </row>
    <row r="170">
      <c r="A170" s="15">
        <v>2014.0</v>
      </c>
      <c r="B170" s="16">
        <v>3.0</v>
      </c>
      <c r="C170" s="16">
        <v>7.0</v>
      </c>
      <c r="D170" s="16">
        <v>1.0</v>
      </c>
      <c r="E170" s="17" t="s">
        <v>16</v>
      </c>
      <c r="F170" s="17" t="s">
        <v>62</v>
      </c>
      <c r="G170" s="16">
        <v>8.33</v>
      </c>
      <c r="H170" s="16">
        <v>6.1</v>
      </c>
      <c r="I170" s="19">
        <v>14.43</v>
      </c>
      <c r="J170" s="33"/>
      <c r="K170" s="33"/>
    </row>
    <row r="171">
      <c r="A171" s="20">
        <v>2014.0</v>
      </c>
      <c r="B171" s="21">
        <v>3.0</v>
      </c>
      <c r="C171" s="21">
        <v>7.0</v>
      </c>
      <c r="D171" s="21">
        <v>1.0</v>
      </c>
      <c r="E171" s="22" t="s">
        <v>16</v>
      </c>
      <c r="F171" s="22" t="s">
        <v>26</v>
      </c>
      <c r="G171" s="21">
        <v>7.33</v>
      </c>
      <c r="H171" s="21">
        <v>6.1</v>
      </c>
      <c r="I171" s="23">
        <v>13.43</v>
      </c>
      <c r="J171" s="33"/>
      <c r="K171" s="33"/>
    </row>
    <row r="172">
      <c r="A172" s="15">
        <v>2014.0</v>
      </c>
      <c r="B172" s="16">
        <v>3.0</v>
      </c>
      <c r="C172" s="16">
        <v>7.0</v>
      </c>
      <c r="D172" s="16">
        <v>2.0</v>
      </c>
      <c r="E172" s="17" t="s">
        <v>16</v>
      </c>
      <c r="F172" s="17" t="s">
        <v>31</v>
      </c>
      <c r="G172" s="16">
        <v>8.93</v>
      </c>
      <c r="H172" s="16">
        <v>8.43</v>
      </c>
      <c r="I172" s="19">
        <v>17.36</v>
      </c>
      <c r="J172" s="33"/>
      <c r="K172" s="33"/>
    </row>
    <row r="173">
      <c r="A173" s="20">
        <v>2014.0</v>
      </c>
      <c r="B173" s="21">
        <v>3.0</v>
      </c>
      <c r="C173" s="21">
        <v>7.0</v>
      </c>
      <c r="D173" s="21">
        <v>2.0</v>
      </c>
      <c r="E173" s="22" t="s">
        <v>16</v>
      </c>
      <c r="F173" s="22" t="s">
        <v>41</v>
      </c>
      <c r="G173" s="21">
        <v>9.43</v>
      </c>
      <c r="H173" s="21">
        <v>8.77</v>
      </c>
      <c r="I173" s="23">
        <v>18.2</v>
      </c>
      <c r="J173" s="33"/>
      <c r="K173" s="33"/>
    </row>
    <row r="174">
      <c r="A174" s="15">
        <v>2014.0</v>
      </c>
      <c r="B174" s="16">
        <v>3.0</v>
      </c>
      <c r="C174" s="16">
        <v>8.0</v>
      </c>
      <c r="D174" s="16">
        <v>1.0</v>
      </c>
      <c r="E174" s="17" t="s">
        <v>16</v>
      </c>
      <c r="F174" s="17" t="s">
        <v>62</v>
      </c>
      <c r="G174" s="16">
        <v>9.63</v>
      </c>
      <c r="H174" s="16">
        <v>3.83</v>
      </c>
      <c r="I174" s="19">
        <v>13.46</v>
      </c>
      <c r="J174" s="33"/>
      <c r="K174" s="33"/>
    </row>
    <row r="175">
      <c r="A175" s="20">
        <v>2014.0</v>
      </c>
      <c r="B175" s="21">
        <v>3.0</v>
      </c>
      <c r="C175" s="21">
        <v>8.0</v>
      </c>
      <c r="D175" s="21">
        <v>1.0</v>
      </c>
      <c r="E175" s="22" t="s">
        <v>16</v>
      </c>
      <c r="F175" s="22" t="s">
        <v>41</v>
      </c>
      <c r="G175" s="21">
        <v>8.83</v>
      </c>
      <c r="H175" s="21">
        <v>8.0</v>
      </c>
      <c r="I175" s="23">
        <v>16.83</v>
      </c>
      <c r="J175" s="33"/>
      <c r="K175" s="33"/>
    </row>
    <row r="176">
      <c r="A176" s="15">
        <v>2014.0</v>
      </c>
      <c r="B176" s="16">
        <v>4.0</v>
      </c>
      <c r="C176" s="16">
        <v>3.0</v>
      </c>
      <c r="D176" s="16">
        <v>1.0</v>
      </c>
      <c r="E176" s="17" t="s">
        <v>16</v>
      </c>
      <c r="F176" s="17" t="s">
        <v>30</v>
      </c>
      <c r="G176" s="16">
        <v>8.5</v>
      </c>
      <c r="H176" s="16">
        <v>6.5</v>
      </c>
      <c r="I176" s="19">
        <v>15.0</v>
      </c>
      <c r="J176" s="33"/>
      <c r="K176" s="33"/>
    </row>
    <row r="177">
      <c r="A177" s="20">
        <v>2014.0</v>
      </c>
      <c r="B177" s="21">
        <v>4.0</v>
      </c>
      <c r="C177" s="21">
        <v>3.0</v>
      </c>
      <c r="D177" s="21">
        <v>1.0</v>
      </c>
      <c r="E177" s="22" t="s">
        <v>16</v>
      </c>
      <c r="F177" s="22" t="s">
        <v>122</v>
      </c>
      <c r="G177" s="21">
        <v>9.5</v>
      </c>
      <c r="H177" s="21">
        <v>6.0</v>
      </c>
      <c r="I177" s="23">
        <v>15.5</v>
      </c>
      <c r="J177" s="33"/>
      <c r="K177" s="33"/>
    </row>
    <row r="178">
      <c r="A178" s="15">
        <v>2014.0</v>
      </c>
      <c r="B178" s="16">
        <v>4.0</v>
      </c>
      <c r="C178" s="16">
        <v>3.0</v>
      </c>
      <c r="D178" s="16">
        <v>2.0</v>
      </c>
      <c r="E178" s="17" t="s">
        <v>16</v>
      </c>
      <c r="F178" s="17" t="s">
        <v>56</v>
      </c>
      <c r="G178" s="16">
        <v>6.1</v>
      </c>
      <c r="H178" s="16">
        <v>5.93</v>
      </c>
      <c r="I178" s="19">
        <v>12.03</v>
      </c>
      <c r="J178" s="33"/>
      <c r="K178" s="33"/>
    </row>
    <row r="179">
      <c r="A179" s="20">
        <v>2014.0</v>
      </c>
      <c r="B179" s="21">
        <v>4.0</v>
      </c>
      <c r="C179" s="21">
        <v>3.0</v>
      </c>
      <c r="D179" s="21">
        <v>2.0</v>
      </c>
      <c r="E179" s="22" t="s">
        <v>16</v>
      </c>
      <c r="F179" s="22" t="s">
        <v>124</v>
      </c>
      <c r="G179" s="21">
        <v>3.83</v>
      </c>
      <c r="H179" s="21">
        <v>3.5</v>
      </c>
      <c r="I179" s="23">
        <v>7.33</v>
      </c>
      <c r="J179" s="33"/>
      <c r="K179" s="33"/>
    </row>
    <row r="180">
      <c r="A180" s="15">
        <v>2014.0</v>
      </c>
      <c r="B180" s="16">
        <v>4.0</v>
      </c>
      <c r="C180" s="16">
        <v>3.0</v>
      </c>
      <c r="D180" s="16">
        <v>3.0</v>
      </c>
      <c r="E180" s="17" t="s">
        <v>16</v>
      </c>
      <c r="F180" s="17" t="s">
        <v>42</v>
      </c>
      <c r="G180" s="16">
        <v>7.67</v>
      </c>
      <c r="H180" s="16">
        <v>2.3</v>
      </c>
      <c r="I180" s="19">
        <v>9.97</v>
      </c>
      <c r="J180" s="33"/>
      <c r="K180" s="33"/>
    </row>
    <row r="181">
      <c r="A181" s="20">
        <v>2014.0</v>
      </c>
      <c r="B181" s="21">
        <v>4.0</v>
      </c>
      <c r="C181" s="21">
        <v>3.0</v>
      </c>
      <c r="D181" s="21">
        <v>3.0</v>
      </c>
      <c r="E181" s="22" t="s">
        <v>16</v>
      </c>
      <c r="F181" s="22" t="s">
        <v>107</v>
      </c>
      <c r="G181" s="21">
        <v>3.93</v>
      </c>
      <c r="H181" s="21">
        <v>3.7</v>
      </c>
      <c r="I181" s="23">
        <v>7.63</v>
      </c>
      <c r="J181" s="33"/>
      <c r="K181" s="33"/>
    </row>
    <row r="182">
      <c r="A182" s="15">
        <v>2014.0</v>
      </c>
      <c r="B182" s="16">
        <v>4.0</v>
      </c>
      <c r="C182" s="16">
        <v>3.0</v>
      </c>
      <c r="D182" s="16">
        <v>4.0</v>
      </c>
      <c r="E182" s="17" t="s">
        <v>16</v>
      </c>
      <c r="F182" s="17" t="s">
        <v>31</v>
      </c>
      <c r="G182" s="16">
        <v>7.0</v>
      </c>
      <c r="H182" s="16">
        <v>6.5</v>
      </c>
      <c r="I182" s="19">
        <v>13.5</v>
      </c>
      <c r="J182" s="33"/>
      <c r="K182" s="33"/>
    </row>
    <row r="183">
      <c r="A183" s="20">
        <v>2014.0</v>
      </c>
      <c r="B183" s="21">
        <v>4.0</v>
      </c>
      <c r="C183" s="21">
        <v>3.0</v>
      </c>
      <c r="D183" s="21">
        <v>4.0</v>
      </c>
      <c r="E183" s="22" t="s">
        <v>16</v>
      </c>
      <c r="F183" s="22" t="s">
        <v>32</v>
      </c>
      <c r="G183" s="21">
        <v>8.43</v>
      </c>
      <c r="H183" s="21">
        <v>5.27</v>
      </c>
      <c r="I183" s="23">
        <v>13.7</v>
      </c>
      <c r="J183" s="33"/>
      <c r="K183" s="33"/>
    </row>
    <row r="184">
      <c r="A184" s="15">
        <v>2014.0</v>
      </c>
      <c r="B184" s="16">
        <v>4.0</v>
      </c>
      <c r="C184" s="16">
        <v>3.0</v>
      </c>
      <c r="D184" s="16">
        <v>5.0</v>
      </c>
      <c r="E184" s="17" t="s">
        <v>16</v>
      </c>
      <c r="F184" s="17" t="s">
        <v>33</v>
      </c>
      <c r="G184" s="16">
        <v>7.23</v>
      </c>
      <c r="H184" s="16">
        <v>5.67</v>
      </c>
      <c r="I184" s="19">
        <v>12.9</v>
      </c>
      <c r="J184" s="33"/>
      <c r="K184" s="33"/>
    </row>
    <row r="185">
      <c r="A185" s="20">
        <v>2014.0</v>
      </c>
      <c r="B185" s="21">
        <v>4.0</v>
      </c>
      <c r="C185" s="21">
        <v>3.0</v>
      </c>
      <c r="D185" s="21">
        <v>5.0</v>
      </c>
      <c r="E185" s="22" t="s">
        <v>16</v>
      </c>
      <c r="F185" s="22" t="s">
        <v>59</v>
      </c>
      <c r="G185" s="21">
        <v>8.83</v>
      </c>
      <c r="H185" s="21">
        <v>7.5</v>
      </c>
      <c r="I185" s="23">
        <v>16.33</v>
      </c>
      <c r="J185" s="33"/>
      <c r="K185" s="33"/>
    </row>
    <row r="186">
      <c r="A186" s="15">
        <v>2014.0</v>
      </c>
      <c r="B186" s="16">
        <v>4.0</v>
      </c>
      <c r="C186" s="16">
        <v>3.0</v>
      </c>
      <c r="D186" s="16">
        <v>6.0</v>
      </c>
      <c r="E186" s="17" t="s">
        <v>16</v>
      </c>
      <c r="F186" s="17" t="s">
        <v>37</v>
      </c>
      <c r="G186" s="16">
        <v>6.93</v>
      </c>
      <c r="H186" s="16">
        <v>6.6</v>
      </c>
      <c r="I186" s="19">
        <v>13.53</v>
      </c>
      <c r="J186" s="33"/>
      <c r="K186" s="33"/>
    </row>
    <row r="187">
      <c r="A187" s="20">
        <v>2014.0</v>
      </c>
      <c r="B187" s="21">
        <v>4.0</v>
      </c>
      <c r="C187" s="21">
        <v>3.0</v>
      </c>
      <c r="D187" s="21">
        <v>6.0</v>
      </c>
      <c r="E187" s="22" t="s">
        <v>16</v>
      </c>
      <c r="F187" s="22" t="s">
        <v>106</v>
      </c>
      <c r="G187" s="21">
        <v>6.33</v>
      </c>
      <c r="H187" s="21">
        <v>4.6</v>
      </c>
      <c r="I187" s="23">
        <v>10.93</v>
      </c>
      <c r="J187" s="33"/>
      <c r="K187" s="33"/>
    </row>
    <row r="188">
      <c r="A188" s="15">
        <v>2014.0</v>
      </c>
      <c r="B188" s="16">
        <v>4.0</v>
      </c>
      <c r="C188" s="16">
        <v>3.0</v>
      </c>
      <c r="D188" s="16">
        <v>7.0</v>
      </c>
      <c r="E188" s="17" t="s">
        <v>16</v>
      </c>
      <c r="F188" s="17" t="s">
        <v>39</v>
      </c>
      <c r="G188" s="16">
        <v>8.43</v>
      </c>
      <c r="H188" s="16">
        <v>6.67</v>
      </c>
      <c r="I188" s="19">
        <v>15.1</v>
      </c>
      <c r="J188" s="33"/>
      <c r="K188" s="33"/>
    </row>
    <row r="189">
      <c r="A189" s="20">
        <v>2014.0</v>
      </c>
      <c r="B189" s="21">
        <v>4.0</v>
      </c>
      <c r="C189" s="21">
        <v>3.0</v>
      </c>
      <c r="D189" s="21">
        <v>7.0</v>
      </c>
      <c r="E189" s="22" t="s">
        <v>16</v>
      </c>
      <c r="F189" s="22" t="s">
        <v>120</v>
      </c>
      <c r="G189" s="21">
        <v>5.93</v>
      </c>
      <c r="H189" s="21">
        <v>1.43</v>
      </c>
      <c r="I189" s="23">
        <v>7.36</v>
      </c>
      <c r="J189" s="33"/>
      <c r="K189" s="33"/>
    </row>
    <row r="190">
      <c r="A190" s="15">
        <v>2014.0</v>
      </c>
      <c r="B190" s="16">
        <v>4.0</v>
      </c>
      <c r="C190" s="16">
        <v>3.0</v>
      </c>
      <c r="D190" s="16">
        <v>8.0</v>
      </c>
      <c r="E190" s="17" t="s">
        <v>16</v>
      </c>
      <c r="F190" s="17" t="s">
        <v>26</v>
      </c>
      <c r="G190" s="16">
        <v>6.67</v>
      </c>
      <c r="H190" s="16">
        <v>6.37</v>
      </c>
      <c r="I190" s="19">
        <v>13.04</v>
      </c>
      <c r="J190" s="33"/>
      <c r="K190" s="33"/>
    </row>
    <row r="191">
      <c r="A191" s="20">
        <v>2014.0</v>
      </c>
      <c r="B191" s="21">
        <v>4.0</v>
      </c>
      <c r="C191" s="21">
        <v>3.0</v>
      </c>
      <c r="D191" s="21">
        <v>8.0</v>
      </c>
      <c r="E191" s="22" t="s">
        <v>16</v>
      </c>
      <c r="F191" s="22" t="s">
        <v>38</v>
      </c>
      <c r="G191" s="21">
        <v>7.77</v>
      </c>
      <c r="H191" s="21">
        <v>7.33</v>
      </c>
      <c r="I191" s="23">
        <v>15.1</v>
      </c>
      <c r="J191" s="33"/>
      <c r="K191" s="33"/>
    </row>
    <row r="192">
      <c r="A192" s="15">
        <v>2014.0</v>
      </c>
      <c r="B192" s="16">
        <v>4.0</v>
      </c>
      <c r="C192" s="16">
        <v>3.0</v>
      </c>
      <c r="D192" s="16">
        <v>9.0</v>
      </c>
      <c r="E192" s="17" t="s">
        <v>16</v>
      </c>
      <c r="F192" s="17" t="s">
        <v>28</v>
      </c>
      <c r="G192" s="16">
        <v>8.5</v>
      </c>
      <c r="H192" s="16">
        <v>7.6</v>
      </c>
      <c r="I192" s="19">
        <v>16.1</v>
      </c>
      <c r="J192" s="33"/>
      <c r="K192" s="33"/>
    </row>
    <row r="193">
      <c r="A193" s="20">
        <v>2014.0</v>
      </c>
      <c r="B193" s="21">
        <v>4.0</v>
      </c>
      <c r="C193" s="21">
        <v>3.0</v>
      </c>
      <c r="D193" s="21">
        <v>9.0</v>
      </c>
      <c r="E193" s="22" t="s">
        <v>16</v>
      </c>
      <c r="F193" s="22" t="s">
        <v>35</v>
      </c>
      <c r="G193" s="21">
        <v>6.0</v>
      </c>
      <c r="H193" s="21">
        <v>3.83</v>
      </c>
      <c r="I193" s="23">
        <v>9.83</v>
      </c>
      <c r="J193" s="33"/>
      <c r="K193" s="33"/>
    </row>
    <row r="194">
      <c r="A194" s="15">
        <v>2014.0</v>
      </c>
      <c r="B194" s="16">
        <v>4.0</v>
      </c>
      <c r="C194" s="16">
        <v>3.0</v>
      </c>
      <c r="D194" s="16">
        <v>10.0</v>
      </c>
      <c r="E194" s="17" t="s">
        <v>16</v>
      </c>
      <c r="F194" s="17" t="s">
        <v>45</v>
      </c>
      <c r="G194" s="16">
        <v>6.17</v>
      </c>
      <c r="H194" s="16">
        <v>3.83</v>
      </c>
      <c r="I194" s="19">
        <v>10.0</v>
      </c>
      <c r="J194" s="33"/>
      <c r="K194" s="33"/>
    </row>
    <row r="195">
      <c r="A195" s="20">
        <v>2014.0</v>
      </c>
      <c r="B195" s="21">
        <v>4.0</v>
      </c>
      <c r="C195" s="21">
        <v>3.0</v>
      </c>
      <c r="D195" s="21">
        <v>10.0</v>
      </c>
      <c r="E195" s="22" t="s">
        <v>16</v>
      </c>
      <c r="F195" s="22" t="s">
        <v>76</v>
      </c>
      <c r="G195" s="21">
        <v>5.0</v>
      </c>
      <c r="H195" s="21">
        <v>4.17</v>
      </c>
      <c r="I195" s="23">
        <v>9.17</v>
      </c>
      <c r="J195" s="33"/>
      <c r="K195" s="33"/>
    </row>
    <row r="196">
      <c r="A196" s="15">
        <v>2014.0</v>
      </c>
      <c r="B196" s="16">
        <v>4.0</v>
      </c>
      <c r="C196" s="16">
        <v>3.0</v>
      </c>
      <c r="D196" s="16">
        <v>11.0</v>
      </c>
      <c r="E196" s="17" t="s">
        <v>16</v>
      </c>
      <c r="F196" s="17" t="s">
        <v>27</v>
      </c>
      <c r="G196" s="16">
        <v>8.23</v>
      </c>
      <c r="H196" s="16">
        <v>5.5</v>
      </c>
      <c r="I196" s="19">
        <v>13.73</v>
      </c>
      <c r="J196" s="33"/>
      <c r="K196" s="33"/>
    </row>
    <row r="197">
      <c r="A197" s="20">
        <v>2014.0</v>
      </c>
      <c r="B197" s="21">
        <v>4.0</v>
      </c>
      <c r="C197" s="21">
        <v>3.0</v>
      </c>
      <c r="D197" s="21">
        <v>11.0</v>
      </c>
      <c r="E197" s="22" t="s">
        <v>16</v>
      </c>
      <c r="F197" s="22" t="s">
        <v>47</v>
      </c>
      <c r="G197" s="21">
        <v>6.0</v>
      </c>
      <c r="H197" s="21">
        <v>5.9</v>
      </c>
      <c r="I197" s="23">
        <v>11.9</v>
      </c>
      <c r="J197" s="33"/>
      <c r="K197" s="33"/>
    </row>
    <row r="198">
      <c r="A198" s="15">
        <v>2014.0</v>
      </c>
      <c r="B198" s="16">
        <v>4.0</v>
      </c>
      <c r="C198" s="16">
        <v>3.0</v>
      </c>
      <c r="D198" s="16">
        <v>12.0</v>
      </c>
      <c r="E198" s="17" t="s">
        <v>16</v>
      </c>
      <c r="F198" s="17" t="s">
        <v>62</v>
      </c>
      <c r="G198" s="16">
        <v>7.43</v>
      </c>
      <c r="H198" s="16">
        <v>5.7</v>
      </c>
      <c r="I198" s="19">
        <v>13.13</v>
      </c>
      <c r="J198" s="33"/>
      <c r="K198" s="33"/>
    </row>
    <row r="199">
      <c r="A199" s="20">
        <v>2014.0</v>
      </c>
      <c r="B199" s="21">
        <v>4.0</v>
      </c>
      <c r="C199" s="21">
        <v>3.0</v>
      </c>
      <c r="D199" s="21">
        <v>12.0</v>
      </c>
      <c r="E199" s="22" t="s">
        <v>16</v>
      </c>
      <c r="F199" s="22" t="s">
        <v>126</v>
      </c>
      <c r="G199" s="21">
        <v>6.33</v>
      </c>
      <c r="H199" s="21">
        <v>6.1</v>
      </c>
      <c r="I199" s="23">
        <v>12.43</v>
      </c>
      <c r="J199" s="33"/>
      <c r="K199" s="33"/>
    </row>
    <row r="200">
      <c r="A200" s="15">
        <v>2014.0</v>
      </c>
      <c r="B200" s="16">
        <v>4.0</v>
      </c>
      <c r="C200" s="16">
        <v>4.0</v>
      </c>
      <c r="D200" s="16">
        <v>1.0</v>
      </c>
      <c r="E200" s="17" t="s">
        <v>16</v>
      </c>
      <c r="F200" s="17" t="s">
        <v>122</v>
      </c>
      <c r="G200" s="16">
        <v>6.83</v>
      </c>
      <c r="H200" s="16">
        <v>5.1</v>
      </c>
      <c r="I200" s="19">
        <v>11.93</v>
      </c>
      <c r="J200" s="33"/>
      <c r="K200" s="33"/>
    </row>
    <row r="201">
      <c r="A201" s="20">
        <v>2014.0</v>
      </c>
      <c r="B201" s="21">
        <v>4.0</v>
      </c>
      <c r="C201" s="21">
        <v>4.0</v>
      </c>
      <c r="D201" s="21">
        <v>1.0</v>
      </c>
      <c r="E201" s="22" t="s">
        <v>16</v>
      </c>
      <c r="F201" s="22" t="s">
        <v>56</v>
      </c>
      <c r="G201" s="21">
        <v>8.17</v>
      </c>
      <c r="H201" s="21">
        <v>7.17</v>
      </c>
      <c r="I201" s="23">
        <v>15.34</v>
      </c>
      <c r="J201" s="33"/>
      <c r="K201" s="33"/>
    </row>
    <row r="202">
      <c r="A202" s="15">
        <v>2014.0</v>
      </c>
      <c r="B202" s="16">
        <v>4.0</v>
      </c>
      <c r="C202" s="16">
        <v>4.0</v>
      </c>
      <c r="D202" s="16">
        <v>1.0</v>
      </c>
      <c r="E202" s="17" t="s">
        <v>16</v>
      </c>
      <c r="F202" s="17" t="s">
        <v>42</v>
      </c>
      <c r="G202" s="16">
        <v>6.67</v>
      </c>
      <c r="H202" s="16">
        <v>6.67</v>
      </c>
      <c r="I202" s="19">
        <v>13.34</v>
      </c>
      <c r="J202" s="33"/>
      <c r="K202" s="33"/>
    </row>
    <row r="203">
      <c r="A203" s="20">
        <v>2014.0</v>
      </c>
      <c r="B203" s="21">
        <v>4.0</v>
      </c>
      <c r="C203" s="21">
        <v>4.0</v>
      </c>
      <c r="D203" s="21">
        <v>2.0</v>
      </c>
      <c r="E203" s="22" t="s">
        <v>16</v>
      </c>
      <c r="F203" s="22" t="s">
        <v>32</v>
      </c>
      <c r="G203" s="21">
        <v>7.0</v>
      </c>
      <c r="H203" s="21">
        <v>3.43</v>
      </c>
      <c r="I203" s="23">
        <v>10.43</v>
      </c>
      <c r="J203" s="33"/>
      <c r="K203" s="33"/>
    </row>
    <row r="204">
      <c r="A204" s="15">
        <v>2014.0</v>
      </c>
      <c r="B204" s="16">
        <v>4.0</v>
      </c>
      <c r="C204" s="16">
        <v>4.0</v>
      </c>
      <c r="D204" s="16">
        <v>2.0</v>
      </c>
      <c r="E204" s="17" t="s">
        <v>16</v>
      </c>
      <c r="F204" s="17" t="s">
        <v>59</v>
      </c>
      <c r="G204" s="16">
        <v>9.1</v>
      </c>
      <c r="H204" s="16">
        <v>6.17</v>
      </c>
      <c r="I204" s="19">
        <v>15.27</v>
      </c>
      <c r="J204" s="33"/>
      <c r="K204" s="33"/>
    </row>
    <row r="205">
      <c r="A205" s="20">
        <v>2014.0</v>
      </c>
      <c r="B205" s="21">
        <v>4.0</v>
      </c>
      <c r="C205" s="21">
        <v>4.0</v>
      </c>
      <c r="D205" s="21">
        <v>2.0</v>
      </c>
      <c r="E205" s="22" t="s">
        <v>16</v>
      </c>
      <c r="F205" s="22" t="s">
        <v>37</v>
      </c>
      <c r="G205" s="21">
        <v>2.97</v>
      </c>
      <c r="H205" s="21">
        <v>2.33</v>
      </c>
      <c r="I205" s="23">
        <v>5.3</v>
      </c>
      <c r="J205" s="33"/>
      <c r="K205" s="33"/>
    </row>
    <row r="206">
      <c r="A206" s="15">
        <v>2014.0</v>
      </c>
      <c r="B206" s="16">
        <v>4.0</v>
      </c>
      <c r="C206" s="16">
        <v>4.0</v>
      </c>
      <c r="D206" s="16">
        <v>3.0</v>
      </c>
      <c r="E206" s="17" t="s">
        <v>16</v>
      </c>
      <c r="F206" s="17" t="s">
        <v>39</v>
      </c>
      <c r="G206" s="16">
        <v>7.07</v>
      </c>
      <c r="H206" s="16">
        <v>4.17</v>
      </c>
      <c r="I206" s="19">
        <v>11.24</v>
      </c>
      <c r="J206" s="33"/>
      <c r="K206" s="33"/>
    </row>
    <row r="207">
      <c r="A207" s="20">
        <v>2014.0</v>
      </c>
      <c r="B207" s="21">
        <v>4.0</v>
      </c>
      <c r="C207" s="21">
        <v>4.0</v>
      </c>
      <c r="D207" s="21">
        <v>3.0</v>
      </c>
      <c r="E207" s="22" t="s">
        <v>16</v>
      </c>
      <c r="F207" s="22" t="s">
        <v>38</v>
      </c>
      <c r="G207" s="21">
        <v>8.17</v>
      </c>
      <c r="H207" s="21">
        <v>2.93</v>
      </c>
      <c r="I207" s="23">
        <v>11.1</v>
      </c>
      <c r="J207" s="33"/>
      <c r="K207" s="33"/>
    </row>
    <row r="208">
      <c r="A208" s="15">
        <v>2014.0</v>
      </c>
      <c r="B208" s="16">
        <v>4.0</v>
      </c>
      <c r="C208" s="16">
        <v>4.0</v>
      </c>
      <c r="D208" s="16">
        <v>3.0</v>
      </c>
      <c r="E208" s="17" t="s">
        <v>16</v>
      </c>
      <c r="F208" s="17" t="s">
        <v>28</v>
      </c>
      <c r="G208" s="16">
        <v>6.0</v>
      </c>
      <c r="H208" s="16">
        <v>5.53</v>
      </c>
      <c r="I208" s="19">
        <v>11.53</v>
      </c>
      <c r="J208" s="33"/>
      <c r="K208" s="33"/>
    </row>
    <row r="209">
      <c r="A209" s="20">
        <v>2014.0</v>
      </c>
      <c r="B209" s="21">
        <v>4.0</v>
      </c>
      <c r="C209" s="21">
        <v>4.0</v>
      </c>
      <c r="D209" s="21">
        <v>4.0</v>
      </c>
      <c r="E209" s="22" t="s">
        <v>16</v>
      </c>
      <c r="F209" s="22" t="s">
        <v>45</v>
      </c>
      <c r="G209" s="21">
        <v>4.83</v>
      </c>
      <c r="H209" s="21">
        <v>3.0</v>
      </c>
      <c r="I209" s="23">
        <v>7.83</v>
      </c>
      <c r="J209" s="33"/>
      <c r="K209" s="33"/>
    </row>
    <row r="210">
      <c r="A210" s="15">
        <v>2014.0</v>
      </c>
      <c r="B210" s="16">
        <v>4.0</v>
      </c>
      <c r="C210" s="16">
        <v>4.0</v>
      </c>
      <c r="D210" s="16">
        <v>4.0</v>
      </c>
      <c r="E210" s="17" t="s">
        <v>16</v>
      </c>
      <c r="F210" s="17" t="s">
        <v>27</v>
      </c>
      <c r="G210" s="16">
        <v>1.7</v>
      </c>
      <c r="H210" s="16">
        <v>1.5</v>
      </c>
      <c r="I210" s="19">
        <v>3.2</v>
      </c>
      <c r="J210" s="33"/>
      <c r="K210" s="33"/>
    </row>
    <row r="211">
      <c r="A211" s="20">
        <v>2014.0</v>
      </c>
      <c r="B211" s="21">
        <v>4.0</v>
      </c>
      <c r="C211" s="21">
        <v>4.0</v>
      </c>
      <c r="D211" s="21">
        <v>4.0</v>
      </c>
      <c r="E211" s="22" t="s">
        <v>16</v>
      </c>
      <c r="F211" s="22" t="s">
        <v>62</v>
      </c>
      <c r="G211" s="21">
        <v>5.83</v>
      </c>
      <c r="H211" s="21">
        <v>3.17</v>
      </c>
      <c r="I211" s="23">
        <v>9.0</v>
      </c>
      <c r="J211" s="33"/>
      <c r="K211" s="33"/>
    </row>
    <row r="212">
      <c r="A212" s="15">
        <v>2014.0</v>
      </c>
      <c r="B212" s="16">
        <v>4.0</v>
      </c>
      <c r="C212" s="16">
        <v>5.0</v>
      </c>
      <c r="D212" s="16">
        <v>1.0</v>
      </c>
      <c r="E212" s="17" t="s">
        <v>16</v>
      </c>
      <c r="F212" s="17" t="s">
        <v>42</v>
      </c>
      <c r="G212" s="16">
        <v>3.73</v>
      </c>
      <c r="H212" s="16">
        <v>0.0</v>
      </c>
      <c r="I212" s="19">
        <v>3.73</v>
      </c>
      <c r="J212" s="33"/>
      <c r="K212" s="33"/>
    </row>
    <row r="213">
      <c r="A213" s="20">
        <v>2014.0</v>
      </c>
      <c r="B213" s="21">
        <v>4.0</v>
      </c>
      <c r="C213" s="21">
        <v>5.0</v>
      </c>
      <c r="D213" s="21">
        <v>1.0</v>
      </c>
      <c r="E213" s="22" t="s">
        <v>16</v>
      </c>
      <c r="F213" s="22" t="s">
        <v>37</v>
      </c>
      <c r="G213" s="21">
        <v>10.0</v>
      </c>
      <c r="H213" s="21">
        <v>5.5</v>
      </c>
      <c r="I213" s="23">
        <v>15.5</v>
      </c>
      <c r="J213" s="33"/>
      <c r="K213" s="33"/>
    </row>
    <row r="214">
      <c r="A214" s="15">
        <v>2014.0</v>
      </c>
      <c r="B214" s="16">
        <v>4.0</v>
      </c>
      <c r="C214" s="16">
        <v>5.0</v>
      </c>
      <c r="D214" s="16">
        <v>2.0</v>
      </c>
      <c r="E214" s="17" t="s">
        <v>16</v>
      </c>
      <c r="F214" s="17" t="s">
        <v>32</v>
      </c>
      <c r="G214" s="16">
        <v>6.83</v>
      </c>
      <c r="H214" s="16">
        <v>0.0</v>
      </c>
      <c r="I214" s="19">
        <v>6.83</v>
      </c>
      <c r="J214" s="33"/>
      <c r="K214" s="33"/>
    </row>
    <row r="215">
      <c r="A215" s="20">
        <v>2014.0</v>
      </c>
      <c r="B215" s="21">
        <v>4.0</v>
      </c>
      <c r="C215" s="21">
        <v>5.0</v>
      </c>
      <c r="D215" s="21">
        <v>2.0</v>
      </c>
      <c r="E215" s="22" t="s">
        <v>16</v>
      </c>
      <c r="F215" s="22" t="s">
        <v>122</v>
      </c>
      <c r="G215" s="21">
        <v>3.33</v>
      </c>
      <c r="H215" s="21">
        <v>3.17</v>
      </c>
      <c r="I215" s="23">
        <v>6.5</v>
      </c>
      <c r="J215" s="33"/>
      <c r="K215" s="33"/>
    </row>
    <row r="216">
      <c r="A216" s="15">
        <v>2014.0</v>
      </c>
      <c r="B216" s="16">
        <v>4.0</v>
      </c>
      <c r="C216" s="16">
        <v>5.0</v>
      </c>
      <c r="D216" s="16">
        <v>3.0</v>
      </c>
      <c r="E216" s="17" t="s">
        <v>16</v>
      </c>
      <c r="F216" s="17" t="s">
        <v>39</v>
      </c>
      <c r="G216" s="16">
        <v>5.5</v>
      </c>
      <c r="H216" s="16">
        <v>2.6</v>
      </c>
      <c r="I216" s="19">
        <v>8.1</v>
      </c>
      <c r="J216" s="33"/>
      <c r="K216" s="33"/>
    </row>
    <row r="217">
      <c r="A217" s="20">
        <v>2014.0</v>
      </c>
      <c r="B217" s="21">
        <v>4.0</v>
      </c>
      <c r="C217" s="21">
        <v>5.0</v>
      </c>
      <c r="D217" s="21">
        <v>3.0</v>
      </c>
      <c r="E217" s="22" t="s">
        <v>16</v>
      </c>
      <c r="F217" s="22" t="s">
        <v>27</v>
      </c>
      <c r="G217" s="21">
        <v>4.5</v>
      </c>
      <c r="H217" s="21">
        <v>4.1</v>
      </c>
      <c r="I217" s="23">
        <v>8.6</v>
      </c>
      <c r="J217" s="33"/>
      <c r="K217" s="33"/>
    </row>
    <row r="218">
      <c r="A218" s="15">
        <v>2014.0</v>
      </c>
      <c r="B218" s="16">
        <v>4.0</v>
      </c>
      <c r="C218" s="16">
        <v>5.0</v>
      </c>
      <c r="D218" s="16">
        <v>4.0</v>
      </c>
      <c r="E218" s="17" t="s">
        <v>16</v>
      </c>
      <c r="F218" s="17" t="s">
        <v>45</v>
      </c>
      <c r="G218" s="16">
        <v>4.17</v>
      </c>
      <c r="H218" s="16">
        <v>4.0</v>
      </c>
      <c r="I218" s="19">
        <v>8.17</v>
      </c>
      <c r="J218" s="33"/>
      <c r="K218" s="33"/>
    </row>
    <row r="219">
      <c r="A219" s="20">
        <v>2014.0</v>
      </c>
      <c r="B219" s="21">
        <v>4.0</v>
      </c>
      <c r="C219" s="21">
        <v>5.0</v>
      </c>
      <c r="D219" s="21">
        <v>4.0</v>
      </c>
      <c r="E219" s="22" t="s">
        <v>16</v>
      </c>
      <c r="F219" s="22" t="s">
        <v>38</v>
      </c>
      <c r="G219" s="21">
        <v>5.93</v>
      </c>
      <c r="H219" s="21">
        <v>5.83</v>
      </c>
      <c r="I219" s="23">
        <v>11.76</v>
      </c>
      <c r="J219" s="33"/>
      <c r="K219" s="33"/>
    </row>
    <row r="220">
      <c r="A220" s="15">
        <v>2014.0</v>
      </c>
      <c r="B220" s="16">
        <v>4.0</v>
      </c>
      <c r="C220" s="16">
        <v>6.0</v>
      </c>
      <c r="D220" s="16">
        <v>1.0</v>
      </c>
      <c r="E220" s="17" t="s">
        <v>16</v>
      </c>
      <c r="F220" s="17" t="s">
        <v>56</v>
      </c>
      <c r="G220" s="16">
        <v>6.97</v>
      </c>
      <c r="H220" s="16">
        <v>5.4</v>
      </c>
      <c r="I220" s="19">
        <v>12.37</v>
      </c>
      <c r="J220" s="33"/>
      <c r="K220" s="33"/>
    </row>
    <row r="221">
      <c r="A221" s="20">
        <v>2014.0</v>
      </c>
      <c r="B221" s="21">
        <v>4.0</v>
      </c>
      <c r="C221" s="21">
        <v>6.0</v>
      </c>
      <c r="D221" s="21">
        <v>1.0</v>
      </c>
      <c r="E221" s="22" t="s">
        <v>16</v>
      </c>
      <c r="F221" s="22" t="s">
        <v>37</v>
      </c>
      <c r="G221" s="21">
        <v>7.33</v>
      </c>
      <c r="H221" s="21">
        <v>7.17</v>
      </c>
      <c r="I221" s="23">
        <v>14.5</v>
      </c>
      <c r="J221" s="33"/>
      <c r="K221" s="33"/>
    </row>
    <row r="222">
      <c r="A222" s="15">
        <v>2014.0</v>
      </c>
      <c r="B222" s="16">
        <v>4.0</v>
      </c>
      <c r="C222" s="16">
        <v>6.0</v>
      </c>
      <c r="D222" s="16">
        <v>2.0</v>
      </c>
      <c r="E222" s="17" t="s">
        <v>16</v>
      </c>
      <c r="F222" s="17" t="s">
        <v>59</v>
      </c>
      <c r="G222" s="16">
        <v>4.9</v>
      </c>
      <c r="H222" s="16">
        <v>2.5</v>
      </c>
      <c r="I222" s="19">
        <v>7.4</v>
      </c>
      <c r="J222" s="33"/>
      <c r="K222" s="33"/>
    </row>
    <row r="223">
      <c r="A223" s="20">
        <v>2014.0</v>
      </c>
      <c r="B223" s="21">
        <v>4.0</v>
      </c>
      <c r="C223" s="21">
        <v>6.0</v>
      </c>
      <c r="D223" s="21">
        <v>2.0</v>
      </c>
      <c r="E223" s="22" t="s">
        <v>16</v>
      </c>
      <c r="F223" s="22" t="s">
        <v>32</v>
      </c>
      <c r="G223" s="21">
        <v>6.67</v>
      </c>
      <c r="H223" s="21">
        <v>5.77</v>
      </c>
      <c r="I223" s="23">
        <v>12.44</v>
      </c>
      <c r="J223" s="33"/>
      <c r="K223" s="33"/>
    </row>
    <row r="224">
      <c r="A224" s="15">
        <v>2014.0</v>
      </c>
      <c r="B224" s="16">
        <v>4.0</v>
      </c>
      <c r="C224" s="16">
        <v>6.0</v>
      </c>
      <c r="D224" s="16">
        <v>3.0</v>
      </c>
      <c r="E224" s="17" t="s">
        <v>16</v>
      </c>
      <c r="F224" s="17" t="s">
        <v>28</v>
      </c>
      <c r="G224" s="16">
        <v>6.17</v>
      </c>
      <c r="H224" s="16">
        <v>5.5</v>
      </c>
      <c r="I224" s="19">
        <v>11.67</v>
      </c>
      <c r="J224" s="33"/>
      <c r="K224" s="33"/>
    </row>
    <row r="225">
      <c r="A225" s="20">
        <v>2014.0</v>
      </c>
      <c r="B225" s="21">
        <v>4.0</v>
      </c>
      <c r="C225" s="21">
        <v>6.0</v>
      </c>
      <c r="D225" s="21">
        <v>3.0</v>
      </c>
      <c r="E225" s="22" t="s">
        <v>16</v>
      </c>
      <c r="F225" s="22" t="s">
        <v>27</v>
      </c>
      <c r="G225" s="21">
        <v>8.73</v>
      </c>
      <c r="H225" s="21">
        <v>8.1</v>
      </c>
      <c r="I225" s="23">
        <v>16.83</v>
      </c>
      <c r="J225" s="33"/>
      <c r="K225" s="33"/>
    </row>
    <row r="226">
      <c r="A226" s="15">
        <v>2014.0</v>
      </c>
      <c r="B226" s="16">
        <v>4.0</v>
      </c>
      <c r="C226" s="16">
        <v>6.0</v>
      </c>
      <c r="D226" s="16">
        <v>4.0</v>
      </c>
      <c r="E226" s="17" t="s">
        <v>16</v>
      </c>
      <c r="F226" s="17" t="s">
        <v>62</v>
      </c>
      <c r="G226" s="16">
        <v>7.93</v>
      </c>
      <c r="H226" s="16">
        <v>7.73</v>
      </c>
      <c r="I226" s="19">
        <v>15.66</v>
      </c>
      <c r="J226" s="33"/>
      <c r="K226" s="33"/>
    </row>
    <row r="227">
      <c r="A227" s="20">
        <v>2014.0</v>
      </c>
      <c r="B227" s="21">
        <v>4.0</v>
      </c>
      <c r="C227" s="21">
        <v>6.0</v>
      </c>
      <c r="D227" s="21">
        <v>4.0</v>
      </c>
      <c r="E227" s="22" t="s">
        <v>16</v>
      </c>
      <c r="F227" s="22" t="s">
        <v>38</v>
      </c>
      <c r="G227" s="21">
        <v>4.33</v>
      </c>
      <c r="H227" s="21">
        <v>2.87</v>
      </c>
      <c r="I227" s="23">
        <v>7.2</v>
      </c>
      <c r="J227" s="33"/>
      <c r="K227" s="33"/>
    </row>
    <row r="228">
      <c r="A228" s="15">
        <v>2014.0</v>
      </c>
      <c r="B228" s="16">
        <v>4.0</v>
      </c>
      <c r="C228" s="16">
        <v>7.0</v>
      </c>
      <c r="D228" s="16">
        <v>1.0</v>
      </c>
      <c r="E228" s="17" t="s">
        <v>16</v>
      </c>
      <c r="F228" s="17" t="s">
        <v>37</v>
      </c>
      <c r="G228" s="16">
        <v>7.67</v>
      </c>
      <c r="H228" s="16">
        <v>6.5</v>
      </c>
      <c r="I228" s="19">
        <v>14.17</v>
      </c>
      <c r="J228" s="33"/>
      <c r="K228" s="33"/>
    </row>
    <row r="229">
      <c r="A229" s="20">
        <v>2014.0</v>
      </c>
      <c r="B229" s="21">
        <v>4.0</v>
      </c>
      <c r="C229" s="21">
        <v>7.0</v>
      </c>
      <c r="D229" s="21">
        <v>1.0</v>
      </c>
      <c r="E229" s="22" t="s">
        <v>16</v>
      </c>
      <c r="F229" s="22" t="s">
        <v>32</v>
      </c>
      <c r="G229" s="21">
        <v>7.6</v>
      </c>
      <c r="H229" s="21">
        <v>7.13</v>
      </c>
      <c r="I229" s="23">
        <v>14.73</v>
      </c>
      <c r="J229" s="33"/>
      <c r="K229" s="33"/>
    </row>
    <row r="230">
      <c r="A230" s="15">
        <v>2014.0</v>
      </c>
      <c r="B230" s="16">
        <v>4.0</v>
      </c>
      <c r="C230" s="16">
        <v>7.0</v>
      </c>
      <c r="D230" s="16">
        <v>2.0</v>
      </c>
      <c r="E230" s="17" t="s">
        <v>16</v>
      </c>
      <c r="F230" s="17" t="s">
        <v>27</v>
      </c>
      <c r="G230" s="16">
        <v>8.7</v>
      </c>
      <c r="H230" s="16">
        <v>6.6</v>
      </c>
      <c r="I230" s="19">
        <v>15.3</v>
      </c>
      <c r="J230" s="33"/>
      <c r="K230" s="33"/>
    </row>
    <row r="231">
      <c r="A231" s="20">
        <v>2014.0</v>
      </c>
      <c r="B231" s="21">
        <v>4.0</v>
      </c>
      <c r="C231" s="21">
        <v>7.0</v>
      </c>
      <c r="D231" s="21">
        <v>2.0</v>
      </c>
      <c r="E231" s="22" t="s">
        <v>16</v>
      </c>
      <c r="F231" s="22" t="s">
        <v>62</v>
      </c>
      <c r="G231" s="21">
        <v>7.0</v>
      </c>
      <c r="H231" s="21">
        <v>5.33</v>
      </c>
      <c r="I231" s="23">
        <v>12.33</v>
      </c>
      <c r="J231" s="33"/>
      <c r="K231" s="33"/>
    </row>
    <row r="232">
      <c r="A232" s="15">
        <v>2014.0</v>
      </c>
      <c r="B232" s="16">
        <v>4.0</v>
      </c>
      <c r="C232" s="16">
        <v>8.0</v>
      </c>
      <c r="D232" s="16">
        <v>1.0</v>
      </c>
      <c r="E232" s="17" t="s">
        <v>16</v>
      </c>
      <c r="F232" s="17" t="s">
        <v>32</v>
      </c>
      <c r="G232" s="16">
        <v>5.93</v>
      </c>
      <c r="H232" s="16">
        <v>5.0</v>
      </c>
      <c r="I232" s="19">
        <v>10.93</v>
      </c>
      <c r="J232" s="33"/>
      <c r="K232" s="33"/>
    </row>
    <row r="233">
      <c r="A233" s="20">
        <v>2014.0</v>
      </c>
      <c r="B233" s="21">
        <v>4.0</v>
      </c>
      <c r="C233" s="21">
        <v>8.0</v>
      </c>
      <c r="D233" s="21">
        <v>1.0</v>
      </c>
      <c r="E233" s="22" t="s">
        <v>16</v>
      </c>
      <c r="F233" s="22" t="s">
        <v>27</v>
      </c>
      <c r="G233" s="21">
        <v>7.17</v>
      </c>
      <c r="H233" s="21">
        <v>6.67</v>
      </c>
      <c r="I233" s="23">
        <v>13.84</v>
      </c>
      <c r="J233" s="33"/>
      <c r="K233" s="33"/>
    </row>
    <row r="234">
      <c r="A234" s="15">
        <v>2014.0</v>
      </c>
      <c r="B234" s="16">
        <v>5.0</v>
      </c>
      <c r="C234" s="16">
        <v>1.0</v>
      </c>
      <c r="D234" s="16">
        <v>1.0</v>
      </c>
      <c r="E234" s="17" t="s">
        <v>16</v>
      </c>
      <c r="F234" s="17" t="s">
        <v>42</v>
      </c>
      <c r="G234" s="16">
        <v>6.17</v>
      </c>
      <c r="H234" s="16">
        <v>5.73</v>
      </c>
      <c r="I234" s="19">
        <v>11.9</v>
      </c>
      <c r="J234" s="33"/>
      <c r="K234" s="33"/>
    </row>
    <row r="235">
      <c r="A235" s="20">
        <v>2014.0</v>
      </c>
      <c r="B235" s="21">
        <v>5.0</v>
      </c>
      <c r="C235" s="21">
        <v>1.0</v>
      </c>
      <c r="D235" s="21">
        <v>1.0</v>
      </c>
      <c r="E235" s="22" t="s">
        <v>16</v>
      </c>
      <c r="F235" s="22" t="s">
        <v>60</v>
      </c>
      <c r="G235" s="21">
        <v>5.83</v>
      </c>
      <c r="H235" s="21">
        <v>4.33</v>
      </c>
      <c r="I235" s="23">
        <v>10.16</v>
      </c>
      <c r="J235" s="33"/>
      <c r="K235" s="33"/>
    </row>
    <row r="236">
      <c r="A236" s="15">
        <v>2014.0</v>
      </c>
      <c r="B236" s="16">
        <v>5.0</v>
      </c>
      <c r="C236" s="16">
        <v>1.0</v>
      </c>
      <c r="D236" s="16">
        <v>1.0</v>
      </c>
      <c r="E236" s="17" t="s">
        <v>16</v>
      </c>
      <c r="F236" s="17" t="s">
        <v>120</v>
      </c>
      <c r="G236" s="16">
        <v>1.0</v>
      </c>
      <c r="H236" s="16">
        <v>0.57</v>
      </c>
      <c r="I236" s="19">
        <v>1.57</v>
      </c>
      <c r="J236" s="33"/>
      <c r="K236" s="33"/>
    </row>
    <row r="237">
      <c r="A237" s="20">
        <v>2014.0</v>
      </c>
      <c r="B237" s="21">
        <v>5.0</v>
      </c>
      <c r="C237" s="21">
        <v>1.0</v>
      </c>
      <c r="D237" s="21">
        <v>2.0</v>
      </c>
      <c r="E237" s="22" t="s">
        <v>16</v>
      </c>
      <c r="F237" s="22" t="s">
        <v>27</v>
      </c>
      <c r="G237" s="21">
        <v>8.83</v>
      </c>
      <c r="H237" s="21">
        <v>7.0</v>
      </c>
      <c r="I237" s="23">
        <v>15.83</v>
      </c>
      <c r="J237" s="33"/>
      <c r="K237" s="33"/>
    </row>
    <row r="238">
      <c r="A238" s="15">
        <v>2014.0</v>
      </c>
      <c r="B238" s="16">
        <v>5.0</v>
      </c>
      <c r="C238" s="16">
        <v>1.0</v>
      </c>
      <c r="D238" s="16">
        <v>2.0</v>
      </c>
      <c r="E238" s="17" t="s">
        <v>16</v>
      </c>
      <c r="F238" s="17" t="s">
        <v>33</v>
      </c>
      <c r="G238" s="16">
        <v>6.23</v>
      </c>
      <c r="H238" s="16">
        <v>5.1</v>
      </c>
      <c r="I238" s="19">
        <v>11.33</v>
      </c>
      <c r="J238" s="33"/>
      <c r="K238" s="33"/>
    </row>
    <row r="239">
      <c r="A239" s="20">
        <v>2014.0</v>
      </c>
      <c r="B239" s="21">
        <v>5.0</v>
      </c>
      <c r="C239" s="21">
        <v>1.0</v>
      </c>
      <c r="D239" s="21">
        <v>2.0</v>
      </c>
      <c r="E239" s="22" t="s">
        <v>16</v>
      </c>
      <c r="F239" s="22" t="s">
        <v>91</v>
      </c>
      <c r="G239" s="21">
        <v>8.43</v>
      </c>
      <c r="H239" s="21">
        <v>6.33</v>
      </c>
      <c r="I239" s="23">
        <v>14.76</v>
      </c>
      <c r="J239" s="33"/>
      <c r="K239" s="33"/>
    </row>
    <row r="240">
      <c r="A240" s="15">
        <v>2014.0</v>
      </c>
      <c r="B240" s="16">
        <v>5.0</v>
      </c>
      <c r="C240" s="16">
        <v>1.0</v>
      </c>
      <c r="D240" s="16">
        <v>3.0</v>
      </c>
      <c r="E240" s="17" t="s">
        <v>16</v>
      </c>
      <c r="F240" s="17" t="s">
        <v>41</v>
      </c>
      <c r="G240" s="16">
        <v>8.6</v>
      </c>
      <c r="H240" s="16">
        <v>4.07</v>
      </c>
      <c r="I240" s="19">
        <v>12.67</v>
      </c>
      <c r="J240" s="33"/>
      <c r="K240" s="33"/>
    </row>
    <row r="241">
      <c r="A241" s="20">
        <v>2014.0</v>
      </c>
      <c r="B241" s="21">
        <v>5.0</v>
      </c>
      <c r="C241" s="21">
        <v>1.0</v>
      </c>
      <c r="D241" s="21">
        <v>3.0</v>
      </c>
      <c r="E241" s="22" t="s">
        <v>16</v>
      </c>
      <c r="F241" s="22" t="s">
        <v>123</v>
      </c>
      <c r="G241" s="21">
        <v>8.1</v>
      </c>
      <c r="H241" s="21">
        <v>7.93</v>
      </c>
      <c r="I241" s="23">
        <v>16.03</v>
      </c>
      <c r="J241" s="33"/>
      <c r="K241" s="33"/>
    </row>
    <row r="242">
      <c r="A242" s="15">
        <v>2014.0</v>
      </c>
      <c r="B242" s="16">
        <v>5.0</v>
      </c>
      <c r="C242" s="16">
        <v>1.0</v>
      </c>
      <c r="D242" s="16">
        <v>3.0</v>
      </c>
      <c r="E242" s="17" t="s">
        <v>16</v>
      </c>
      <c r="F242" s="17" t="s">
        <v>99</v>
      </c>
      <c r="G242" s="16">
        <v>6.83</v>
      </c>
      <c r="H242" s="16">
        <v>6.0</v>
      </c>
      <c r="I242" s="19">
        <v>12.83</v>
      </c>
      <c r="J242" s="33"/>
      <c r="K242" s="33"/>
    </row>
    <row r="243">
      <c r="A243" s="20">
        <v>2014.0</v>
      </c>
      <c r="B243" s="21">
        <v>5.0</v>
      </c>
      <c r="C243" s="21">
        <v>1.0</v>
      </c>
      <c r="D243" s="21">
        <v>4.0</v>
      </c>
      <c r="E243" s="22" t="s">
        <v>16</v>
      </c>
      <c r="F243" s="22" t="s">
        <v>62</v>
      </c>
      <c r="G243" s="21">
        <v>5.83</v>
      </c>
      <c r="H243" s="21">
        <v>4.0</v>
      </c>
      <c r="I243" s="23">
        <v>9.83</v>
      </c>
      <c r="J243" s="33"/>
      <c r="K243" s="33"/>
    </row>
    <row r="244">
      <c r="A244" s="15">
        <v>2014.0</v>
      </c>
      <c r="B244" s="16">
        <v>5.0</v>
      </c>
      <c r="C244" s="16">
        <v>1.0</v>
      </c>
      <c r="D244" s="16">
        <v>4.0</v>
      </c>
      <c r="E244" s="17" t="s">
        <v>16</v>
      </c>
      <c r="F244" s="17" t="s">
        <v>47</v>
      </c>
      <c r="G244" s="16">
        <v>6.5</v>
      </c>
      <c r="H244" s="16">
        <v>3.73</v>
      </c>
      <c r="I244" s="19">
        <v>10.23</v>
      </c>
      <c r="J244" s="33"/>
      <c r="K244" s="33"/>
    </row>
    <row r="245">
      <c r="A245" s="20">
        <v>2014.0</v>
      </c>
      <c r="B245" s="21">
        <v>5.0</v>
      </c>
      <c r="C245" s="21">
        <v>1.0</v>
      </c>
      <c r="D245" s="21">
        <v>4.0</v>
      </c>
      <c r="E245" s="22" t="s">
        <v>16</v>
      </c>
      <c r="F245" s="22" t="s">
        <v>130</v>
      </c>
      <c r="G245" s="21">
        <v>6.53</v>
      </c>
      <c r="H245" s="21">
        <v>6.43</v>
      </c>
      <c r="I245" s="23">
        <v>12.96</v>
      </c>
      <c r="J245" s="33"/>
      <c r="K245" s="33"/>
    </row>
    <row r="246">
      <c r="A246" s="15">
        <v>2014.0</v>
      </c>
      <c r="B246" s="16">
        <v>5.0</v>
      </c>
      <c r="C246" s="16">
        <v>1.0</v>
      </c>
      <c r="D246" s="16">
        <v>5.0</v>
      </c>
      <c r="E246" s="17" t="s">
        <v>16</v>
      </c>
      <c r="F246" s="17" t="s">
        <v>39</v>
      </c>
      <c r="G246" s="16">
        <v>7.83</v>
      </c>
      <c r="H246" s="16">
        <v>4.67</v>
      </c>
      <c r="I246" s="19">
        <v>12.5</v>
      </c>
      <c r="J246" s="33"/>
      <c r="K246" s="33"/>
    </row>
    <row r="247">
      <c r="A247" s="20">
        <v>2014.0</v>
      </c>
      <c r="B247" s="21">
        <v>5.0</v>
      </c>
      <c r="C247" s="21">
        <v>1.0</v>
      </c>
      <c r="D247" s="21">
        <v>5.0</v>
      </c>
      <c r="E247" s="22" t="s">
        <v>16</v>
      </c>
      <c r="F247" s="22" t="s">
        <v>124</v>
      </c>
      <c r="G247" s="21">
        <v>5.5</v>
      </c>
      <c r="H247" s="21">
        <v>3.5</v>
      </c>
      <c r="I247" s="23">
        <v>9.0</v>
      </c>
      <c r="J247" s="33"/>
      <c r="K247" s="33"/>
    </row>
    <row r="248">
      <c r="A248" s="15">
        <v>2014.0</v>
      </c>
      <c r="B248" s="16">
        <v>5.0</v>
      </c>
      <c r="C248" s="16">
        <v>1.0</v>
      </c>
      <c r="D248" s="16">
        <v>5.0</v>
      </c>
      <c r="E248" s="17" t="s">
        <v>16</v>
      </c>
      <c r="F248" s="17" t="s">
        <v>54</v>
      </c>
      <c r="G248" s="16">
        <v>3.67</v>
      </c>
      <c r="H248" s="16">
        <v>3.3</v>
      </c>
      <c r="I248" s="19">
        <v>6.97</v>
      </c>
      <c r="J248" s="33"/>
      <c r="K248" s="33"/>
    </row>
    <row r="249">
      <c r="A249" s="20">
        <v>2014.0</v>
      </c>
      <c r="B249" s="21">
        <v>5.0</v>
      </c>
      <c r="C249" s="21">
        <v>1.0</v>
      </c>
      <c r="D249" s="21">
        <v>6.0</v>
      </c>
      <c r="E249" s="22" t="s">
        <v>16</v>
      </c>
      <c r="F249" s="22" t="s">
        <v>37</v>
      </c>
      <c r="G249" s="21">
        <v>8.83</v>
      </c>
      <c r="H249" s="21">
        <v>7.67</v>
      </c>
      <c r="I249" s="23">
        <v>16.5</v>
      </c>
      <c r="J249" s="33"/>
      <c r="K249" s="33"/>
    </row>
    <row r="250">
      <c r="A250" s="15">
        <v>2014.0</v>
      </c>
      <c r="B250" s="16">
        <v>5.0</v>
      </c>
      <c r="C250" s="16">
        <v>1.0</v>
      </c>
      <c r="D250" s="16">
        <v>6.0</v>
      </c>
      <c r="E250" s="17" t="s">
        <v>16</v>
      </c>
      <c r="F250" s="17" t="s">
        <v>50</v>
      </c>
      <c r="G250" s="16">
        <v>6.03</v>
      </c>
      <c r="H250" s="16">
        <v>4.83</v>
      </c>
      <c r="I250" s="19">
        <v>10.86</v>
      </c>
      <c r="J250" s="33"/>
      <c r="K250" s="33"/>
    </row>
    <row r="251">
      <c r="A251" s="20">
        <v>2014.0</v>
      </c>
      <c r="B251" s="21">
        <v>5.0</v>
      </c>
      <c r="C251" s="21">
        <v>1.0</v>
      </c>
      <c r="D251" s="21">
        <v>6.0</v>
      </c>
      <c r="E251" s="22" t="s">
        <v>16</v>
      </c>
      <c r="F251" s="22" t="s">
        <v>137</v>
      </c>
      <c r="G251" s="21">
        <v>2.83</v>
      </c>
      <c r="H251" s="21">
        <v>1.57</v>
      </c>
      <c r="I251" s="23">
        <v>4.4</v>
      </c>
      <c r="J251" s="33"/>
      <c r="K251" s="33"/>
    </row>
    <row r="252">
      <c r="A252" s="15">
        <v>2014.0</v>
      </c>
      <c r="B252" s="16">
        <v>5.0</v>
      </c>
      <c r="C252" s="16">
        <v>1.0</v>
      </c>
      <c r="D252" s="16">
        <v>7.0</v>
      </c>
      <c r="E252" s="17" t="s">
        <v>16</v>
      </c>
      <c r="F252" s="17" t="s">
        <v>30</v>
      </c>
      <c r="G252" s="16">
        <v>7.27</v>
      </c>
      <c r="H252" s="16">
        <v>6.17</v>
      </c>
      <c r="I252" s="19">
        <v>13.44</v>
      </c>
      <c r="J252" s="33"/>
      <c r="K252" s="33"/>
    </row>
    <row r="253">
      <c r="A253" s="20">
        <v>2014.0</v>
      </c>
      <c r="B253" s="21">
        <v>5.0</v>
      </c>
      <c r="C253" s="21">
        <v>1.0</v>
      </c>
      <c r="D253" s="21">
        <v>7.0</v>
      </c>
      <c r="E253" s="22" t="s">
        <v>16</v>
      </c>
      <c r="F253" s="22" t="s">
        <v>32</v>
      </c>
      <c r="G253" s="21">
        <v>4.17</v>
      </c>
      <c r="H253" s="21">
        <v>4.1</v>
      </c>
      <c r="I253" s="23">
        <v>8.27</v>
      </c>
      <c r="J253" s="33"/>
      <c r="K253" s="33"/>
    </row>
    <row r="254">
      <c r="A254" s="15">
        <v>2014.0</v>
      </c>
      <c r="B254" s="16">
        <v>5.0</v>
      </c>
      <c r="C254" s="16">
        <v>1.0</v>
      </c>
      <c r="D254" s="16">
        <v>7.0</v>
      </c>
      <c r="E254" s="17" t="s">
        <v>16</v>
      </c>
      <c r="F254" s="17" t="s">
        <v>126</v>
      </c>
      <c r="G254" s="16">
        <v>4.83</v>
      </c>
      <c r="H254" s="16">
        <v>2.9</v>
      </c>
      <c r="I254" s="19">
        <v>7.73</v>
      </c>
      <c r="J254" s="33"/>
      <c r="K254" s="33"/>
    </row>
    <row r="255">
      <c r="A255" s="20">
        <v>2014.0</v>
      </c>
      <c r="B255" s="21">
        <v>5.0</v>
      </c>
      <c r="C255" s="21">
        <v>1.0</v>
      </c>
      <c r="D255" s="21">
        <v>8.0</v>
      </c>
      <c r="E255" s="22" t="s">
        <v>16</v>
      </c>
      <c r="F255" s="22" t="s">
        <v>45</v>
      </c>
      <c r="G255" s="21">
        <v>7.6</v>
      </c>
      <c r="H255" s="21">
        <v>4.33</v>
      </c>
      <c r="I255" s="23">
        <v>11.93</v>
      </c>
      <c r="J255" s="33"/>
      <c r="K255" s="33"/>
    </row>
    <row r="256">
      <c r="A256" s="15">
        <v>2014.0</v>
      </c>
      <c r="B256" s="16">
        <v>5.0</v>
      </c>
      <c r="C256" s="16">
        <v>1.0</v>
      </c>
      <c r="D256" s="16">
        <v>8.0</v>
      </c>
      <c r="E256" s="17" t="s">
        <v>16</v>
      </c>
      <c r="F256" s="17" t="s">
        <v>38</v>
      </c>
      <c r="G256" s="16">
        <v>8.07</v>
      </c>
      <c r="H256" s="16">
        <v>4.0</v>
      </c>
      <c r="I256" s="19">
        <v>12.07</v>
      </c>
      <c r="J256" s="33"/>
      <c r="K256" s="33"/>
    </row>
    <row r="257">
      <c r="A257" s="20">
        <v>2014.0</v>
      </c>
      <c r="B257" s="21">
        <v>5.0</v>
      </c>
      <c r="C257" s="21">
        <v>1.0</v>
      </c>
      <c r="D257" s="21">
        <v>8.0</v>
      </c>
      <c r="E257" s="22" t="s">
        <v>16</v>
      </c>
      <c r="F257" s="22" t="s">
        <v>76</v>
      </c>
      <c r="G257" s="21">
        <v>6.5</v>
      </c>
      <c r="H257" s="21">
        <v>4.17</v>
      </c>
      <c r="I257" s="23">
        <v>10.67</v>
      </c>
      <c r="J257" s="33"/>
      <c r="K257" s="33"/>
    </row>
    <row r="258">
      <c r="A258" s="15">
        <v>2014.0</v>
      </c>
      <c r="B258" s="16">
        <v>5.0</v>
      </c>
      <c r="C258" s="16">
        <v>1.0</v>
      </c>
      <c r="D258" s="16">
        <v>9.0</v>
      </c>
      <c r="E258" s="17" t="s">
        <v>16</v>
      </c>
      <c r="F258" s="17" t="s">
        <v>28</v>
      </c>
      <c r="G258" s="16">
        <v>9.2</v>
      </c>
      <c r="H258" s="16">
        <v>7.93</v>
      </c>
      <c r="I258" s="19">
        <v>17.13</v>
      </c>
      <c r="J258" s="33"/>
      <c r="K258" s="33"/>
    </row>
    <row r="259">
      <c r="A259" s="20">
        <v>2014.0</v>
      </c>
      <c r="B259" s="21">
        <v>5.0</v>
      </c>
      <c r="C259" s="21">
        <v>1.0</v>
      </c>
      <c r="D259" s="21">
        <v>9.0</v>
      </c>
      <c r="E259" s="22" t="s">
        <v>16</v>
      </c>
      <c r="F259" s="22" t="s">
        <v>55</v>
      </c>
      <c r="G259" s="21">
        <v>7.03</v>
      </c>
      <c r="H259" s="21">
        <v>5.67</v>
      </c>
      <c r="I259" s="23">
        <v>12.7</v>
      </c>
      <c r="J259" s="33"/>
      <c r="K259" s="33"/>
    </row>
    <row r="260">
      <c r="A260" s="15">
        <v>2014.0</v>
      </c>
      <c r="B260" s="16">
        <v>5.0</v>
      </c>
      <c r="C260" s="16">
        <v>1.0</v>
      </c>
      <c r="D260" s="16">
        <v>9.0</v>
      </c>
      <c r="E260" s="17" t="s">
        <v>16</v>
      </c>
      <c r="F260" s="17" t="s">
        <v>107</v>
      </c>
      <c r="G260" s="16">
        <v>7.43</v>
      </c>
      <c r="H260" s="16">
        <v>4.67</v>
      </c>
      <c r="I260" s="19">
        <v>12.1</v>
      </c>
      <c r="J260" s="33"/>
      <c r="K260" s="33"/>
    </row>
    <row r="261">
      <c r="A261" s="20">
        <v>2014.0</v>
      </c>
      <c r="B261" s="21">
        <v>5.0</v>
      </c>
      <c r="C261" s="21">
        <v>1.0</v>
      </c>
      <c r="D261" s="21">
        <v>10.0</v>
      </c>
      <c r="E261" s="22" t="s">
        <v>16</v>
      </c>
      <c r="F261" s="22" t="s">
        <v>56</v>
      </c>
      <c r="G261" s="21">
        <v>5.33</v>
      </c>
      <c r="H261" s="21">
        <v>5.13</v>
      </c>
      <c r="I261" s="23">
        <v>10.46</v>
      </c>
      <c r="J261" s="33"/>
      <c r="K261" s="33"/>
    </row>
    <row r="262">
      <c r="A262" s="15">
        <v>2014.0</v>
      </c>
      <c r="B262" s="16">
        <v>5.0</v>
      </c>
      <c r="C262" s="16">
        <v>1.0</v>
      </c>
      <c r="D262" s="16">
        <v>10.0</v>
      </c>
      <c r="E262" s="17" t="s">
        <v>16</v>
      </c>
      <c r="F262" s="17" t="s">
        <v>57</v>
      </c>
      <c r="G262" s="16">
        <v>6.67</v>
      </c>
      <c r="H262" s="16">
        <v>4.1</v>
      </c>
      <c r="I262" s="19">
        <v>10.77</v>
      </c>
      <c r="J262" s="33"/>
      <c r="K262" s="33"/>
    </row>
    <row r="263">
      <c r="A263" s="20">
        <v>2014.0</v>
      </c>
      <c r="B263" s="21">
        <v>5.0</v>
      </c>
      <c r="C263" s="21">
        <v>1.0</v>
      </c>
      <c r="D263" s="21">
        <v>10.0</v>
      </c>
      <c r="E263" s="22" t="s">
        <v>16</v>
      </c>
      <c r="F263" s="22" t="s">
        <v>34</v>
      </c>
      <c r="G263" s="21">
        <v>5.33</v>
      </c>
      <c r="H263" s="21">
        <v>4.67</v>
      </c>
      <c r="I263" s="23">
        <v>10.0</v>
      </c>
      <c r="J263" s="33"/>
      <c r="K263" s="33"/>
    </row>
    <row r="264">
      <c r="A264" s="15">
        <v>2014.0</v>
      </c>
      <c r="B264" s="16">
        <v>5.0</v>
      </c>
      <c r="C264" s="16">
        <v>1.0</v>
      </c>
      <c r="D264" s="16">
        <v>11.0</v>
      </c>
      <c r="E264" s="17" t="s">
        <v>16</v>
      </c>
      <c r="F264" s="17" t="s">
        <v>31</v>
      </c>
      <c r="G264" s="16">
        <v>7.5</v>
      </c>
      <c r="H264" s="16">
        <v>6.5</v>
      </c>
      <c r="I264" s="19">
        <v>14.0</v>
      </c>
      <c r="J264" s="33"/>
      <c r="K264" s="33"/>
    </row>
    <row r="265">
      <c r="A265" s="20">
        <v>2014.0</v>
      </c>
      <c r="B265" s="21">
        <v>5.0</v>
      </c>
      <c r="C265" s="21">
        <v>1.0</v>
      </c>
      <c r="D265" s="21">
        <v>11.0</v>
      </c>
      <c r="E265" s="22" t="s">
        <v>16</v>
      </c>
      <c r="F265" s="22" t="s">
        <v>59</v>
      </c>
      <c r="G265" s="21">
        <v>7.13</v>
      </c>
      <c r="H265" s="21">
        <v>6.37</v>
      </c>
      <c r="I265" s="23">
        <v>13.5</v>
      </c>
      <c r="J265" s="33"/>
      <c r="K265" s="33"/>
    </row>
    <row r="266">
      <c r="A266" s="15">
        <v>2014.0</v>
      </c>
      <c r="B266" s="16">
        <v>5.0</v>
      </c>
      <c r="C266" s="16">
        <v>1.0</v>
      </c>
      <c r="D266" s="16">
        <v>11.0</v>
      </c>
      <c r="E266" s="17" t="s">
        <v>16</v>
      </c>
      <c r="F266" s="17" t="s">
        <v>35</v>
      </c>
      <c r="G266" s="16">
        <v>5.33</v>
      </c>
      <c r="H266" s="16">
        <v>4.9</v>
      </c>
      <c r="I266" s="19">
        <v>10.23</v>
      </c>
      <c r="J266" s="33"/>
      <c r="K266" s="33"/>
    </row>
    <row r="267">
      <c r="A267" s="20">
        <v>2014.0</v>
      </c>
      <c r="B267" s="21">
        <v>5.0</v>
      </c>
      <c r="C267" s="21">
        <v>1.0</v>
      </c>
      <c r="D267" s="21">
        <v>12.0</v>
      </c>
      <c r="E267" s="22" t="s">
        <v>16</v>
      </c>
      <c r="F267" s="22" t="s">
        <v>26</v>
      </c>
      <c r="G267" s="21">
        <v>7.67</v>
      </c>
      <c r="H267" s="21">
        <v>5.5</v>
      </c>
      <c r="I267" s="28">
        <v>13.17</v>
      </c>
      <c r="J267" s="33"/>
      <c r="K267" s="33"/>
    </row>
    <row r="268">
      <c r="A268" s="15">
        <v>2014.0</v>
      </c>
      <c r="B268" s="16">
        <v>5.0</v>
      </c>
      <c r="C268" s="16">
        <v>1.0</v>
      </c>
      <c r="D268" s="16">
        <v>12.0</v>
      </c>
      <c r="E268" s="17" t="s">
        <v>16</v>
      </c>
      <c r="F268" s="17" t="s">
        <v>125</v>
      </c>
      <c r="G268" s="16">
        <v>5.37</v>
      </c>
      <c r="H268" s="16">
        <v>5.17</v>
      </c>
      <c r="I268" s="19">
        <v>10.54</v>
      </c>
      <c r="J268" s="33"/>
      <c r="K268" s="33"/>
    </row>
    <row r="269">
      <c r="A269" s="20">
        <v>2014.0</v>
      </c>
      <c r="B269" s="21">
        <v>5.0</v>
      </c>
      <c r="C269" s="21">
        <v>1.0</v>
      </c>
      <c r="D269" s="21">
        <v>12.0</v>
      </c>
      <c r="E269" s="22" t="s">
        <v>16</v>
      </c>
      <c r="F269" s="22" t="s">
        <v>122</v>
      </c>
      <c r="G269" s="21">
        <v>6.1</v>
      </c>
      <c r="H269" s="21">
        <v>5.67</v>
      </c>
      <c r="I269" s="23">
        <v>11.77</v>
      </c>
      <c r="J269" s="33"/>
      <c r="K269" s="33"/>
    </row>
    <row r="270">
      <c r="A270" s="15">
        <v>2014.0</v>
      </c>
      <c r="B270" s="16">
        <v>5.0</v>
      </c>
      <c r="C270" s="16">
        <v>2.0</v>
      </c>
      <c r="D270" s="16">
        <v>1.0</v>
      </c>
      <c r="E270" s="17" t="s">
        <v>16</v>
      </c>
      <c r="F270" s="17" t="s">
        <v>62</v>
      </c>
      <c r="G270" s="16">
        <v>7.5</v>
      </c>
      <c r="H270" s="16">
        <v>5.5</v>
      </c>
      <c r="I270" s="19">
        <v>13.0</v>
      </c>
      <c r="J270" s="33"/>
      <c r="K270" s="33"/>
    </row>
    <row r="271">
      <c r="A271" s="20">
        <v>2014.0</v>
      </c>
      <c r="B271" s="21">
        <v>5.0</v>
      </c>
      <c r="C271" s="21">
        <v>2.0</v>
      </c>
      <c r="D271" s="21">
        <v>1.0</v>
      </c>
      <c r="E271" s="22" t="s">
        <v>16</v>
      </c>
      <c r="F271" s="22" t="s">
        <v>137</v>
      </c>
      <c r="G271" s="21">
        <v>3.43</v>
      </c>
      <c r="H271" s="21">
        <v>1.0</v>
      </c>
      <c r="I271" s="23">
        <v>4.43</v>
      </c>
      <c r="J271" s="33"/>
      <c r="K271" s="33"/>
    </row>
    <row r="272">
      <c r="A272" s="15">
        <v>2014.0</v>
      </c>
      <c r="B272" s="16">
        <v>5.0</v>
      </c>
      <c r="C272" s="16">
        <v>2.0</v>
      </c>
      <c r="D272" s="16">
        <v>2.0</v>
      </c>
      <c r="E272" s="17" t="s">
        <v>16</v>
      </c>
      <c r="F272" s="17" t="s">
        <v>41</v>
      </c>
      <c r="G272" s="16">
        <v>6.6</v>
      </c>
      <c r="H272" s="16">
        <v>5.83</v>
      </c>
      <c r="I272" s="19">
        <v>12.43</v>
      </c>
      <c r="J272" s="33"/>
      <c r="K272" s="33"/>
    </row>
    <row r="273">
      <c r="A273" s="20">
        <v>2014.0</v>
      </c>
      <c r="B273" s="21">
        <v>5.0</v>
      </c>
      <c r="C273" s="21">
        <v>2.0</v>
      </c>
      <c r="D273" s="21">
        <v>2.0</v>
      </c>
      <c r="E273" s="22" t="s">
        <v>16</v>
      </c>
      <c r="F273" s="22" t="s">
        <v>54</v>
      </c>
      <c r="G273" s="21">
        <v>5.83</v>
      </c>
      <c r="H273" s="21">
        <v>5.77</v>
      </c>
      <c r="I273" s="23">
        <v>11.6</v>
      </c>
      <c r="J273" s="33"/>
      <c r="K273" s="33"/>
    </row>
    <row r="274">
      <c r="A274" s="15">
        <v>2014.0</v>
      </c>
      <c r="B274" s="16">
        <v>5.0</v>
      </c>
      <c r="C274" s="16">
        <v>2.0</v>
      </c>
      <c r="D274" s="16">
        <v>3.0</v>
      </c>
      <c r="E274" s="17" t="s">
        <v>16</v>
      </c>
      <c r="F274" s="17" t="s">
        <v>45</v>
      </c>
      <c r="G274" s="16">
        <v>5.67</v>
      </c>
      <c r="H274" s="16">
        <v>4.3</v>
      </c>
      <c r="I274" s="19">
        <v>9.97</v>
      </c>
      <c r="J274" s="33"/>
      <c r="K274" s="33"/>
    </row>
    <row r="275">
      <c r="A275" s="20">
        <v>2014.0</v>
      </c>
      <c r="B275" s="21">
        <v>5.0</v>
      </c>
      <c r="C275" s="21">
        <v>2.0</v>
      </c>
      <c r="D275" s="21">
        <v>3.0</v>
      </c>
      <c r="E275" s="22" t="s">
        <v>16</v>
      </c>
      <c r="F275" s="22" t="s">
        <v>99</v>
      </c>
      <c r="G275" s="21">
        <v>6.73</v>
      </c>
      <c r="H275" s="21">
        <v>5.03</v>
      </c>
      <c r="I275" s="23">
        <v>11.76</v>
      </c>
      <c r="J275" s="33"/>
      <c r="K275" s="33"/>
    </row>
    <row r="276">
      <c r="A276" s="15">
        <v>2014.0</v>
      </c>
      <c r="B276" s="16">
        <v>5.0</v>
      </c>
      <c r="C276" s="16">
        <v>2.0</v>
      </c>
      <c r="D276" s="16">
        <v>4.0</v>
      </c>
      <c r="E276" s="17" t="s">
        <v>16</v>
      </c>
      <c r="F276" s="17" t="s">
        <v>56</v>
      </c>
      <c r="G276" s="16">
        <v>7.5</v>
      </c>
      <c r="H276" s="16">
        <v>7.17</v>
      </c>
      <c r="I276" s="19">
        <v>14.67</v>
      </c>
      <c r="J276" s="33"/>
      <c r="K276" s="33"/>
    </row>
    <row r="277">
      <c r="A277" s="20">
        <v>2014.0</v>
      </c>
      <c r="B277" s="21">
        <v>5.0</v>
      </c>
      <c r="C277" s="21">
        <v>2.0</v>
      </c>
      <c r="D277" s="21">
        <v>4.0</v>
      </c>
      <c r="E277" s="22" t="s">
        <v>16</v>
      </c>
      <c r="F277" s="22" t="s">
        <v>91</v>
      </c>
      <c r="G277" s="21">
        <v>6.0</v>
      </c>
      <c r="H277" s="21">
        <v>5.17</v>
      </c>
      <c r="I277" s="23">
        <v>11.17</v>
      </c>
      <c r="J277" s="33"/>
      <c r="K277" s="33"/>
    </row>
    <row r="278">
      <c r="A278" s="15">
        <v>2014.0</v>
      </c>
      <c r="B278" s="16">
        <v>5.0</v>
      </c>
      <c r="C278" s="16">
        <v>2.0</v>
      </c>
      <c r="D278" s="16">
        <v>5.0</v>
      </c>
      <c r="E278" s="17" t="s">
        <v>16</v>
      </c>
      <c r="F278" s="17" t="s">
        <v>125</v>
      </c>
      <c r="G278" s="16">
        <v>4.17</v>
      </c>
      <c r="H278" s="16">
        <v>3.23</v>
      </c>
      <c r="I278" s="19">
        <v>7.4</v>
      </c>
      <c r="J278" s="33"/>
      <c r="K278" s="33"/>
    </row>
    <row r="279">
      <c r="A279" s="20">
        <v>2014.0</v>
      </c>
      <c r="B279" s="21">
        <v>5.0</v>
      </c>
      <c r="C279" s="21">
        <v>2.0</v>
      </c>
      <c r="D279" s="21">
        <v>5.0</v>
      </c>
      <c r="E279" s="22" t="s">
        <v>16</v>
      </c>
      <c r="F279" s="22" t="s">
        <v>120</v>
      </c>
      <c r="G279" s="21">
        <v>7.77</v>
      </c>
      <c r="H279" s="21">
        <v>6.1</v>
      </c>
      <c r="I279" s="23">
        <v>13.87</v>
      </c>
      <c r="J279" s="33"/>
      <c r="K279" s="33"/>
    </row>
    <row r="280">
      <c r="A280" s="15">
        <v>2014.0</v>
      </c>
      <c r="B280" s="16">
        <v>5.0</v>
      </c>
      <c r="C280" s="16">
        <v>2.0</v>
      </c>
      <c r="D280" s="16">
        <v>6.0</v>
      </c>
      <c r="E280" s="17" t="s">
        <v>16</v>
      </c>
      <c r="F280" s="17" t="s">
        <v>59</v>
      </c>
      <c r="G280" s="16">
        <v>7.7</v>
      </c>
      <c r="H280" s="16">
        <v>6.67</v>
      </c>
      <c r="I280" s="19">
        <v>14.37</v>
      </c>
      <c r="J280" s="33"/>
      <c r="K280" s="33"/>
    </row>
    <row r="281">
      <c r="A281" s="20">
        <v>2014.0</v>
      </c>
      <c r="B281" s="21">
        <v>5.0</v>
      </c>
      <c r="C281" s="21">
        <v>2.0</v>
      </c>
      <c r="D281" s="21">
        <v>6.0</v>
      </c>
      <c r="E281" s="22" t="s">
        <v>16</v>
      </c>
      <c r="F281" s="22" t="s">
        <v>126</v>
      </c>
      <c r="G281" s="21">
        <v>8.5</v>
      </c>
      <c r="H281" s="21">
        <v>5.7</v>
      </c>
      <c r="I281" s="23">
        <v>14.2</v>
      </c>
      <c r="J281" s="33"/>
      <c r="K281" s="33"/>
    </row>
    <row r="282">
      <c r="A282" s="15">
        <v>2014.0</v>
      </c>
      <c r="B282" s="16">
        <v>5.0</v>
      </c>
      <c r="C282" s="16">
        <v>2.0</v>
      </c>
      <c r="D282" s="16">
        <v>7.0</v>
      </c>
      <c r="E282" s="17" t="s">
        <v>16</v>
      </c>
      <c r="F282" s="17" t="s">
        <v>55</v>
      </c>
      <c r="G282" s="16">
        <v>8.33</v>
      </c>
      <c r="H282" s="16">
        <v>4.6</v>
      </c>
      <c r="I282" s="19">
        <v>12.93</v>
      </c>
      <c r="J282" s="33"/>
      <c r="K282" s="33"/>
    </row>
    <row r="283">
      <c r="A283" s="20">
        <v>2014.0</v>
      </c>
      <c r="B283" s="21">
        <v>5.0</v>
      </c>
      <c r="C283" s="21">
        <v>2.0</v>
      </c>
      <c r="D283" s="21">
        <v>7.0</v>
      </c>
      <c r="E283" s="22" t="s">
        <v>16</v>
      </c>
      <c r="F283" s="22" t="s">
        <v>76</v>
      </c>
      <c r="G283" s="21">
        <v>6.77</v>
      </c>
      <c r="H283" s="21">
        <v>6.33</v>
      </c>
      <c r="I283" s="23">
        <v>13.1</v>
      </c>
      <c r="J283" s="33"/>
      <c r="K283" s="33"/>
    </row>
    <row r="284">
      <c r="A284" s="15">
        <v>2014.0</v>
      </c>
      <c r="B284" s="16">
        <v>5.0</v>
      </c>
      <c r="C284" s="16">
        <v>2.0</v>
      </c>
      <c r="D284" s="16">
        <v>8.0</v>
      </c>
      <c r="E284" s="17" t="s">
        <v>16</v>
      </c>
      <c r="F284" s="17" t="s">
        <v>32</v>
      </c>
      <c r="G284" s="16">
        <v>6.87</v>
      </c>
      <c r="H284" s="16">
        <v>5.83</v>
      </c>
      <c r="I284" s="19">
        <v>12.7</v>
      </c>
      <c r="J284" s="33"/>
      <c r="K284" s="33"/>
    </row>
    <row r="285">
      <c r="A285" s="20">
        <v>2014.0</v>
      </c>
      <c r="B285" s="21">
        <v>5.0</v>
      </c>
      <c r="C285" s="21">
        <v>2.0</v>
      </c>
      <c r="D285" s="21">
        <v>8.0</v>
      </c>
      <c r="E285" s="22" t="s">
        <v>16</v>
      </c>
      <c r="F285" s="22" t="s">
        <v>107</v>
      </c>
      <c r="G285" s="21">
        <v>6.1</v>
      </c>
      <c r="H285" s="21">
        <v>4.73</v>
      </c>
      <c r="I285" s="23">
        <v>10.83</v>
      </c>
      <c r="J285" s="33"/>
      <c r="K285" s="33"/>
    </row>
    <row r="286">
      <c r="A286" s="15">
        <v>2014.0</v>
      </c>
      <c r="B286" s="16">
        <v>5.0</v>
      </c>
      <c r="C286" s="16">
        <v>2.0</v>
      </c>
      <c r="D286" s="16">
        <v>9.0</v>
      </c>
      <c r="E286" s="17" t="s">
        <v>16</v>
      </c>
      <c r="F286" s="17" t="s">
        <v>60</v>
      </c>
      <c r="G286" s="16">
        <v>7.1</v>
      </c>
      <c r="H286" s="16">
        <v>7.0</v>
      </c>
      <c r="I286" s="19">
        <v>14.1</v>
      </c>
      <c r="J286" s="33"/>
      <c r="K286" s="33"/>
    </row>
    <row r="287">
      <c r="A287" s="20">
        <v>2014.0</v>
      </c>
      <c r="B287" s="21">
        <v>5.0</v>
      </c>
      <c r="C287" s="21">
        <v>2.0</v>
      </c>
      <c r="D287" s="21">
        <v>9.0</v>
      </c>
      <c r="E287" s="22" t="s">
        <v>16</v>
      </c>
      <c r="F287" s="22" t="s">
        <v>34</v>
      </c>
      <c r="G287" s="21">
        <v>6.6</v>
      </c>
      <c r="H287" s="21">
        <v>4.5</v>
      </c>
      <c r="I287" s="23">
        <v>11.1</v>
      </c>
      <c r="J287" s="33"/>
      <c r="K287" s="33"/>
    </row>
    <row r="288">
      <c r="A288" s="15">
        <v>2014.0</v>
      </c>
      <c r="B288" s="16">
        <v>5.0</v>
      </c>
      <c r="C288" s="16">
        <v>2.0</v>
      </c>
      <c r="D288" s="16">
        <v>10.0</v>
      </c>
      <c r="E288" s="17" t="s">
        <v>16</v>
      </c>
      <c r="F288" s="17" t="s">
        <v>33</v>
      </c>
      <c r="G288" s="16">
        <v>6.67</v>
      </c>
      <c r="H288" s="16">
        <v>6.23</v>
      </c>
      <c r="I288" s="19">
        <v>12.9</v>
      </c>
      <c r="J288" s="33"/>
      <c r="K288" s="33"/>
    </row>
    <row r="289">
      <c r="A289" s="20">
        <v>2014.0</v>
      </c>
      <c r="B289" s="21">
        <v>5.0</v>
      </c>
      <c r="C289" s="21">
        <v>2.0</v>
      </c>
      <c r="D289" s="21">
        <v>10.0</v>
      </c>
      <c r="E289" s="22" t="s">
        <v>16</v>
      </c>
      <c r="F289" s="22" t="s">
        <v>35</v>
      </c>
      <c r="G289" s="21">
        <v>6.83</v>
      </c>
      <c r="H289" s="21">
        <v>5.67</v>
      </c>
      <c r="I289" s="23">
        <v>12.5</v>
      </c>
      <c r="J289" s="33"/>
      <c r="K289" s="33"/>
    </row>
    <row r="290">
      <c r="A290" s="15">
        <v>2014.0</v>
      </c>
      <c r="B290" s="16">
        <v>5.0</v>
      </c>
      <c r="C290" s="16">
        <v>2.0</v>
      </c>
      <c r="D290" s="16">
        <v>11.0</v>
      </c>
      <c r="E290" s="17" t="s">
        <v>16</v>
      </c>
      <c r="F290" s="17" t="s">
        <v>47</v>
      </c>
      <c r="G290" s="16">
        <v>7.43</v>
      </c>
      <c r="H290" s="16">
        <v>6.67</v>
      </c>
      <c r="I290" s="19">
        <v>14.1</v>
      </c>
      <c r="J290" s="33"/>
      <c r="K290" s="33"/>
    </row>
    <row r="291">
      <c r="A291" s="20">
        <v>2014.0</v>
      </c>
      <c r="B291" s="21">
        <v>5.0</v>
      </c>
      <c r="C291" s="21">
        <v>2.0</v>
      </c>
      <c r="D291" s="21">
        <v>11.0</v>
      </c>
      <c r="E291" s="22" t="s">
        <v>16</v>
      </c>
      <c r="F291" s="22" t="s">
        <v>122</v>
      </c>
      <c r="G291" s="21">
        <v>7.33</v>
      </c>
      <c r="H291" s="21">
        <v>4.63</v>
      </c>
      <c r="I291" s="23">
        <v>11.96</v>
      </c>
      <c r="J291" s="33"/>
      <c r="K291" s="33"/>
    </row>
    <row r="292">
      <c r="A292" s="15">
        <v>2014.0</v>
      </c>
      <c r="B292" s="16">
        <v>5.0</v>
      </c>
      <c r="C292" s="16">
        <v>2.0</v>
      </c>
      <c r="D292" s="16">
        <v>12.0</v>
      </c>
      <c r="E292" s="17" t="s">
        <v>16</v>
      </c>
      <c r="F292" s="17" t="s">
        <v>124</v>
      </c>
      <c r="G292" s="16">
        <v>5.83</v>
      </c>
      <c r="H292" s="16">
        <v>3.87</v>
      </c>
      <c r="I292" s="19">
        <v>9.7</v>
      </c>
      <c r="J292" s="33"/>
      <c r="K292" s="33"/>
    </row>
    <row r="293">
      <c r="A293" s="20">
        <v>2014.0</v>
      </c>
      <c r="B293" s="21">
        <v>5.0</v>
      </c>
      <c r="C293" s="21">
        <v>2.0</v>
      </c>
      <c r="D293" s="21">
        <v>12.0</v>
      </c>
      <c r="E293" s="22" t="s">
        <v>16</v>
      </c>
      <c r="F293" s="22" t="s">
        <v>50</v>
      </c>
      <c r="G293" s="21">
        <v>8.43</v>
      </c>
      <c r="H293" s="21">
        <v>6.1</v>
      </c>
      <c r="I293" s="23">
        <v>14.53</v>
      </c>
      <c r="J293" s="33"/>
      <c r="K293" s="33"/>
    </row>
    <row r="294">
      <c r="A294" s="15">
        <v>2014.0</v>
      </c>
      <c r="B294" s="16">
        <v>5.0</v>
      </c>
      <c r="C294" s="16">
        <v>3.0</v>
      </c>
      <c r="D294" s="16">
        <v>1.0</v>
      </c>
      <c r="E294" s="17" t="s">
        <v>16</v>
      </c>
      <c r="F294" s="17" t="s">
        <v>41</v>
      </c>
      <c r="G294" s="16">
        <v>8.9</v>
      </c>
      <c r="H294" s="16">
        <v>6.17</v>
      </c>
      <c r="I294" s="19">
        <v>15.07</v>
      </c>
      <c r="J294" s="33"/>
      <c r="K294" s="33"/>
    </row>
    <row r="295">
      <c r="A295" s="20">
        <v>2014.0</v>
      </c>
      <c r="B295" s="21">
        <v>5.0</v>
      </c>
      <c r="C295" s="21">
        <v>3.0</v>
      </c>
      <c r="D295" s="21">
        <v>1.0</v>
      </c>
      <c r="E295" s="22" t="s">
        <v>16</v>
      </c>
      <c r="F295" s="22" t="s">
        <v>76</v>
      </c>
      <c r="G295" s="21">
        <v>4.77</v>
      </c>
      <c r="H295" s="21">
        <v>3.67</v>
      </c>
      <c r="I295" s="23">
        <v>8.44</v>
      </c>
      <c r="J295" s="33"/>
      <c r="K295" s="33"/>
    </row>
    <row r="296">
      <c r="A296" s="15">
        <v>2014.0</v>
      </c>
      <c r="B296" s="16">
        <v>5.0</v>
      </c>
      <c r="C296" s="16">
        <v>3.0</v>
      </c>
      <c r="D296" s="16">
        <v>2.0</v>
      </c>
      <c r="E296" s="17" t="s">
        <v>16</v>
      </c>
      <c r="F296" s="17" t="s">
        <v>56</v>
      </c>
      <c r="G296" s="16">
        <v>8.93</v>
      </c>
      <c r="H296" s="16">
        <v>7.4</v>
      </c>
      <c r="I296" s="19">
        <v>16.33</v>
      </c>
      <c r="J296" s="33"/>
      <c r="K296" s="33"/>
    </row>
    <row r="297">
      <c r="A297" s="20">
        <v>2014.0</v>
      </c>
      <c r="B297" s="21">
        <v>5.0</v>
      </c>
      <c r="C297" s="21">
        <v>3.0</v>
      </c>
      <c r="D297" s="21">
        <v>2.0</v>
      </c>
      <c r="E297" s="22" t="s">
        <v>16</v>
      </c>
      <c r="F297" s="22" t="s">
        <v>60</v>
      </c>
      <c r="G297" s="21">
        <v>6.67</v>
      </c>
      <c r="H297" s="21">
        <v>6.67</v>
      </c>
      <c r="I297" s="23">
        <v>13.34</v>
      </c>
      <c r="J297" s="33"/>
      <c r="K297" s="33"/>
    </row>
    <row r="298">
      <c r="A298" s="15">
        <v>2014.0</v>
      </c>
      <c r="B298" s="16">
        <v>5.0</v>
      </c>
      <c r="C298" s="16">
        <v>3.0</v>
      </c>
      <c r="D298" s="16">
        <v>3.0</v>
      </c>
      <c r="E298" s="17" t="s">
        <v>16</v>
      </c>
      <c r="F298" s="17" t="s">
        <v>27</v>
      </c>
      <c r="G298" s="16">
        <v>9.5</v>
      </c>
      <c r="H298" s="16">
        <v>9.2</v>
      </c>
      <c r="I298" s="19">
        <v>18.7</v>
      </c>
      <c r="J298" s="33"/>
      <c r="K298" s="33"/>
    </row>
    <row r="299">
      <c r="A299" s="20">
        <v>2014.0</v>
      </c>
      <c r="B299" s="21">
        <v>5.0</v>
      </c>
      <c r="C299" s="21">
        <v>3.0</v>
      </c>
      <c r="D299" s="21">
        <v>3.0</v>
      </c>
      <c r="E299" s="22" t="s">
        <v>16</v>
      </c>
      <c r="F299" s="22" t="s">
        <v>50</v>
      </c>
      <c r="G299" s="21">
        <v>7.67</v>
      </c>
      <c r="H299" s="21">
        <v>2.9</v>
      </c>
      <c r="I299" s="23">
        <v>10.57</v>
      </c>
      <c r="J299" s="33"/>
      <c r="K299" s="33"/>
    </row>
    <row r="300">
      <c r="A300" s="15">
        <v>2014.0</v>
      </c>
      <c r="B300" s="16">
        <v>5.0</v>
      </c>
      <c r="C300" s="16">
        <v>3.0</v>
      </c>
      <c r="D300" s="16">
        <v>4.0</v>
      </c>
      <c r="E300" s="17" t="s">
        <v>16</v>
      </c>
      <c r="F300" s="17" t="s">
        <v>28</v>
      </c>
      <c r="G300" s="16">
        <v>6.5</v>
      </c>
      <c r="H300" s="16">
        <v>5.93</v>
      </c>
      <c r="I300" s="19">
        <v>12.43</v>
      </c>
      <c r="J300" s="33"/>
      <c r="K300" s="33"/>
    </row>
    <row r="301">
      <c r="A301" s="20">
        <v>2014.0</v>
      </c>
      <c r="B301" s="21">
        <v>5.0</v>
      </c>
      <c r="C301" s="21">
        <v>3.0</v>
      </c>
      <c r="D301" s="21">
        <v>4.0</v>
      </c>
      <c r="E301" s="22" t="s">
        <v>16</v>
      </c>
      <c r="F301" s="22" t="s">
        <v>33</v>
      </c>
      <c r="G301" s="21">
        <v>8.27</v>
      </c>
      <c r="H301" s="21">
        <v>5.43</v>
      </c>
      <c r="I301" s="23">
        <v>13.7</v>
      </c>
      <c r="J301" s="33"/>
      <c r="K301" s="33"/>
    </row>
    <row r="302">
      <c r="A302" s="15">
        <v>2014.0</v>
      </c>
      <c r="B302" s="16">
        <v>5.0</v>
      </c>
      <c r="C302" s="16">
        <v>3.0</v>
      </c>
      <c r="D302" s="16">
        <v>5.0</v>
      </c>
      <c r="E302" s="17" t="s">
        <v>16</v>
      </c>
      <c r="F302" s="17" t="s">
        <v>59</v>
      </c>
      <c r="G302" s="16">
        <v>8.43</v>
      </c>
      <c r="H302" s="16">
        <v>7.5</v>
      </c>
      <c r="I302" s="19">
        <v>15.93</v>
      </c>
      <c r="J302" s="33"/>
      <c r="K302" s="33"/>
    </row>
    <row r="303">
      <c r="A303" s="20">
        <v>2014.0</v>
      </c>
      <c r="B303" s="21">
        <v>5.0</v>
      </c>
      <c r="C303" s="21">
        <v>3.0</v>
      </c>
      <c r="D303" s="21">
        <v>5.0</v>
      </c>
      <c r="E303" s="22" t="s">
        <v>16</v>
      </c>
      <c r="F303" s="22" t="s">
        <v>57</v>
      </c>
      <c r="G303" s="21">
        <v>9.33</v>
      </c>
      <c r="H303" s="21">
        <v>6.83</v>
      </c>
      <c r="I303" s="23">
        <v>16.16</v>
      </c>
      <c r="J303" s="33"/>
      <c r="K303" s="33"/>
    </row>
    <row r="304">
      <c r="A304" s="15">
        <v>2014.0</v>
      </c>
      <c r="B304" s="16">
        <v>5.0</v>
      </c>
      <c r="C304" s="16">
        <v>3.0</v>
      </c>
      <c r="D304" s="16">
        <v>6.0</v>
      </c>
      <c r="E304" s="17" t="s">
        <v>16</v>
      </c>
      <c r="F304" s="17" t="s">
        <v>37</v>
      </c>
      <c r="G304" s="16">
        <v>8.5</v>
      </c>
      <c r="H304" s="16">
        <v>7.83</v>
      </c>
      <c r="I304" s="19">
        <v>16.33</v>
      </c>
      <c r="J304" s="33"/>
      <c r="K304" s="33"/>
    </row>
    <row r="305">
      <c r="A305" s="20">
        <v>2014.0</v>
      </c>
      <c r="B305" s="21">
        <v>5.0</v>
      </c>
      <c r="C305" s="21">
        <v>3.0</v>
      </c>
      <c r="D305" s="21">
        <v>6.0</v>
      </c>
      <c r="E305" s="22" t="s">
        <v>16</v>
      </c>
      <c r="F305" s="22" t="s">
        <v>130</v>
      </c>
      <c r="G305" s="21">
        <v>5.33</v>
      </c>
      <c r="H305" s="21">
        <v>4.1</v>
      </c>
      <c r="I305" s="23">
        <v>9.43</v>
      </c>
      <c r="J305" s="33"/>
      <c r="K305" s="33"/>
    </row>
    <row r="306">
      <c r="A306" s="15">
        <v>2014.0</v>
      </c>
      <c r="B306" s="16">
        <v>5.0</v>
      </c>
      <c r="C306" s="16">
        <v>3.0</v>
      </c>
      <c r="D306" s="16">
        <v>7.0</v>
      </c>
      <c r="E306" s="17" t="s">
        <v>16</v>
      </c>
      <c r="F306" s="17" t="s">
        <v>39</v>
      </c>
      <c r="G306" s="16">
        <v>7.83</v>
      </c>
      <c r="H306" s="16">
        <v>7.53</v>
      </c>
      <c r="I306" s="19">
        <v>15.36</v>
      </c>
      <c r="J306" s="33"/>
      <c r="K306" s="33"/>
    </row>
    <row r="307">
      <c r="A307" s="20">
        <v>2014.0</v>
      </c>
      <c r="B307" s="21">
        <v>5.0</v>
      </c>
      <c r="C307" s="21">
        <v>3.0</v>
      </c>
      <c r="D307" s="21">
        <v>7.0</v>
      </c>
      <c r="E307" s="22" t="s">
        <v>16</v>
      </c>
      <c r="F307" s="22" t="s">
        <v>99</v>
      </c>
      <c r="G307" s="21">
        <v>4.93</v>
      </c>
      <c r="H307" s="21">
        <v>4.67</v>
      </c>
      <c r="I307" s="23">
        <v>9.6</v>
      </c>
      <c r="J307" s="33"/>
      <c r="K307" s="33"/>
    </row>
    <row r="308">
      <c r="A308" s="15">
        <v>2014.0</v>
      </c>
      <c r="B308" s="16">
        <v>5.0</v>
      </c>
      <c r="C308" s="16">
        <v>3.0</v>
      </c>
      <c r="D308" s="16">
        <v>8.0</v>
      </c>
      <c r="E308" s="17" t="s">
        <v>16</v>
      </c>
      <c r="F308" s="17" t="s">
        <v>26</v>
      </c>
      <c r="G308" s="16">
        <v>8.5</v>
      </c>
      <c r="H308" s="16">
        <v>7.67</v>
      </c>
      <c r="I308" s="19">
        <v>16.17</v>
      </c>
      <c r="J308" s="33"/>
      <c r="K308" s="33"/>
    </row>
    <row r="309">
      <c r="A309" s="20">
        <v>2014.0</v>
      </c>
      <c r="B309" s="21">
        <v>5.0</v>
      </c>
      <c r="C309" s="21">
        <v>3.0</v>
      </c>
      <c r="D309" s="21">
        <v>8.0</v>
      </c>
      <c r="E309" s="22" t="s">
        <v>16</v>
      </c>
      <c r="F309" s="22" t="s">
        <v>38</v>
      </c>
      <c r="G309" s="21">
        <v>2.5</v>
      </c>
      <c r="H309" s="21">
        <v>1.53</v>
      </c>
      <c r="I309" s="23">
        <v>4.03</v>
      </c>
      <c r="J309" s="33"/>
      <c r="K309" s="33"/>
    </row>
    <row r="310">
      <c r="A310" s="15">
        <v>2014.0</v>
      </c>
      <c r="B310" s="16">
        <v>5.0</v>
      </c>
      <c r="C310" s="16">
        <v>3.0</v>
      </c>
      <c r="D310" s="16">
        <v>9.0</v>
      </c>
      <c r="E310" s="17" t="s">
        <v>16</v>
      </c>
      <c r="F310" s="17" t="s">
        <v>30</v>
      </c>
      <c r="G310" s="16">
        <v>8.0</v>
      </c>
      <c r="H310" s="16">
        <v>7.63</v>
      </c>
      <c r="I310" s="19">
        <v>15.63</v>
      </c>
      <c r="J310" s="33"/>
      <c r="K310" s="33"/>
    </row>
    <row r="311">
      <c r="A311" s="20">
        <v>2014.0</v>
      </c>
      <c r="B311" s="21">
        <v>5.0</v>
      </c>
      <c r="C311" s="21">
        <v>3.0</v>
      </c>
      <c r="D311" s="21">
        <v>9.0</v>
      </c>
      <c r="E311" s="22" t="s">
        <v>16</v>
      </c>
      <c r="F311" s="22" t="s">
        <v>123</v>
      </c>
      <c r="G311" s="21">
        <v>8.23</v>
      </c>
      <c r="H311" s="21">
        <v>6.87</v>
      </c>
      <c r="I311" s="23">
        <v>15.1</v>
      </c>
      <c r="J311" s="33"/>
      <c r="K311" s="33"/>
    </row>
    <row r="312">
      <c r="A312" s="15">
        <v>2014.0</v>
      </c>
      <c r="B312" s="16">
        <v>5.0</v>
      </c>
      <c r="C312" s="16">
        <v>3.0</v>
      </c>
      <c r="D312" s="16">
        <v>10.0</v>
      </c>
      <c r="E312" s="17" t="s">
        <v>16</v>
      </c>
      <c r="F312" s="17" t="s">
        <v>42</v>
      </c>
      <c r="G312" s="16">
        <v>9.33</v>
      </c>
      <c r="H312" s="16">
        <v>9.3</v>
      </c>
      <c r="I312" s="19">
        <v>18.63</v>
      </c>
      <c r="J312" s="33"/>
      <c r="K312" s="33"/>
    </row>
    <row r="313">
      <c r="A313" s="20">
        <v>2014.0</v>
      </c>
      <c r="B313" s="21">
        <v>5.0</v>
      </c>
      <c r="C313" s="21">
        <v>3.0</v>
      </c>
      <c r="D313" s="21">
        <v>10.0</v>
      </c>
      <c r="E313" s="22" t="s">
        <v>16</v>
      </c>
      <c r="F313" s="22" t="s">
        <v>47</v>
      </c>
      <c r="G313" s="21">
        <v>6.87</v>
      </c>
      <c r="H313" s="21">
        <v>6.73</v>
      </c>
      <c r="I313" s="23">
        <v>13.6</v>
      </c>
      <c r="J313" s="33"/>
      <c r="K313" s="33"/>
    </row>
    <row r="314">
      <c r="A314" s="15">
        <v>2014.0</v>
      </c>
      <c r="B314" s="16">
        <v>5.0</v>
      </c>
      <c r="C314" s="16">
        <v>3.0</v>
      </c>
      <c r="D314" s="16">
        <v>11.0</v>
      </c>
      <c r="E314" s="17" t="s">
        <v>16</v>
      </c>
      <c r="F314" s="17" t="s">
        <v>31</v>
      </c>
      <c r="G314" s="16">
        <v>7.83</v>
      </c>
      <c r="H314" s="16">
        <v>4.77</v>
      </c>
      <c r="I314" s="19">
        <v>12.6</v>
      </c>
      <c r="J314" s="33"/>
      <c r="K314" s="33"/>
    </row>
    <row r="315">
      <c r="A315" s="20">
        <v>2014.0</v>
      </c>
      <c r="B315" s="21">
        <v>5.0</v>
      </c>
      <c r="C315" s="21">
        <v>3.0</v>
      </c>
      <c r="D315" s="21">
        <v>11.0</v>
      </c>
      <c r="E315" s="22" t="s">
        <v>16</v>
      </c>
      <c r="F315" s="22" t="s">
        <v>32</v>
      </c>
      <c r="G315" s="21">
        <v>8.07</v>
      </c>
      <c r="H315" s="21">
        <v>7.0</v>
      </c>
      <c r="I315" s="23">
        <v>15.07</v>
      </c>
      <c r="J315" s="33"/>
      <c r="K315" s="33"/>
    </row>
    <row r="316">
      <c r="A316" s="15">
        <v>2014.0</v>
      </c>
      <c r="B316" s="16">
        <v>5.0</v>
      </c>
      <c r="C316" s="16">
        <v>3.0</v>
      </c>
      <c r="D316" s="16">
        <v>12.0</v>
      </c>
      <c r="E316" s="17" t="s">
        <v>16</v>
      </c>
      <c r="F316" s="17" t="s">
        <v>62</v>
      </c>
      <c r="G316" s="16">
        <v>6.17</v>
      </c>
      <c r="H316" s="16">
        <v>5.07</v>
      </c>
      <c r="I316" s="19">
        <v>11.24</v>
      </c>
      <c r="J316" s="33"/>
      <c r="K316" s="33"/>
    </row>
    <row r="317">
      <c r="A317" s="20">
        <v>2014.0</v>
      </c>
      <c r="B317" s="21">
        <v>5.0</v>
      </c>
      <c r="C317" s="21">
        <v>3.0</v>
      </c>
      <c r="D317" s="21">
        <v>12.0</v>
      </c>
      <c r="E317" s="22" t="s">
        <v>16</v>
      </c>
      <c r="F317" s="22" t="s">
        <v>120</v>
      </c>
      <c r="G317" s="21">
        <v>5.57</v>
      </c>
      <c r="H317" s="21">
        <v>5.17</v>
      </c>
      <c r="I317" s="23">
        <v>10.74</v>
      </c>
      <c r="J317" s="33"/>
      <c r="K317" s="33"/>
    </row>
    <row r="318">
      <c r="A318" s="15">
        <v>2014.0</v>
      </c>
      <c r="B318" s="16">
        <v>5.0</v>
      </c>
      <c r="C318" s="16">
        <v>4.0</v>
      </c>
      <c r="D318" s="16">
        <v>1.0</v>
      </c>
      <c r="E318" s="17" t="s">
        <v>16</v>
      </c>
      <c r="F318" s="17" t="s">
        <v>41</v>
      </c>
      <c r="G318" s="16">
        <v>7.57</v>
      </c>
      <c r="H318" s="16">
        <v>6.17</v>
      </c>
      <c r="I318" s="19">
        <v>13.74</v>
      </c>
      <c r="J318" s="33"/>
      <c r="K318" s="33"/>
    </row>
    <row r="319">
      <c r="A319" s="20">
        <v>2014.0</v>
      </c>
      <c r="B319" s="21">
        <v>5.0</v>
      </c>
      <c r="C319" s="21">
        <v>4.0</v>
      </c>
      <c r="D319" s="21">
        <v>1.0</v>
      </c>
      <c r="E319" s="22" t="s">
        <v>16</v>
      </c>
      <c r="F319" s="22" t="s">
        <v>56</v>
      </c>
      <c r="G319" s="21">
        <v>7.0</v>
      </c>
      <c r="H319" s="21">
        <v>6.83</v>
      </c>
      <c r="I319" s="23">
        <v>13.83</v>
      </c>
      <c r="J319" s="33"/>
      <c r="K319" s="33"/>
    </row>
    <row r="320">
      <c r="A320" s="15">
        <v>2014.0</v>
      </c>
      <c r="B320" s="16">
        <v>5.0</v>
      </c>
      <c r="C320" s="16">
        <v>4.0</v>
      </c>
      <c r="D320" s="16">
        <v>1.0</v>
      </c>
      <c r="E320" s="17" t="s">
        <v>16</v>
      </c>
      <c r="F320" s="17" t="s">
        <v>27</v>
      </c>
      <c r="G320" s="16">
        <v>3.5</v>
      </c>
      <c r="H320" s="16">
        <v>2.63</v>
      </c>
      <c r="I320" s="19">
        <v>6.13</v>
      </c>
      <c r="J320" s="33"/>
      <c r="K320" s="33"/>
    </row>
    <row r="321">
      <c r="A321" s="20">
        <v>2014.0</v>
      </c>
      <c r="B321" s="21">
        <v>5.0</v>
      </c>
      <c r="C321" s="21">
        <v>4.0</v>
      </c>
      <c r="D321" s="21">
        <v>2.0</v>
      </c>
      <c r="E321" s="22" t="s">
        <v>16</v>
      </c>
      <c r="F321" s="22" t="s">
        <v>33</v>
      </c>
      <c r="G321" s="21">
        <v>7.5</v>
      </c>
      <c r="H321" s="21">
        <v>7.27</v>
      </c>
      <c r="I321" s="23">
        <v>14.77</v>
      </c>
      <c r="J321" s="33"/>
      <c r="K321" s="33"/>
    </row>
    <row r="322">
      <c r="A322" s="15">
        <v>2014.0</v>
      </c>
      <c r="B322" s="16">
        <v>5.0</v>
      </c>
      <c r="C322" s="16">
        <v>4.0</v>
      </c>
      <c r="D322" s="16">
        <v>2.0</v>
      </c>
      <c r="E322" s="17" t="s">
        <v>16</v>
      </c>
      <c r="F322" s="17" t="s">
        <v>57</v>
      </c>
      <c r="G322" s="16">
        <v>7.57</v>
      </c>
      <c r="H322" s="16">
        <v>5.5</v>
      </c>
      <c r="I322" s="19">
        <v>13.07</v>
      </c>
      <c r="J322" s="33"/>
      <c r="K322" s="33"/>
    </row>
    <row r="323">
      <c r="A323" s="20">
        <v>2014.0</v>
      </c>
      <c r="B323" s="21">
        <v>5.0</v>
      </c>
      <c r="C323" s="21">
        <v>4.0</v>
      </c>
      <c r="D323" s="21">
        <v>2.0</v>
      </c>
      <c r="E323" s="22" t="s">
        <v>16</v>
      </c>
      <c r="F323" s="22" t="s">
        <v>37</v>
      </c>
      <c r="G323" s="21">
        <v>8.3</v>
      </c>
      <c r="H323" s="21">
        <v>6.7</v>
      </c>
      <c r="I323" s="23">
        <v>15.0</v>
      </c>
      <c r="J323" s="33"/>
      <c r="K323" s="33"/>
    </row>
    <row r="324">
      <c r="A324" s="15">
        <v>2014.0</v>
      </c>
      <c r="B324" s="16">
        <v>5.0</v>
      </c>
      <c r="C324" s="16">
        <v>4.0</v>
      </c>
      <c r="D324" s="16">
        <v>3.0</v>
      </c>
      <c r="E324" s="17" t="s">
        <v>16</v>
      </c>
      <c r="F324" s="17" t="s">
        <v>39</v>
      </c>
      <c r="G324" s="16">
        <v>5.5</v>
      </c>
      <c r="H324" s="16">
        <v>4.33</v>
      </c>
      <c r="I324" s="19">
        <v>9.83</v>
      </c>
      <c r="J324" s="33"/>
      <c r="K324" s="33"/>
    </row>
    <row r="325">
      <c r="A325" s="20">
        <v>2014.0</v>
      </c>
      <c r="B325" s="21">
        <v>5.0</v>
      </c>
      <c r="C325" s="21">
        <v>4.0</v>
      </c>
      <c r="D325" s="21">
        <v>3.0</v>
      </c>
      <c r="E325" s="22" t="s">
        <v>16</v>
      </c>
      <c r="F325" s="22" t="s">
        <v>26</v>
      </c>
      <c r="G325" s="21">
        <v>5.93</v>
      </c>
      <c r="H325" s="21">
        <v>5.0</v>
      </c>
      <c r="I325" s="23">
        <v>10.93</v>
      </c>
      <c r="J325" s="33"/>
      <c r="K325" s="33"/>
    </row>
    <row r="326">
      <c r="A326" s="15">
        <v>2014.0</v>
      </c>
      <c r="B326" s="16">
        <v>5.0</v>
      </c>
      <c r="C326" s="16">
        <v>4.0</v>
      </c>
      <c r="D326" s="16">
        <v>3.0</v>
      </c>
      <c r="E326" s="17" t="s">
        <v>16</v>
      </c>
      <c r="F326" s="17" t="s">
        <v>30</v>
      </c>
      <c r="G326" s="16">
        <v>8.03</v>
      </c>
      <c r="H326" s="16">
        <v>7.17</v>
      </c>
      <c r="I326" s="19">
        <v>15.2</v>
      </c>
      <c r="J326" s="33"/>
      <c r="K326" s="33"/>
    </row>
    <row r="327">
      <c r="A327" s="20">
        <v>2014.0</v>
      </c>
      <c r="B327" s="21">
        <v>5.0</v>
      </c>
      <c r="C327" s="21">
        <v>4.0</v>
      </c>
      <c r="D327" s="21">
        <v>4.0</v>
      </c>
      <c r="E327" s="22" t="s">
        <v>16</v>
      </c>
      <c r="F327" s="22" t="s">
        <v>42</v>
      </c>
      <c r="G327" s="21">
        <v>7.47</v>
      </c>
      <c r="H327" s="21">
        <v>6.67</v>
      </c>
      <c r="I327" s="23">
        <v>14.14</v>
      </c>
      <c r="J327" s="33"/>
      <c r="K327" s="33"/>
    </row>
    <row r="328">
      <c r="A328" s="15">
        <v>2014.0</v>
      </c>
      <c r="B328" s="16">
        <v>5.0</v>
      </c>
      <c r="C328" s="16">
        <v>4.0</v>
      </c>
      <c r="D328" s="16">
        <v>4.0</v>
      </c>
      <c r="E328" s="17" t="s">
        <v>16</v>
      </c>
      <c r="F328" s="17" t="s">
        <v>32</v>
      </c>
      <c r="G328" s="16">
        <v>7.17</v>
      </c>
      <c r="H328" s="16">
        <v>7.1</v>
      </c>
      <c r="I328" s="19">
        <v>14.27</v>
      </c>
      <c r="J328" s="33"/>
      <c r="K328" s="33"/>
    </row>
    <row r="329">
      <c r="A329" s="20">
        <v>2014.0</v>
      </c>
      <c r="B329" s="21">
        <v>5.0</v>
      </c>
      <c r="C329" s="21">
        <v>4.0</v>
      </c>
      <c r="D329" s="21">
        <v>4.0</v>
      </c>
      <c r="E329" s="22" t="s">
        <v>16</v>
      </c>
      <c r="F329" s="22" t="s">
        <v>62</v>
      </c>
      <c r="G329" s="21">
        <v>6.87</v>
      </c>
      <c r="H329" s="21">
        <v>4.5</v>
      </c>
      <c r="I329" s="23">
        <v>11.37</v>
      </c>
      <c r="J329" s="33"/>
      <c r="K329" s="33"/>
    </row>
    <row r="330">
      <c r="A330" s="15">
        <v>2014.0</v>
      </c>
      <c r="B330" s="16">
        <v>5.0</v>
      </c>
      <c r="C330" s="16">
        <v>5.0</v>
      </c>
      <c r="D330" s="16">
        <v>1.0</v>
      </c>
      <c r="E330" s="17" t="s">
        <v>16</v>
      </c>
      <c r="F330" s="17" t="s">
        <v>41</v>
      </c>
      <c r="G330" s="16">
        <v>8.27</v>
      </c>
      <c r="H330" s="16">
        <v>7.63</v>
      </c>
      <c r="I330" s="19">
        <v>15.9</v>
      </c>
      <c r="J330" s="33"/>
      <c r="K330" s="33"/>
    </row>
    <row r="331">
      <c r="A331" s="20">
        <v>2014.0</v>
      </c>
      <c r="B331" s="21">
        <v>5.0</v>
      </c>
      <c r="C331" s="21">
        <v>5.0</v>
      </c>
      <c r="D331" s="21">
        <v>1.0</v>
      </c>
      <c r="E331" s="22" t="s">
        <v>16</v>
      </c>
      <c r="F331" s="22" t="s">
        <v>57</v>
      </c>
      <c r="G331" s="21">
        <v>8.43</v>
      </c>
      <c r="H331" s="21">
        <v>6.43</v>
      </c>
      <c r="I331" s="23">
        <v>14.86</v>
      </c>
      <c r="J331" s="33"/>
      <c r="K331" s="33"/>
    </row>
    <row r="332">
      <c r="A332" s="15">
        <v>2014.0</v>
      </c>
      <c r="B332" s="16">
        <v>5.0</v>
      </c>
      <c r="C332" s="16">
        <v>5.0</v>
      </c>
      <c r="D332" s="16">
        <v>2.0</v>
      </c>
      <c r="E332" s="17" t="s">
        <v>16</v>
      </c>
      <c r="F332" s="17" t="s">
        <v>33</v>
      </c>
      <c r="G332" s="16">
        <v>4.17</v>
      </c>
      <c r="H332" s="16">
        <v>4.03</v>
      </c>
      <c r="I332" s="19">
        <v>8.2</v>
      </c>
      <c r="J332" s="33"/>
      <c r="K332" s="33"/>
    </row>
    <row r="333">
      <c r="A333" s="20">
        <v>2014.0</v>
      </c>
      <c r="B333" s="21">
        <v>5.0</v>
      </c>
      <c r="C333" s="21">
        <v>5.0</v>
      </c>
      <c r="D333" s="21">
        <v>2.0</v>
      </c>
      <c r="E333" s="22" t="s">
        <v>16</v>
      </c>
      <c r="F333" s="22" t="s">
        <v>27</v>
      </c>
      <c r="G333" s="21">
        <v>8.27</v>
      </c>
      <c r="H333" s="21">
        <v>5.17</v>
      </c>
      <c r="I333" s="23">
        <v>13.44</v>
      </c>
      <c r="J333" s="33"/>
      <c r="K333" s="33"/>
    </row>
    <row r="334">
      <c r="A334" s="15">
        <v>2014.0</v>
      </c>
      <c r="B334" s="16">
        <v>5.0</v>
      </c>
      <c r="C334" s="16">
        <v>5.0</v>
      </c>
      <c r="D334" s="16">
        <v>3.0</v>
      </c>
      <c r="E334" s="17" t="s">
        <v>16</v>
      </c>
      <c r="F334" s="17" t="s">
        <v>26</v>
      </c>
      <c r="G334" s="16">
        <v>9.87</v>
      </c>
      <c r="H334" s="16">
        <v>6.83</v>
      </c>
      <c r="I334" s="19">
        <v>16.7</v>
      </c>
      <c r="J334" s="33"/>
      <c r="K334" s="33"/>
    </row>
    <row r="335">
      <c r="A335" s="20">
        <v>2014.0</v>
      </c>
      <c r="B335" s="21">
        <v>5.0</v>
      </c>
      <c r="C335" s="21">
        <v>5.0</v>
      </c>
      <c r="D335" s="21">
        <v>3.0</v>
      </c>
      <c r="E335" s="22" t="s">
        <v>16</v>
      </c>
      <c r="F335" s="22" t="s">
        <v>62</v>
      </c>
      <c r="G335" s="21">
        <v>6.17</v>
      </c>
      <c r="H335" s="21">
        <v>6.17</v>
      </c>
      <c r="I335" s="23">
        <v>12.34</v>
      </c>
      <c r="J335" s="33"/>
      <c r="K335" s="33"/>
    </row>
    <row r="336">
      <c r="A336" s="15">
        <v>2014.0</v>
      </c>
      <c r="B336" s="16">
        <v>5.0</v>
      </c>
      <c r="C336" s="16">
        <v>5.0</v>
      </c>
      <c r="D336" s="16">
        <v>4.0</v>
      </c>
      <c r="E336" s="17" t="s">
        <v>16</v>
      </c>
      <c r="F336" s="17" t="s">
        <v>42</v>
      </c>
      <c r="G336" s="16">
        <v>7.0</v>
      </c>
      <c r="H336" s="16">
        <v>5.67</v>
      </c>
      <c r="I336" s="19">
        <v>12.67</v>
      </c>
      <c r="J336" s="33"/>
      <c r="K336" s="33"/>
    </row>
    <row r="337">
      <c r="A337" s="20">
        <v>2014.0</v>
      </c>
      <c r="B337" s="21">
        <v>5.0</v>
      </c>
      <c r="C337" s="21">
        <v>5.0</v>
      </c>
      <c r="D337" s="21">
        <v>4.0</v>
      </c>
      <c r="E337" s="22" t="s">
        <v>16</v>
      </c>
      <c r="F337" s="22" t="s">
        <v>39</v>
      </c>
      <c r="G337" s="21">
        <v>6.17</v>
      </c>
      <c r="H337" s="21">
        <v>3.93</v>
      </c>
      <c r="I337" s="23">
        <v>10.1</v>
      </c>
      <c r="J337" s="33"/>
      <c r="K337" s="33"/>
    </row>
    <row r="338">
      <c r="A338" s="15">
        <v>2014.0</v>
      </c>
      <c r="B338" s="16">
        <v>5.0</v>
      </c>
      <c r="C338" s="16">
        <v>6.0</v>
      </c>
      <c r="D338" s="16">
        <v>1.0</v>
      </c>
      <c r="E338" s="17" t="s">
        <v>16</v>
      </c>
      <c r="F338" s="17" t="s">
        <v>56</v>
      </c>
      <c r="G338" s="16">
        <v>8.17</v>
      </c>
      <c r="H338" s="16">
        <v>6.1</v>
      </c>
      <c r="I338" s="19">
        <v>14.27</v>
      </c>
      <c r="J338" s="33"/>
      <c r="K338" s="33"/>
    </row>
    <row r="339">
      <c r="A339" s="20">
        <v>2014.0</v>
      </c>
      <c r="B339" s="21">
        <v>5.0</v>
      </c>
      <c r="C339" s="21">
        <v>6.0</v>
      </c>
      <c r="D339" s="21">
        <v>1.0</v>
      </c>
      <c r="E339" s="22" t="s">
        <v>16</v>
      </c>
      <c r="F339" s="22" t="s">
        <v>41</v>
      </c>
      <c r="G339" s="21">
        <v>4.67</v>
      </c>
      <c r="H339" s="21">
        <v>2.83</v>
      </c>
      <c r="I339" s="23">
        <v>7.5</v>
      </c>
      <c r="J339" s="33"/>
      <c r="K339" s="33"/>
    </row>
    <row r="340">
      <c r="A340" s="15">
        <v>2014.0</v>
      </c>
      <c r="B340" s="16">
        <v>5.0</v>
      </c>
      <c r="C340" s="16">
        <v>6.0</v>
      </c>
      <c r="D340" s="16">
        <v>2.0</v>
      </c>
      <c r="E340" s="17" t="s">
        <v>16</v>
      </c>
      <c r="F340" s="17" t="s">
        <v>37</v>
      </c>
      <c r="G340" s="16">
        <v>5.07</v>
      </c>
      <c r="H340" s="16">
        <v>3.83</v>
      </c>
      <c r="I340" s="19">
        <v>8.9</v>
      </c>
      <c r="J340" s="33"/>
      <c r="K340" s="33"/>
    </row>
    <row r="341">
      <c r="A341" s="20">
        <v>2014.0</v>
      </c>
      <c r="B341" s="21">
        <v>5.0</v>
      </c>
      <c r="C341" s="21">
        <v>6.0</v>
      </c>
      <c r="D341" s="21">
        <v>2.0</v>
      </c>
      <c r="E341" s="22" t="s">
        <v>16</v>
      </c>
      <c r="F341" s="22" t="s">
        <v>27</v>
      </c>
      <c r="G341" s="21">
        <v>7.33</v>
      </c>
      <c r="H341" s="21">
        <v>6.0</v>
      </c>
      <c r="I341" s="23">
        <v>13.33</v>
      </c>
      <c r="J341" s="33"/>
      <c r="K341" s="33"/>
    </row>
    <row r="342">
      <c r="A342" s="15">
        <v>2014.0</v>
      </c>
      <c r="B342" s="16">
        <v>5.0</v>
      </c>
      <c r="C342" s="16">
        <v>6.0</v>
      </c>
      <c r="D342" s="16">
        <v>3.0</v>
      </c>
      <c r="E342" s="17" t="s">
        <v>16</v>
      </c>
      <c r="F342" s="17" t="s">
        <v>30</v>
      </c>
      <c r="G342" s="16">
        <v>7.37</v>
      </c>
      <c r="H342" s="16">
        <v>6.83</v>
      </c>
      <c r="I342" s="19">
        <v>14.2</v>
      </c>
      <c r="J342" s="33"/>
      <c r="K342" s="33"/>
    </row>
    <row r="343">
      <c r="A343" s="20">
        <v>2014.0</v>
      </c>
      <c r="B343" s="21">
        <v>5.0</v>
      </c>
      <c r="C343" s="21">
        <v>6.0</v>
      </c>
      <c r="D343" s="21">
        <v>3.0</v>
      </c>
      <c r="E343" s="22" t="s">
        <v>16</v>
      </c>
      <c r="F343" s="22" t="s">
        <v>26</v>
      </c>
      <c r="G343" s="21">
        <v>4.67</v>
      </c>
      <c r="H343" s="21">
        <v>1.67</v>
      </c>
      <c r="I343" s="23">
        <v>6.34</v>
      </c>
      <c r="J343" s="33"/>
      <c r="K343" s="33"/>
    </row>
    <row r="344">
      <c r="A344" s="15">
        <v>2014.0</v>
      </c>
      <c r="B344" s="16">
        <v>5.0</v>
      </c>
      <c r="C344" s="16">
        <v>6.0</v>
      </c>
      <c r="D344" s="16">
        <v>4.0</v>
      </c>
      <c r="E344" s="17" t="s">
        <v>16</v>
      </c>
      <c r="F344" s="17" t="s">
        <v>32</v>
      </c>
      <c r="G344" s="16">
        <v>9.23</v>
      </c>
      <c r="H344" s="16">
        <v>9.13</v>
      </c>
      <c r="I344" s="19">
        <v>18.36</v>
      </c>
      <c r="J344" s="33"/>
      <c r="K344" s="33"/>
    </row>
    <row r="345">
      <c r="A345" s="20">
        <v>2014.0</v>
      </c>
      <c r="B345" s="21">
        <v>5.0</v>
      </c>
      <c r="C345" s="21">
        <v>6.0</v>
      </c>
      <c r="D345" s="21">
        <v>4.0</v>
      </c>
      <c r="E345" s="22" t="s">
        <v>16</v>
      </c>
      <c r="F345" s="22" t="s">
        <v>42</v>
      </c>
      <c r="G345" s="21">
        <v>8.57</v>
      </c>
      <c r="H345" s="21">
        <v>8.5</v>
      </c>
      <c r="I345" s="23">
        <v>17.07</v>
      </c>
      <c r="J345" s="33"/>
      <c r="K345" s="33"/>
    </row>
    <row r="346">
      <c r="A346" s="15">
        <v>2014.0</v>
      </c>
      <c r="B346" s="16">
        <v>5.0</v>
      </c>
      <c r="C346" s="16">
        <v>7.0</v>
      </c>
      <c r="D346" s="16">
        <v>1.0</v>
      </c>
      <c r="E346" s="17" t="s">
        <v>16</v>
      </c>
      <c r="F346" s="17" t="s">
        <v>56</v>
      </c>
      <c r="G346" s="16">
        <v>7.83</v>
      </c>
      <c r="H346" s="16">
        <v>6.17</v>
      </c>
      <c r="I346" s="19">
        <v>14.0</v>
      </c>
      <c r="J346" s="33"/>
      <c r="K346" s="33"/>
    </row>
    <row r="347">
      <c r="A347" s="20">
        <v>2014.0</v>
      </c>
      <c r="B347" s="21">
        <v>5.0</v>
      </c>
      <c r="C347" s="21">
        <v>7.0</v>
      </c>
      <c r="D347" s="21">
        <v>1.0</v>
      </c>
      <c r="E347" s="22" t="s">
        <v>16</v>
      </c>
      <c r="F347" s="22" t="s">
        <v>27</v>
      </c>
      <c r="G347" s="21">
        <v>7.33</v>
      </c>
      <c r="H347" s="21">
        <v>4.77</v>
      </c>
      <c r="I347" s="23">
        <v>12.1</v>
      </c>
      <c r="J347" s="33"/>
      <c r="K347" s="33"/>
    </row>
    <row r="348">
      <c r="A348" s="15">
        <v>2014.0</v>
      </c>
      <c r="B348" s="16">
        <v>5.0</v>
      </c>
      <c r="C348" s="16">
        <v>7.0</v>
      </c>
      <c r="D348" s="16">
        <v>2.0</v>
      </c>
      <c r="E348" s="17" t="s">
        <v>16</v>
      </c>
      <c r="F348" s="17" t="s">
        <v>30</v>
      </c>
      <c r="G348" s="16">
        <v>9.07</v>
      </c>
      <c r="H348" s="16">
        <v>8.43</v>
      </c>
      <c r="I348" s="19">
        <v>17.5</v>
      </c>
      <c r="J348" s="33"/>
      <c r="K348" s="33"/>
    </row>
    <row r="349">
      <c r="A349" s="20">
        <v>2014.0</v>
      </c>
      <c r="B349" s="21">
        <v>5.0</v>
      </c>
      <c r="C349" s="21">
        <v>7.0</v>
      </c>
      <c r="D349" s="21">
        <v>2.0</v>
      </c>
      <c r="E349" s="22" t="s">
        <v>16</v>
      </c>
      <c r="F349" s="22" t="s">
        <v>32</v>
      </c>
      <c r="G349" s="21">
        <v>5.4</v>
      </c>
      <c r="H349" s="21">
        <v>4.17</v>
      </c>
      <c r="I349" s="23">
        <v>9.57</v>
      </c>
      <c r="J349" s="33"/>
      <c r="K349" s="33"/>
    </row>
    <row r="350">
      <c r="A350" s="15">
        <v>2014.0</v>
      </c>
      <c r="B350" s="16">
        <v>5.0</v>
      </c>
      <c r="C350" s="16">
        <v>8.0</v>
      </c>
      <c r="D350" s="16">
        <v>1.0</v>
      </c>
      <c r="E350" s="17" t="s">
        <v>16</v>
      </c>
      <c r="F350" s="17" t="s">
        <v>30</v>
      </c>
      <c r="G350" s="16">
        <v>9.87</v>
      </c>
      <c r="H350" s="16">
        <v>8.53</v>
      </c>
      <c r="I350" s="19">
        <v>18.4</v>
      </c>
      <c r="J350" s="33"/>
      <c r="K350" s="33"/>
    </row>
    <row r="351">
      <c r="A351" s="20">
        <v>2014.0</v>
      </c>
      <c r="B351" s="21">
        <v>5.0</v>
      </c>
      <c r="C351" s="21">
        <v>8.0</v>
      </c>
      <c r="D351" s="21">
        <v>1.0</v>
      </c>
      <c r="E351" s="22" t="s">
        <v>16</v>
      </c>
      <c r="F351" s="22" t="s">
        <v>56</v>
      </c>
      <c r="G351" s="21">
        <v>8.17</v>
      </c>
      <c r="H351" s="21">
        <v>6.6</v>
      </c>
      <c r="I351" s="23">
        <v>14.77</v>
      </c>
      <c r="J351" s="33"/>
      <c r="K351" s="33"/>
    </row>
    <row r="352">
      <c r="A352" s="15">
        <v>2014.0</v>
      </c>
      <c r="B352" s="16">
        <v>6.0</v>
      </c>
      <c r="C352" s="16">
        <v>1.0</v>
      </c>
      <c r="D352" s="16">
        <v>1.0</v>
      </c>
      <c r="E352" s="17" t="s">
        <v>16</v>
      </c>
      <c r="F352" s="17" t="s">
        <v>41</v>
      </c>
      <c r="G352" s="16">
        <v>8.0</v>
      </c>
      <c r="H352" s="16">
        <v>7.0</v>
      </c>
      <c r="I352" s="19">
        <v>15.0</v>
      </c>
      <c r="J352" s="33"/>
      <c r="K352" s="33"/>
    </row>
    <row r="353">
      <c r="A353" s="20">
        <v>2014.0</v>
      </c>
      <c r="B353" s="21">
        <v>6.0</v>
      </c>
      <c r="C353" s="21">
        <v>1.0</v>
      </c>
      <c r="D353" s="21">
        <v>1.0</v>
      </c>
      <c r="E353" s="22" t="s">
        <v>16</v>
      </c>
      <c r="F353" s="22" t="s">
        <v>38</v>
      </c>
      <c r="G353" s="21">
        <v>6.77</v>
      </c>
      <c r="H353" s="21">
        <v>6.0</v>
      </c>
      <c r="I353" s="23">
        <v>12.77</v>
      </c>
      <c r="J353" s="33"/>
      <c r="K353" s="33"/>
    </row>
    <row r="354">
      <c r="A354" s="15">
        <v>2014.0</v>
      </c>
      <c r="B354" s="16">
        <v>6.0</v>
      </c>
      <c r="C354" s="16">
        <v>1.0</v>
      </c>
      <c r="D354" s="16">
        <v>1.0</v>
      </c>
      <c r="E354" s="17" t="s">
        <v>16</v>
      </c>
      <c r="F354" s="17" t="s">
        <v>126</v>
      </c>
      <c r="G354" s="16">
        <v>5.83</v>
      </c>
      <c r="H354" s="16">
        <v>4.97</v>
      </c>
      <c r="I354" s="19">
        <v>10.8</v>
      </c>
      <c r="J354" s="33"/>
      <c r="K354" s="33"/>
    </row>
    <row r="355">
      <c r="A355" s="20">
        <v>2014.0</v>
      </c>
      <c r="B355" s="21">
        <v>6.0</v>
      </c>
      <c r="C355" s="21">
        <v>1.0</v>
      </c>
      <c r="D355" s="21">
        <v>2.0</v>
      </c>
      <c r="E355" s="22" t="s">
        <v>16</v>
      </c>
      <c r="F355" s="22" t="s">
        <v>62</v>
      </c>
      <c r="G355" s="21">
        <v>7.67</v>
      </c>
      <c r="H355" s="21">
        <v>7.67</v>
      </c>
      <c r="I355" s="23">
        <v>15.34</v>
      </c>
      <c r="J355" s="33"/>
      <c r="K355" s="33"/>
    </row>
    <row r="356">
      <c r="A356" s="15">
        <v>2014.0</v>
      </c>
      <c r="B356" s="16">
        <v>6.0</v>
      </c>
      <c r="C356" s="16">
        <v>1.0</v>
      </c>
      <c r="D356" s="16">
        <v>2.0</v>
      </c>
      <c r="E356" s="17" t="s">
        <v>16</v>
      </c>
      <c r="F356" s="17" t="s">
        <v>123</v>
      </c>
      <c r="G356" s="16">
        <v>6.67</v>
      </c>
      <c r="H356" s="16">
        <v>5.37</v>
      </c>
      <c r="I356" s="19">
        <v>12.04</v>
      </c>
      <c r="J356" s="33"/>
      <c r="K356" s="33"/>
    </row>
    <row r="357">
      <c r="A357" s="20">
        <v>2014.0</v>
      </c>
      <c r="B357" s="21">
        <v>6.0</v>
      </c>
      <c r="C357" s="21">
        <v>1.0</v>
      </c>
      <c r="D357" s="21">
        <v>2.0</v>
      </c>
      <c r="E357" s="22" t="s">
        <v>16</v>
      </c>
      <c r="F357" s="22" t="s">
        <v>34</v>
      </c>
      <c r="G357" s="21">
        <v>7.27</v>
      </c>
      <c r="H357" s="21">
        <v>3.4</v>
      </c>
      <c r="I357" s="23">
        <v>10.67</v>
      </c>
      <c r="J357" s="33"/>
      <c r="K357" s="33"/>
    </row>
    <row r="358">
      <c r="A358" s="15">
        <v>2014.0</v>
      </c>
      <c r="B358" s="16">
        <v>6.0</v>
      </c>
      <c r="C358" s="16">
        <v>1.0</v>
      </c>
      <c r="D358" s="16">
        <v>3.0</v>
      </c>
      <c r="E358" s="17" t="s">
        <v>16</v>
      </c>
      <c r="F358" s="17" t="s">
        <v>39</v>
      </c>
      <c r="G358" s="16">
        <v>9.1</v>
      </c>
      <c r="H358" s="16">
        <v>7.5</v>
      </c>
      <c r="I358" s="19">
        <v>16.6</v>
      </c>
      <c r="J358" s="33"/>
      <c r="K358" s="33"/>
    </row>
    <row r="359">
      <c r="A359" s="20">
        <v>2014.0</v>
      </c>
      <c r="B359" s="21">
        <v>6.0</v>
      </c>
      <c r="C359" s="21">
        <v>1.0</v>
      </c>
      <c r="D359" s="21">
        <v>3.0</v>
      </c>
      <c r="E359" s="22" t="s">
        <v>16</v>
      </c>
      <c r="F359" s="22" t="s">
        <v>60</v>
      </c>
      <c r="G359" s="21">
        <v>9.07</v>
      </c>
      <c r="H359" s="21">
        <v>8.17</v>
      </c>
      <c r="I359" s="23">
        <v>17.24</v>
      </c>
      <c r="J359" s="33"/>
      <c r="K359" s="33"/>
    </row>
    <row r="360">
      <c r="A360" s="15">
        <v>2014.0</v>
      </c>
      <c r="B360" s="16">
        <v>6.0</v>
      </c>
      <c r="C360" s="16">
        <v>1.0</v>
      </c>
      <c r="D360" s="16">
        <v>3.0</v>
      </c>
      <c r="E360" s="17" t="s">
        <v>16</v>
      </c>
      <c r="F360" s="17" t="s">
        <v>99</v>
      </c>
      <c r="G360" s="16">
        <v>5.13</v>
      </c>
      <c r="H360" s="16">
        <v>4.33</v>
      </c>
      <c r="I360" s="19">
        <v>9.46</v>
      </c>
      <c r="J360" s="33"/>
      <c r="K360" s="33"/>
    </row>
    <row r="361">
      <c r="A361" s="20">
        <v>2014.0</v>
      </c>
      <c r="B361" s="21">
        <v>6.0</v>
      </c>
      <c r="C361" s="21">
        <v>1.0</v>
      </c>
      <c r="D361" s="21">
        <v>4.0</v>
      </c>
      <c r="E361" s="22" t="s">
        <v>16</v>
      </c>
      <c r="F361" s="22" t="s">
        <v>27</v>
      </c>
      <c r="G361" s="21">
        <v>8.33</v>
      </c>
      <c r="H361" s="21">
        <v>4.57</v>
      </c>
      <c r="I361" s="23">
        <v>12.9</v>
      </c>
      <c r="J361" s="33"/>
      <c r="K361" s="33"/>
    </row>
    <row r="362">
      <c r="A362" s="15">
        <v>2014.0</v>
      </c>
      <c r="B362" s="16">
        <v>6.0</v>
      </c>
      <c r="C362" s="16">
        <v>1.0</v>
      </c>
      <c r="D362" s="16">
        <v>4.0</v>
      </c>
      <c r="E362" s="17" t="s">
        <v>16</v>
      </c>
      <c r="F362" s="17" t="s">
        <v>47</v>
      </c>
      <c r="G362" s="16">
        <v>5.83</v>
      </c>
      <c r="H362" s="16">
        <v>5.5</v>
      </c>
      <c r="I362" s="19">
        <v>11.33</v>
      </c>
      <c r="J362" s="33"/>
      <c r="K362" s="33"/>
    </row>
    <row r="363">
      <c r="A363" s="20">
        <v>2014.0</v>
      </c>
      <c r="B363" s="21">
        <v>6.0</v>
      </c>
      <c r="C363" s="21">
        <v>1.0</v>
      </c>
      <c r="D363" s="21">
        <v>4.0</v>
      </c>
      <c r="E363" s="22" t="s">
        <v>16</v>
      </c>
      <c r="F363" s="22" t="s">
        <v>131</v>
      </c>
      <c r="G363" s="21">
        <v>7.77</v>
      </c>
      <c r="H363" s="21">
        <v>4.0</v>
      </c>
      <c r="I363" s="23">
        <v>11.77</v>
      </c>
      <c r="J363" s="33"/>
      <c r="K363" s="33"/>
    </row>
    <row r="364">
      <c r="A364" s="15">
        <v>2014.0</v>
      </c>
      <c r="B364" s="16">
        <v>6.0</v>
      </c>
      <c r="C364" s="16">
        <v>1.0</v>
      </c>
      <c r="D364" s="16">
        <v>5.0</v>
      </c>
      <c r="E364" s="17" t="s">
        <v>16</v>
      </c>
      <c r="F364" s="17" t="s">
        <v>30</v>
      </c>
      <c r="G364" s="16">
        <v>6.4</v>
      </c>
      <c r="H364" s="16">
        <v>5.1</v>
      </c>
      <c r="I364" s="19">
        <v>11.5</v>
      </c>
      <c r="J364" s="33"/>
      <c r="K364" s="33"/>
    </row>
    <row r="365">
      <c r="A365" s="20">
        <v>2014.0</v>
      </c>
      <c r="B365" s="21">
        <v>6.0</v>
      </c>
      <c r="C365" s="21">
        <v>1.0</v>
      </c>
      <c r="D365" s="21">
        <v>5.0</v>
      </c>
      <c r="E365" s="22" t="s">
        <v>16</v>
      </c>
      <c r="F365" s="22" t="s">
        <v>29</v>
      </c>
      <c r="G365" s="21">
        <v>7.27</v>
      </c>
      <c r="H365" s="21">
        <v>5.83</v>
      </c>
      <c r="I365" s="23">
        <v>13.1</v>
      </c>
      <c r="J365" s="33"/>
      <c r="K365" s="33"/>
    </row>
    <row r="366">
      <c r="A366" s="15">
        <v>2014.0</v>
      </c>
      <c r="B366" s="16">
        <v>6.0</v>
      </c>
      <c r="C366" s="16">
        <v>1.0</v>
      </c>
      <c r="D366" s="16">
        <v>5.0</v>
      </c>
      <c r="E366" s="17" t="s">
        <v>16</v>
      </c>
      <c r="F366" s="17" t="s">
        <v>91</v>
      </c>
      <c r="G366" s="16">
        <v>5.23</v>
      </c>
      <c r="H366" s="16">
        <v>3.27</v>
      </c>
      <c r="I366" s="19">
        <v>8.5</v>
      </c>
      <c r="J366" s="33"/>
      <c r="K366" s="33"/>
    </row>
    <row r="367">
      <c r="A367" s="20">
        <v>2014.0</v>
      </c>
      <c r="B367" s="21">
        <v>6.0</v>
      </c>
      <c r="C367" s="21">
        <v>1.0</v>
      </c>
      <c r="D367" s="21">
        <v>6.0</v>
      </c>
      <c r="E367" s="22" t="s">
        <v>16</v>
      </c>
      <c r="F367" s="22" t="s">
        <v>37</v>
      </c>
      <c r="G367" s="21">
        <v>8.33</v>
      </c>
      <c r="H367" s="21">
        <v>5.67</v>
      </c>
      <c r="I367" s="23">
        <v>14.0</v>
      </c>
      <c r="J367" s="33"/>
      <c r="K367" s="33"/>
    </row>
    <row r="368">
      <c r="A368" s="15">
        <v>2014.0</v>
      </c>
      <c r="B368" s="16">
        <v>6.0</v>
      </c>
      <c r="C368" s="16">
        <v>1.0</v>
      </c>
      <c r="D368" s="16">
        <v>6.0</v>
      </c>
      <c r="E368" s="17" t="s">
        <v>16</v>
      </c>
      <c r="F368" s="17" t="s">
        <v>124</v>
      </c>
      <c r="G368" s="16">
        <v>4.6</v>
      </c>
      <c r="H368" s="16">
        <v>4.5</v>
      </c>
      <c r="I368" s="19">
        <v>9.1</v>
      </c>
      <c r="J368" s="33"/>
      <c r="K368" s="33"/>
    </row>
    <row r="369">
      <c r="A369" s="20">
        <v>2014.0</v>
      </c>
      <c r="B369" s="21">
        <v>6.0</v>
      </c>
      <c r="C369" s="21">
        <v>1.0</v>
      </c>
      <c r="D369" s="21">
        <v>6.0</v>
      </c>
      <c r="E369" s="22" t="s">
        <v>16</v>
      </c>
      <c r="F369" s="22" t="s">
        <v>138</v>
      </c>
      <c r="G369" s="21">
        <v>6.5</v>
      </c>
      <c r="H369" s="21">
        <v>5.17</v>
      </c>
      <c r="I369" s="23">
        <v>11.67</v>
      </c>
      <c r="J369" s="33"/>
      <c r="K369" s="33"/>
    </row>
    <row r="370">
      <c r="A370" s="15">
        <v>2014.0</v>
      </c>
      <c r="B370" s="16">
        <v>6.0</v>
      </c>
      <c r="C370" s="16">
        <v>1.0</v>
      </c>
      <c r="D370" s="16">
        <v>7.0</v>
      </c>
      <c r="E370" s="17" t="s">
        <v>16</v>
      </c>
      <c r="F370" s="17" t="s">
        <v>56</v>
      </c>
      <c r="G370" s="16">
        <v>5.33</v>
      </c>
      <c r="H370" s="16">
        <v>3.77</v>
      </c>
      <c r="I370" s="19">
        <v>9.1</v>
      </c>
      <c r="J370" s="33"/>
      <c r="K370" s="33"/>
    </row>
    <row r="371">
      <c r="A371" s="20">
        <v>2014.0</v>
      </c>
      <c r="B371" s="21">
        <v>6.0</v>
      </c>
      <c r="C371" s="21">
        <v>1.0</v>
      </c>
      <c r="D371" s="21">
        <v>7.0</v>
      </c>
      <c r="E371" s="22" t="s">
        <v>16</v>
      </c>
      <c r="F371" s="22" t="s">
        <v>55</v>
      </c>
      <c r="G371" s="21">
        <v>6.27</v>
      </c>
      <c r="H371" s="21">
        <v>3.27</v>
      </c>
      <c r="I371" s="23">
        <v>9.54</v>
      </c>
      <c r="J371" s="33"/>
      <c r="K371" s="33"/>
    </row>
    <row r="372">
      <c r="A372" s="15">
        <v>2014.0</v>
      </c>
      <c r="B372" s="16">
        <v>6.0</v>
      </c>
      <c r="C372" s="16">
        <v>1.0</v>
      </c>
      <c r="D372" s="16">
        <v>7.0</v>
      </c>
      <c r="E372" s="17" t="s">
        <v>16</v>
      </c>
      <c r="F372" s="17" t="s">
        <v>107</v>
      </c>
      <c r="G372" s="16">
        <v>9.03</v>
      </c>
      <c r="H372" s="16">
        <v>6.83</v>
      </c>
      <c r="I372" s="19">
        <v>15.86</v>
      </c>
      <c r="J372" s="33"/>
      <c r="K372" s="33"/>
    </row>
    <row r="373">
      <c r="A373" s="20">
        <v>2014.0</v>
      </c>
      <c r="B373" s="21">
        <v>6.0</v>
      </c>
      <c r="C373" s="21">
        <v>1.0</v>
      </c>
      <c r="D373" s="21">
        <v>8.0</v>
      </c>
      <c r="E373" s="22" t="s">
        <v>16</v>
      </c>
      <c r="F373" s="22" t="s">
        <v>42</v>
      </c>
      <c r="G373" s="21">
        <v>7.6</v>
      </c>
      <c r="H373" s="21">
        <v>6.67</v>
      </c>
      <c r="I373" s="23">
        <v>14.27</v>
      </c>
      <c r="J373" s="33"/>
      <c r="K373" s="33"/>
    </row>
    <row r="374">
      <c r="A374" s="15">
        <v>2014.0</v>
      </c>
      <c r="B374" s="16">
        <v>6.0</v>
      </c>
      <c r="C374" s="16">
        <v>1.0</v>
      </c>
      <c r="D374" s="16">
        <v>8.0</v>
      </c>
      <c r="E374" s="17" t="s">
        <v>16</v>
      </c>
      <c r="F374" s="17" t="s">
        <v>125</v>
      </c>
      <c r="G374" s="16">
        <v>4.3</v>
      </c>
      <c r="H374" s="16">
        <v>4.0</v>
      </c>
      <c r="I374" s="19">
        <v>8.3</v>
      </c>
      <c r="J374" s="33"/>
      <c r="K374" s="33"/>
    </row>
    <row r="375">
      <c r="A375" s="20">
        <v>2014.0</v>
      </c>
      <c r="B375" s="21">
        <v>6.0</v>
      </c>
      <c r="C375" s="21">
        <v>1.0</v>
      </c>
      <c r="D375" s="21">
        <v>8.0</v>
      </c>
      <c r="E375" s="22" t="s">
        <v>16</v>
      </c>
      <c r="F375" s="22" t="s">
        <v>76</v>
      </c>
      <c r="G375" s="21">
        <v>5.33</v>
      </c>
      <c r="H375" s="21">
        <v>4.23</v>
      </c>
      <c r="I375" s="23">
        <v>9.56</v>
      </c>
      <c r="J375" s="33"/>
      <c r="K375" s="33"/>
    </row>
    <row r="376">
      <c r="A376" s="15">
        <v>2014.0</v>
      </c>
      <c r="B376" s="16">
        <v>6.0</v>
      </c>
      <c r="C376" s="16">
        <v>1.0</v>
      </c>
      <c r="D376" s="16">
        <v>9.0</v>
      </c>
      <c r="E376" s="17" t="s">
        <v>16</v>
      </c>
      <c r="F376" s="17" t="s">
        <v>45</v>
      </c>
      <c r="G376" s="16">
        <v>8.83</v>
      </c>
      <c r="H376" s="16">
        <v>7.5</v>
      </c>
      <c r="I376" s="19">
        <v>16.33</v>
      </c>
      <c r="J376" s="33"/>
      <c r="K376" s="33"/>
    </row>
    <row r="377">
      <c r="A377" s="20">
        <v>2014.0</v>
      </c>
      <c r="B377" s="21">
        <v>6.0</v>
      </c>
      <c r="C377" s="21">
        <v>1.0</v>
      </c>
      <c r="D377" s="21">
        <v>9.0</v>
      </c>
      <c r="E377" s="22" t="s">
        <v>16</v>
      </c>
      <c r="F377" s="22" t="s">
        <v>33</v>
      </c>
      <c r="G377" s="21">
        <v>7.17</v>
      </c>
      <c r="H377" s="21">
        <v>3.93</v>
      </c>
      <c r="I377" s="23">
        <v>11.1</v>
      </c>
      <c r="J377" s="33"/>
      <c r="K377" s="33"/>
    </row>
    <row r="378">
      <c r="A378" s="15">
        <v>2014.0</v>
      </c>
      <c r="B378" s="16">
        <v>6.0</v>
      </c>
      <c r="C378" s="16">
        <v>1.0</v>
      </c>
      <c r="D378" s="16">
        <v>9.0</v>
      </c>
      <c r="E378" s="17" t="s">
        <v>16</v>
      </c>
      <c r="F378" s="17" t="s">
        <v>120</v>
      </c>
      <c r="G378" s="16">
        <v>8.17</v>
      </c>
      <c r="H378" s="16">
        <v>6.5</v>
      </c>
      <c r="I378" s="19">
        <v>14.67</v>
      </c>
      <c r="J378" s="33"/>
      <c r="K378" s="33"/>
    </row>
    <row r="379">
      <c r="A379" s="20">
        <v>2014.0</v>
      </c>
      <c r="B379" s="21">
        <v>6.0</v>
      </c>
      <c r="C379" s="21">
        <v>1.0</v>
      </c>
      <c r="D379" s="21">
        <v>10.0</v>
      </c>
      <c r="E379" s="22" t="s">
        <v>16</v>
      </c>
      <c r="F379" s="22" t="s">
        <v>28</v>
      </c>
      <c r="G379" s="21">
        <v>10.0</v>
      </c>
      <c r="H379" s="21">
        <v>9.8</v>
      </c>
      <c r="I379" s="23">
        <v>19.8</v>
      </c>
      <c r="J379" s="33"/>
      <c r="K379" s="33"/>
    </row>
    <row r="380">
      <c r="A380" s="15">
        <v>2014.0</v>
      </c>
      <c r="B380" s="16">
        <v>6.0</v>
      </c>
      <c r="C380" s="16">
        <v>1.0</v>
      </c>
      <c r="D380" s="16">
        <v>10.0</v>
      </c>
      <c r="E380" s="17" t="s">
        <v>16</v>
      </c>
      <c r="F380" s="17" t="s">
        <v>57</v>
      </c>
      <c r="G380" s="16">
        <v>8.6</v>
      </c>
      <c r="H380" s="16">
        <v>8.43</v>
      </c>
      <c r="I380" s="19">
        <v>17.03</v>
      </c>
      <c r="J380" s="33"/>
      <c r="K380" s="33"/>
    </row>
    <row r="381">
      <c r="A381" s="20">
        <v>2014.0</v>
      </c>
      <c r="B381" s="21">
        <v>6.0</v>
      </c>
      <c r="C381" s="21">
        <v>1.0</v>
      </c>
      <c r="D381" s="21">
        <v>10.0</v>
      </c>
      <c r="E381" s="22" t="s">
        <v>16</v>
      </c>
      <c r="F381" s="22" t="s">
        <v>35</v>
      </c>
      <c r="G381" s="21">
        <v>6.5</v>
      </c>
      <c r="H381" s="21">
        <v>5.17</v>
      </c>
      <c r="I381" s="23">
        <v>11.67</v>
      </c>
      <c r="J381" s="33"/>
      <c r="K381" s="33"/>
    </row>
    <row r="382">
      <c r="A382" s="15">
        <v>2014.0</v>
      </c>
      <c r="B382" s="16">
        <v>6.0</v>
      </c>
      <c r="C382" s="16">
        <v>1.0</v>
      </c>
      <c r="D382" s="16">
        <v>11.0</v>
      </c>
      <c r="E382" s="17" t="s">
        <v>16</v>
      </c>
      <c r="F382" s="17" t="s">
        <v>26</v>
      </c>
      <c r="G382" s="16">
        <v>7.57</v>
      </c>
      <c r="H382" s="16">
        <v>6.17</v>
      </c>
      <c r="I382" s="19">
        <v>13.74</v>
      </c>
      <c r="J382" s="33"/>
      <c r="K382" s="33"/>
    </row>
    <row r="383">
      <c r="A383" s="20">
        <v>2014.0</v>
      </c>
      <c r="B383" s="21">
        <v>6.0</v>
      </c>
      <c r="C383" s="21">
        <v>1.0</v>
      </c>
      <c r="D383" s="21">
        <v>11.0</v>
      </c>
      <c r="E383" s="22" t="s">
        <v>16</v>
      </c>
      <c r="F383" s="22" t="s">
        <v>59</v>
      </c>
      <c r="G383" s="21">
        <v>7.83</v>
      </c>
      <c r="H383" s="21">
        <v>3.5</v>
      </c>
      <c r="I383" s="23">
        <v>11.33</v>
      </c>
      <c r="J383" s="33"/>
      <c r="K383" s="33"/>
    </row>
    <row r="384">
      <c r="A384" s="15">
        <v>2014.0</v>
      </c>
      <c r="B384" s="16">
        <v>6.0</v>
      </c>
      <c r="C384" s="16">
        <v>1.0</v>
      </c>
      <c r="D384" s="16">
        <v>11.0</v>
      </c>
      <c r="E384" s="17" t="s">
        <v>16</v>
      </c>
      <c r="F384" s="17" t="s">
        <v>50</v>
      </c>
      <c r="G384" s="16">
        <v>3.93</v>
      </c>
      <c r="H384" s="16">
        <v>2.4</v>
      </c>
      <c r="I384" s="19">
        <v>6.33</v>
      </c>
      <c r="J384" s="33"/>
      <c r="K384" s="33"/>
    </row>
    <row r="385">
      <c r="A385" s="20">
        <v>2014.0</v>
      </c>
      <c r="B385" s="21">
        <v>6.0</v>
      </c>
      <c r="C385" s="21">
        <v>1.0</v>
      </c>
      <c r="D385" s="21">
        <v>12.0</v>
      </c>
      <c r="E385" s="22" t="s">
        <v>16</v>
      </c>
      <c r="F385" s="22" t="s">
        <v>32</v>
      </c>
      <c r="G385" s="21">
        <v>8.0</v>
      </c>
      <c r="H385" s="21">
        <v>6.0</v>
      </c>
      <c r="I385" s="23">
        <v>14.0</v>
      </c>
      <c r="J385" s="33"/>
      <c r="K385" s="33"/>
    </row>
    <row r="386">
      <c r="A386" s="15">
        <v>2014.0</v>
      </c>
      <c r="B386" s="16">
        <v>6.0</v>
      </c>
      <c r="C386" s="16">
        <v>1.0</v>
      </c>
      <c r="D386" s="16">
        <v>12.0</v>
      </c>
      <c r="E386" s="17" t="s">
        <v>16</v>
      </c>
      <c r="F386" s="17" t="s">
        <v>31</v>
      </c>
      <c r="G386" s="16">
        <v>7.5</v>
      </c>
      <c r="H386" s="16">
        <v>6.03</v>
      </c>
      <c r="I386" s="19">
        <v>13.53</v>
      </c>
      <c r="J386" s="33"/>
      <c r="K386" s="33"/>
    </row>
    <row r="387">
      <c r="A387" s="20">
        <v>2014.0</v>
      </c>
      <c r="B387" s="21">
        <v>6.0</v>
      </c>
      <c r="C387" s="21">
        <v>1.0</v>
      </c>
      <c r="D387" s="21">
        <v>12.0</v>
      </c>
      <c r="E387" s="22" t="s">
        <v>16</v>
      </c>
      <c r="F387" s="22" t="s">
        <v>122</v>
      </c>
      <c r="G387" s="21">
        <v>5.37</v>
      </c>
      <c r="H387" s="21">
        <v>5.27</v>
      </c>
      <c r="I387" s="23">
        <v>10.64</v>
      </c>
      <c r="J387" s="33"/>
      <c r="K387" s="33"/>
    </row>
    <row r="388">
      <c r="A388" s="15">
        <v>2014.0</v>
      </c>
      <c r="B388" s="16">
        <v>6.0</v>
      </c>
      <c r="C388" s="16">
        <v>2.0</v>
      </c>
      <c r="D388" s="16">
        <v>1.0</v>
      </c>
      <c r="E388" s="17" t="s">
        <v>16</v>
      </c>
      <c r="F388" s="17" t="s">
        <v>30</v>
      </c>
      <c r="G388" s="16">
        <v>7.67</v>
      </c>
      <c r="H388" s="16">
        <v>7.23</v>
      </c>
      <c r="I388" s="19">
        <v>14.9</v>
      </c>
      <c r="J388" s="33"/>
      <c r="K388" s="33"/>
    </row>
    <row r="389">
      <c r="A389" s="20">
        <v>2014.0</v>
      </c>
      <c r="B389" s="21">
        <v>6.0</v>
      </c>
      <c r="C389" s="21">
        <v>2.0</v>
      </c>
      <c r="D389" s="21">
        <v>1.0</v>
      </c>
      <c r="E389" s="22" t="s">
        <v>16</v>
      </c>
      <c r="F389" s="22" t="s">
        <v>138</v>
      </c>
      <c r="G389" s="21">
        <v>5.77</v>
      </c>
      <c r="H389" s="21">
        <v>5.5</v>
      </c>
      <c r="I389" s="23">
        <v>11.27</v>
      </c>
      <c r="J389" s="33"/>
      <c r="K389" s="33"/>
    </row>
    <row r="390">
      <c r="A390" s="15">
        <v>2014.0</v>
      </c>
      <c r="B390" s="16">
        <v>6.0</v>
      </c>
      <c r="C390" s="16">
        <v>2.0</v>
      </c>
      <c r="D390" s="16">
        <v>2.0</v>
      </c>
      <c r="E390" s="17" t="s">
        <v>16</v>
      </c>
      <c r="F390" s="17" t="s">
        <v>39</v>
      </c>
      <c r="G390" s="16">
        <v>6.33</v>
      </c>
      <c r="H390" s="16">
        <v>6.1</v>
      </c>
      <c r="I390" s="19">
        <v>12.43</v>
      </c>
      <c r="J390" s="33"/>
      <c r="K390" s="33"/>
    </row>
    <row r="391">
      <c r="A391" s="20">
        <v>2014.0</v>
      </c>
      <c r="B391" s="21">
        <v>6.0</v>
      </c>
      <c r="C391" s="21">
        <v>2.0</v>
      </c>
      <c r="D391" s="21">
        <v>2.0</v>
      </c>
      <c r="E391" s="22" t="s">
        <v>16</v>
      </c>
      <c r="F391" s="22" t="s">
        <v>91</v>
      </c>
      <c r="G391" s="21">
        <v>5.5</v>
      </c>
      <c r="H391" s="21">
        <v>4.93</v>
      </c>
      <c r="I391" s="23">
        <v>10.43</v>
      </c>
      <c r="J391" s="33"/>
      <c r="K391" s="33"/>
    </row>
    <row r="392">
      <c r="A392" s="15">
        <v>2014.0</v>
      </c>
      <c r="B392" s="16">
        <v>6.0</v>
      </c>
      <c r="C392" s="16">
        <v>2.0</v>
      </c>
      <c r="D392" s="16">
        <v>3.0</v>
      </c>
      <c r="E392" s="17" t="s">
        <v>16</v>
      </c>
      <c r="F392" s="17" t="s">
        <v>56</v>
      </c>
      <c r="G392" s="16">
        <v>8.17</v>
      </c>
      <c r="H392" s="16">
        <v>7.93</v>
      </c>
      <c r="I392" s="19">
        <v>16.1</v>
      </c>
      <c r="J392" s="33"/>
      <c r="K392" s="33"/>
    </row>
    <row r="393">
      <c r="A393" s="20">
        <v>2014.0</v>
      </c>
      <c r="B393" s="21">
        <v>6.0</v>
      </c>
      <c r="C393" s="21">
        <v>2.0</v>
      </c>
      <c r="D393" s="21">
        <v>3.0</v>
      </c>
      <c r="E393" s="22" t="s">
        <v>16</v>
      </c>
      <c r="F393" s="22" t="s">
        <v>131</v>
      </c>
      <c r="G393" s="21">
        <v>4.43</v>
      </c>
      <c r="H393" s="21">
        <v>4.2</v>
      </c>
      <c r="I393" s="23">
        <v>8.63</v>
      </c>
      <c r="J393" s="33"/>
      <c r="K393" s="33"/>
    </row>
    <row r="394">
      <c r="A394" s="15">
        <v>2014.0</v>
      </c>
      <c r="B394" s="16">
        <v>6.0</v>
      </c>
      <c r="C394" s="16">
        <v>2.0</v>
      </c>
      <c r="D394" s="16">
        <v>4.0</v>
      </c>
      <c r="E394" s="17" t="s">
        <v>16</v>
      </c>
      <c r="F394" s="17" t="s">
        <v>31</v>
      </c>
      <c r="G394" s="16">
        <v>9.33</v>
      </c>
      <c r="H394" s="16">
        <v>6.0</v>
      </c>
      <c r="I394" s="19">
        <v>15.33</v>
      </c>
      <c r="J394" s="33"/>
      <c r="K394" s="33"/>
    </row>
    <row r="395">
      <c r="A395" s="20">
        <v>2014.0</v>
      </c>
      <c r="B395" s="21">
        <v>6.0</v>
      </c>
      <c r="C395" s="21">
        <v>2.0</v>
      </c>
      <c r="D395" s="21">
        <v>4.0</v>
      </c>
      <c r="E395" s="22" t="s">
        <v>16</v>
      </c>
      <c r="F395" s="22" t="s">
        <v>99</v>
      </c>
      <c r="G395" s="21">
        <v>3.0</v>
      </c>
      <c r="H395" s="21">
        <v>1.8</v>
      </c>
      <c r="I395" s="23">
        <v>4.8</v>
      </c>
      <c r="J395" s="33"/>
      <c r="K395" s="33"/>
    </row>
    <row r="396">
      <c r="A396" s="15">
        <v>2014.0</v>
      </c>
      <c r="B396" s="16">
        <v>6.0</v>
      </c>
      <c r="C396" s="16">
        <v>2.0</v>
      </c>
      <c r="D396" s="16">
        <v>5.0</v>
      </c>
      <c r="E396" s="17" t="s">
        <v>16</v>
      </c>
      <c r="F396" s="17" t="s">
        <v>59</v>
      </c>
      <c r="G396" s="16">
        <v>7.5</v>
      </c>
      <c r="H396" s="16">
        <v>7.2</v>
      </c>
      <c r="I396" s="19">
        <v>14.7</v>
      </c>
      <c r="J396" s="33"/>
      <c r="K396" s="33"/>
    </row>
    <row r="397">
      <c r="A397" s="20">
        <v>2014.0</v>
      </c>
      <c r="B397" s="21">
        <v>6.0</v>
      </c>
      <c r="C397" s="21">
        <v>2.0</v>
      </c>
      <c r="D397" s="21">
        <v>5.0</v>
      </c>
      <c r="E397" s="22" t="s">
        <v>16</v>
      </c>
      <c r="F397" s="22" t="s">
        <v>34</v>
      </c>
      <c r="G397" s="21">
        <v>8.93</v>
      </c>
      <c r="H397" s="21">
        <v>7.0</v>
      </c>
      <c r="I397" s="23">
        <v>15.93</v>
      </c>
      <c r="J397" s="33"/>
      <c r="K397" s="33"/>
    </row>
    <row r="398">
      <c r="A398" s="15">
        <v>2014.0</v>
      </c>
      <c r="B398" s="16">
        <v>6.0</v>
      </c>
      <c r="C398" s="16">
        <v>2.0</v>
      </c>
      <c r="D398" s="16">
        <v>6.0</v>
      </c>
      <c r="E398" s="17" t="s">
        <v>16</v>
      </c>
      <c r="F398" s="17" t="s">
        <v>57</v>
      </c>
      <c r="G398" s="16">
        <v>6.4</v>
      </c>
      <c r="H398" s="16">
        <v>5.67</v>
      </c>
      <c r="I398" s="19">
        <v>12.07</v>
      </c>
      <c r="J398" s="33"/>
      <c r="K398" s="33"/>
    </row>
    <row r="399">
      <c r="A399" s="20">
        <v>2014.0</v>
      </c>
      <c r="B399" s="21">
        <v>6.0</v>
      </c>
      <c r="C399" s="21">
        <v>2.0</v>
      </c>
      <c r="D399" s="21">
        <v>6.0</v>
      </c>
      <c r="E399" s="22" t="s">
        <v>16</v>
      </c>
      <c r="F399" s="22" t="s">
        <v>126</v>
      </c>
      <c r="G399" s="21">
        <v>5.0</v>
      </c>
      <c r="H399" s="21">
        <v>4.87</v>
      </c>
      <c r="I399" s="23">
        <v>9.87</v>
      </c>
      <c r="J399" s="33"/>
      <c r="K399" s="33"/>
    </row>
    <row r="400">
      <c r="A400" s="15">
        <v>2014.0</v>
      </c>
      <c r="B400" s="16">
        <v>6.0</v>
      </c>
      <c r="C400" s="16">
        <v>2.0</v>
      </c>
      <c r="D400" s="16">
        <v>7.0</v>
      </c>
      <c r="E400" s="17" t="s">
        <v>16</v>
      </c>
      <c r="F400" s="17" t="s">
        <v>33</v>
      </c>
      <c r="G400" s="16">
        <v>4.0</v>
      </c>
      <c r="H400" s="16">
        <v>3.93</v>
      </c>
      <c r="I400" s="19">
        <v>7.93</v>
      </c>
      <c r="J400" s="33"/>
      <c r="K400" s="33"/>
    </row>
    <row r="401">
      <c r="A401" s="20">
        <v>2014.0</v>
      </c>
      <c r="B401" s="21">
        <v>6.0</v>
      </c>
      <c r="C401" s="21">
        <v>2.0</v>
      </c>
      <c r="D401" s="21">
        <v>7.0</v>
      </c>
      <c r="E401" s="22" t="s">
        <v>16</v>
      </c>
      <c r="F401" s="22" t="s">
        <v>76</v>
      </c>
      <c r="G401" s="21">
        <v>6.0</v>
      </c>
      <c r="H401" s="21">
        <v>4.83</v>
      </c>
      <c r="I401" s="23">
        <v>10.83</v>
      </c>
      <c r="J401" s="33"/>
      <c r="K401" s="33"/>
    </row>
    <row r="402">
      <c r="A402" s="15">
        <v>2014.0</v>
      </c>
      <c r="B402" s="16">
        <v>6.0</v>
      </c>
      <c r="C402" s="16">
        <v>2.0</v>
      </c>
      <c r="D402" s="16">
        <v>8.0</v>
      </c>
      <c r="E402" s="17" t="s">
        <v>16</v>
      </c>
      <c r="F402" s="17" t="s">
        <v>125</v>
      </c>
      <c r="G402" s="16">
        <v>7.67</v>
      </c>
      <c r="H402" s="16">
        <v>6.5</v>
      </c>
      <c r="I402" s="19">
        <v>14.17</v>
      </c>
      <c r="J402" s="33"/>
      <c r="K402" s="33"/>
    </row>
    <row r="403">
      <c r="A403" s="20">
        <v>2014.0</v>
      </c>
      <c r="B403" s="21">
        <v>6.0</v>
      </c>
      <c r="C403" s="21">
        <v>2.0</v>
      </c>
      <c r="D403" s="21">
        <v>8.0</v>
      </c>
      <c r="E403" s="22" t="s">
        <v>16</v>
      </c>
      <c r="F403" s="22" t="s">
        <v>120</v>
      </c>
      <c r="G403" s="21">
        <v>8.17</v>
      </c>
      <c r="H403" s="21">
        <v>5.73</v>
      </c>
      <c r="I403" s="23">
        <v>13.9</v>
      </c>
      <c r="J403" s="33"/>
      <c r="K403" s="33"/>
    </row>
    <row r="404">
      <c r="A404" s="15">
        <v>2014.0</v>
      </c>
      <c r="B404" s="16">
        <v>6.0</v>
      </c>
      <c r="C404" s="16">
        <v>2.0</v>
      </c>
      <c r="D404" s="16">
        <v>9.0</v>
      </c>
      <c r="E404" s="17" t="s">
        <v>16</v>
      </c>
      <c r="F404" s="17" t="s">
        <v>55</v>
      </c>
      <c r="G404" s="16">
        <v>8.5</v>
      </c>
      <c r="H404" s="16">
        <v>7.87</v>
      </c>
      <c r="I404" s="19">
        <v>16.37</v>
      </c>
      <c r="J404" s="33"/>
      <c r="K404" s="33"/>
    </row>
    <row r="405">
      <c r="A405" s="20">
        <v>2014.0</v>
      </c>
      <c r="B405" s="21">
        <v>6.0</v>
      </c>
      <c r="C405" s="21">
        <v>2.0</v>
      </c>
      <c r="D405" s="21">
        <v>9.0</v>
      </c>
      <c r="E405" s="22" t="s">
        <v>16</v>
      </c>
      <c r="F405" s="22" t="s">
        <v>35</v>
      </c>
      <c r="G405" s="21">
        <v>8.4</v>
      </c>
      <c r="H405" s="21">
        <v>4.54</v>
      </c>
      <c r="I405" s="23">
        <v>12.94</v>
      </c>
      <c r="J405" s="33"/>
      <c r="K405" s="33"/>
    </row>
    <row r="406">
      <c r="A406" s="15">
        <v>2014.0</v>
      </c>
      <c r="B406" s="16">
        <v>6.0</v>
      </c>
      <c r="C406" s="16">
        <v>2.0</v>
      </c>
      <c r="D406" s="16">
        <v>10.0</v>
      </c>
      <c r="E406" s="17" t="s">
        <v>16</v>
      </c>
      <c r="F406" s="17" t="s">
        <v>38</v>
      </c>
      <c r="G406" s="16">
        <v>7.0</v>
      </c>
      <c r="H406" s="16">
        <v>6.67</v>
      </c>
      <c r="I406" s="19">
        <v>13.67</v>
      </c>
      <c r="J406" s="33"/>
      <c r="K406" s="33"/>
    </row>
    <row r="407">
      <c r="A407" s="20">
        <v>2014.0</v>
      </c>
      <c r="B407" s="21">
        <v>6.0</v>
      </c>
      <c r="C407" s="21">
        <v>2.0</v>
      </c>
      <c r="D407" s="21">
        <v>10.0</v>
      </c>
      <c r="E407" s="22" t="s">
        <v>16</v>
      </c>
      <c r="F407" s="22" t="s">
        <v>50</v>
      </c>
      <c r="G407" s="21">
        <v>7.6</v>
      </c>
      <c r="H407" s="21">
        <v>5.93</v>
      </c>
      <c r="I407" s="23">
        <v>13.53</v>
      </c>
      <c r="J407" s="33"/>
      <c r="K407" s="33"/>
    </row>
    <row r="408">
      <c r="A408" s="15">
        <v>2014.0</v>
      </c>
      <c r="B408" s="16">
        <v>6.0</v>
      </c>
      <c r="C408" s="16">
        <v>2.0</v>
      </c>
      <c r="D408" s="16">
        <v>11.0</v>
      </c>
      <c r="E408" s="17" t="s">
        <v>16</v>
      </c>
      <c r="F408" s="17" t="s">
        <v>123</v>
      </c>
      <c r="G408" s="16">
        <v>9.93</v>
      </c>
      <c r="H408" s="16">
        <v>8.0</v>
      </c>
      <c r="I408" s="19">
        <v>17.93</v>
      </c>
      <c r="J408" s="33"/>
      <c r="K408" s="33"/>
    </row>
    <row r="409">
      <c r="A409" s="20">
        <v>2014.0</v>
      </c>
      <c r="B409" s="21">
        <v>6.0</v>
      </c>
      <c r="C409" s="21">
        <v>2.0</v>
      </c>
      <c r="D409" s="21">
        <v>11.0</v>
      </c>
      <c r="E409" s="22" t="s">
        <v>16</v>
      </c>
      <c r="F409" s="22" t="s">
        <v>122</v>
      </c>
      <c r="G409" s="21">
        <v>7.17</v>
      </c>
      <c r="H409" s="21">
        <v>3.5</v>
      </c>
      <c r="I409" s="23">
        <v>10.67</v>
      </c>
      <c r="J409" s="33"/>
      <c r="K409" s="33"/>
    </row>
    <row r="410">
      <c r="A410" s="15">
        <v>2014.0</v>
      </c>
      <c r="B410" s="16">
        <v>6.0</v>
      </c>
      <c r="C410" s="16">
        <v>2.0</v>
      </c>
      <c r="D410" s="16">
        <v>12.0</v>
      </c>
      <c r="E410" s="17" t="s">
        <v>16</v>
      </c>
      <c r="F410" s="17" t="s">
        <v>47</v>
      </c>
      <c r="G410" s="16">
        <v>6.77</v>
      </c>
      <c r="H410" s="16">
        <v>4.83</v>
      </c>
      <c r="I410" s="19">
        <v>11.6</v>
      </c>
      <c r="J410" s="33"/>
      <c r="K410" s="33"/>
    </row>
    <row r="411">
      <c r="A411" s="20">
        <v>2014.0</v>
      </c>
      <c r="B411" s="21">
        <v>6.0</v>
      </c>
      <c r="C411" s="21">
        <v>2.0</v>
      </c>
      <c r="D411" s="21">
        <v>12.0</v>
      </c>
      <c r="E411" s="22" t="s">
        <v>16</v>
      </c>
      <c r="F411" s="22" t="s">
        <v>124</v>
      </c>
      <c r="G411" s="21">
        <v>6.5</v>
      </c>
      <c r="H411" s="21">
        <v>4.17</v>
      </c>
      <c r="I411" s="23">
        <v>10.67</v>
      </c>
      <c r="J411" s="33"/>
      <c r="K411" s="33"/>
    </row>
    <row r="412">
      <c r="A412" s="15">
        <v>2014.0</v>
      </c>
      <c r="B412" s="16">
        <v>6.0</v>
      </c>
      <c r="C412" s="16">
        <v>3.0</v>
      </c>
      <c r="D412" s="16">
        <v>1.0</v>
      </c>
      <c r="E412" s="17" t="s">
        <v>16</v>
      </c>
      <c r="F412" s="17" t="s">
        <v>39</v>
      </c>
      <c r="G412" s="16">
        <v>7.83</v>
      </c>
      <c r="H412" s="16">
        <v>7.0</v>
      </c>
      <c r="I412" s="19">
        <v>14.83</v>
      </c>
      <c r="J412" s="33"/>
      <c r="K412" s="33"/>
    </row>
    <row r="413">
      <c r="A413" s="20">
        <v>2014.0</v>
      </c>
      <c r="B413" s="21">
        <v>6.0</v>
      </c>
      <c r="C413" s="21">
        <v>3.0</v>
      </c>
      <c r="D413" s="21">
        <v>1.0</v>
      </c>
      <c r="E413" s="22" t="s">
        <v>16</v>
      </c>
      <c r="F413" s="22" t="s">
        <v>29</v>
      </c>
      <c r="G413" s="21">
        <v>5.33</v>
      </c>
      <c r="H413" s="21">
        <v>3.17</v>
      </c>
      <c r="I413" s="23">
        <v>8.5</v>
      </c>
      <c r="J413" s="33"/>
      <c r="K413" s="33"/>
    </row>
    <row r="414">
      <c r="A414" s="15">
        <v>2014.0</v>
      </c>
      <c r="B414" s="16">
        <v>6.0</v>
      </c>
      <c r="C414" s="16">
        <v>3.0</v>
      </c>
      <c r="D414" s="16">
        <v>2.0</v>
      </c>
      <c r="E414" s="17" t="s">
        <v>16</v>
      </c>
      <c r="F414" s="17" t="s">
        <v>45</v>
      </c>
      <c r="G414" s="16">
        <v>6.6</v>
      </c>
      <c r="H414" s="16">
        <v>5.13</v>
      </c>
      <c r="I414" s="19">
        <v>11.73</v>
      </c>
      <c r="J414" s="33"/>
      <c r="K414" s="33"/>
    </row>
    <row r="415">
      <c r="A415" s="20">
        <v>2014.0</v>
      </c>
      <c r="B415" s="21">
        <v>6.0</v>
      </c>
      <c r="C415" s="21">
        <v>3.0</v>
      </c>
      <c r="D415" s="21">
        <v>2.0</v>
      </c>
      <c r="E415" s="22" t="s">
        <v>16</v>
      </c>
      <c r="F415" s="22" t="s">
        <v>55</v>
      </c>
      <c r="G415" s="21">
        <v>5.6</v>
      </c>
      <c r="H415" s="21">
        <v>5.17</v>
      </c>
      <c r="I415" s="23">
        <v>10.77</v>
      </c>
      <c r="J415" s="33"/>
      <c r="K415" s="33"/>
    </row>
    <row r="416">
      <c r="A416" s="15">
        <v>2014.0</v>
      </c>
      <c r="B416" s="16">
        <v>6.0</v>
      </c>
      <c r="C416" s="16">
        <v>3.0</v>
      </c>
      <c r="D416" s="16">
        <v>3.0</v>
      </c>
      <c r="E416" s="17" t="s">
        <v>16</v>
      </c>
      <c r="F416" s="17" t="s">
        <v>62</v>
      </c>
      <c r="G416" s="16">
        <v>6.77</v>
      </c>
      <c r="H416" s="16">
        <v>5.97</v>
      </c>
      <c r="I416" s="19">
        <v>12.74</v>
      </c>
      <c r="J416" s="33"/>
      <c r="K416" s="33"/>
    </row>
    <row r="417">
      <c r="A417" s="20">
        <v>2014.0</v>
      </c>
      <c r="B417" s="21">
        <v>6.0</v>
      </c>
      <c r="C417" s="21">
        <v>3.0</v>
      </c>
      <c r="D417" s="21">
        <v>3.0</v>
      </c>
      <c r="E417" s="22" t="s">
        <v>16</v>
      </c>
      <c r="F417" s="22" t="s">
        <v>47</v>
      </c>
      <c r="G417" s="21">
        <v>6.33</v>
      </c>
      <c r="H417" s="21">
        <v>6.0</v>
      </c>
      <c r="I417" s="23">
        <v>12.33</v>
      </c>
      <c r="J417" s="33"/>
      <c r="K417" s="33"/>
    </row>
    <row r="418">
      <c r="A418" s="15">
        <v>2014.0</v>
      </c>
      <c r="B418" s="16">
        <v>6.0</v>
      </c>
      <c r="C418" s="16">
        <v>3.0</v>
      </c>
      <c r="D418" s="16">
        <v>4.0</v>
      </c>
      <c r="E418" s="17" t="s">
        <v>16</v>
      </c>
      <c r="F418" s="17" t="s">
        <v>42</v>
      </c>
      <c r="G418" s="16">
        <v>8.87</v>
      </c>
      <c r="H418" s="16">
        <v>6.17</v>
      </c>
      <c r="I418" s="19">
        <v>15.04</v>
      </c>
      <c r="J418" s="33"/>
      <c r="K418" s="33"/>
    </row>
    <row r="419">
      <c r="A419" s="20">
        <v>2014.0</v>
      </c>
      <c r="B419" s="21">
        <v>6.0</v>
      </c>
      <c r="C419" s="21">
        <v>3.0</v>
      </c>
      <c r="D419" s="21">
        <v>4.0</v>
      </c>
      <c r="E419" s="22" t="s">
        <v>16</v>
      </c>
      <c r="F419" s="22" t="s">
        <v>38</v>
      </c>
      <c r="G419" s="21">
        <v>7.87</v>
      </c>
      <c r="H419" s="21">
        <v>6.5</v>
      </c>
      <c r="I419" s="23">
        <v>14.37</v>
      </c>
      <c r="J419" s="33"/>
      <c r="K419" s="33"/>
    </row>
    <row r="420">
      <c r="A420" s="15">
        <v>2014.0</v>
      </c>
      <c r="B420" s="16">
        <v>6.0</v>
      </c>
      <c r="C420" s="16">
        <v>3.0</v>
      </c>
      <c r="D420" s="16">
        <v>5.0</v>
      </c>
      <c r="E420" s="17" t="s">
        <v>16</v>
      </c>
      <c r="F420" s="17" t="s">
        <v>32</v>
      </c>
      <c r="G420" s="16">
        <v>6.77</v>
      </c>
      <c r="H420" s="16">
        <v>6.53</v>
      </c>
      <c r="I420" s="19">
        <v>13.3</v>
      </c>
      <c r="J420" s="33"/>
      <c r="K420" s="33"/>
    </row>
    <row r="421">
      <c r="A421" s="20">
        <v>2014.0</v>
      </c>
      <c r="B421" s="21">
        <v>6.0</v>
      </c>
      <c r="C421" s="21">
        <v>3.0</v>
      </c>
      <c r="D421" s="21">
        <v>5.0</v>
      </c>
      <c r="E421" s="22" t="s">
        <v>16</v>
      </c>
      <c r="F421" s="22" t="s">
        <v>31</v>
      </c>
      <c r="G421" s="21">
        <v>7.1</v>
      </c>
      <c r="H421" s="21">
        <v>4.0</v>
      </c>
      <c r="I421" s="23">
        <v>11.1</v>
      </c>
      <c r="J421" s="33"/>
      <c r="K421" s="33"/>
    </row>
    <row r="422">
      <c r="A422" s="15">
        <v>2014.0</v>
      </c>
      <c r="B422" s="16">
        <v>6.0</v>
      </c>
      <c r="C422" s="16">
        <v>3.0</v>
      </c>
      <c r="D422" s="16">
        <v>6.0</v>
      </c>
      <c r="E422" s="17" t="s">
        <v>16</v>
      </c>
      <c r="F422" s="17" t="s">
        <v>37</v>
      </c>
      <c r="G422" s="16">
        <v>7.97</v>
      </c>
      <c r="H422" s="16">
        <v>7.4</v>
      </c>
      <c r="I422" s="19">
        <v>15.37</v>
      </c>
      <c r="J422" s="33"/>
      <c r="K422" s="33"/>
    </row>
    <row r="423">
      <c r="A423" s="20">
        <v>2014.0</v>
      </c>
      <c r="B423" s="21">
        <v>6.0</v>
      </c>
      <c r="C423" s="21">
        <v>3.0</v>
      </c>
      <c r="D423" s="21">
        <v>6.0</v>
      </c>
      <c r="E423" s="22" t="s">
        <v>16</v>
      </c>
      <c r="F423" s="22" t="s">
        <v>34</v>
      </c>
      <c r="G423" s="21">
        <v>9.33</v>
      </c>
      <c r="H423" s="21">
        <v>9.03</v>
      </c>
      <c r="I423" s="23">
        <v>18.36</v>
      </c>
      <c r="J423" s="33"/>
      <c r="K423" s="33"/>
    </row>
    <row r="424">
      <c r="A424" s="15">
        <v>2014.0</v>
      </c>
      <c r="B424" s="16">
        <v>6.0</v>
      </c>
      <c r="C424" s="16">
        <v>3.0</v>
      </c>
      <c r="D424" s="16">
        <v>7.0</v>
      </c>
      <c r="E424" s="17" t="s">
        <v>16</v>
      </c>
      <c r="F424" s="17" t="s">
        <v>30</v>
      </c>
      <c r="G424" s="16">
        <v>9.43</v>
      </c>
      <c r="H424" s="16">
        <v>6.03</v>
      </c>
      <c r="I424" s="19">
        <v>15.46</v>
      </c>
      <c r="J424" s="33"/>
      <c r="K424" s="33"/>
    </row>
    <row r="425">
      <c r="A425" s="20">
        <v>2014.0</v>
      </c>
      <c r="B425" s="21">
        <v>6.0</v>
      </c>
      <c r="C425" s="21">
        <v>3.0</v>
      </c>
      <c r="D425" s="21">
        <v>7.0</v>
      </c>
      <c r="E425" s="22" t="s">
        <v>16</v>
      </c>
      <c r="F425" s="22" t="s">
        <v>107</v>
      </c>
      <c r="G425" s="21">
        <v>8.0</v>
      </c>
      <c r="H425" s="21">
        <v>7.17</v>
      </c>
      <c r="I425" s="23">
        <v>15.17</v>
      </c>
      <c r="J425" s="33"/>
      <c r="K425" s="33"/>
    </row>
    <row r="426">
      <c r="A426" s="15">
        <v>2014.0</v>
      </c>
      <c r="B426" s="16">
        <v>6.0</v>
      </c>
      <c r="C426" s="16">
        <v>3.0</v>
      </c>
      <c r="D426" s="16">
        <v>8.0</v>
      </c>
      <c r="E426" s="17" t="s">
        <v>16</v>
      </c>
      <c r="F426" s="17" t="s">
        <v>26</v>
      </c>
      <c r="G426" s="16">
        <v>4.5</v>
      </c>
      <c r="H426" s="16">
        <v>3.5</v>
      </c>
      <c r="I426" s="19">
        <v>8.0</v>
      </c>
      <c r="J426" s="33"/>
      <c r="K426" s="33"/>
    </row>
    <row r="427">
      <c r="A427" s="20">
        <v>2014.0</v>
      </c>
      <c r="B427" s="21">
        <v>6.0</v>
      </c>
      <c r="C427" s="21">
        <v>3.0</v>
      </c>
      <c r="D427" s="21">
        <v>8.0</v>
      </c>
      <c r="E427" s="22" t="s">
        <v>16</v>
      </c>
      <c r="F427" s="22" t="s">
        <v>57</v>
      </c>
      <c r="G427" s="21">
        <v>7.33</v>
      </c>
      <c r="H427" s="21">
        <v>6.07</v>
      </c>
      <c r="I427" s="23">
        <v>13.4</v>
      </c>
      <c r="J427" s="33"/>
      <c r="K427" s="33"/>
    </row>
    <row r="428">
      <c r="A428" s="15">
        <v>2014.0</v>
      </c>
      <c r="B428" s="16">
        <v>6.0</v>
      </c>
      <c r="C428" s="16">
        <v>3.0</v>
      </c>
      <c r="D428" s="16">
        <v>9.0</v>
      </c>
      <c r="E428" s="17" t="s">
        <v>16</v>
      </c>
      <c r="F428" s="17" t="s">
        <v>56</v>
      </c>
      <c r="G428" s="16">
        <v>3.67</v>
      </c>
      <c r="H428" s="16">
        <v>1.77</v>
      </c>
      <c r="I428" s="19">
        <v>5.44</v>
      </c>
      <c r="J428" s="33"/>
      <c r="K428" s="33"/>
    </row>
    <row r="429">
      <c r="A429" s="20">
        <v>2014.0</v>
      </c>
      <c r="B429" s="21">
        <v>6.0</v>
      </c>
      <c r="C429" s="21">
        <v>3.0</v>
      </c>
      <c r="D429" s="21">
        <v>9.0</v>
      </c>
      <c r="E429" s="22" t="s">
        <v>16</v>
      </c>
      <c r="F429" s="22" t="s">
        <v>123</v>
      </c>
      <c r="G429" s="21">
        <v>6.67</v>
      </c>
      <c r="H429" s="21">
        <v>4.93</v>
      </c>
      <c r="I429" s="23">
        <v>11.6</v>
      </c>
      <c r="J429" s="33"/>
      <c r="K429" s="33"/>
    </row>
    <row r="430">
      <c r="A430" s="15">
        <v>2014.0</v>
      </c>
      <c r="B430" s="16">
        <v>6.0</v>
      </c>
      <c r="C430" s="16">
        <v>3.0</v>
      </c>
      <c r="D430" s="16">
        <v>10.0</v>
      </c>
      <c r="E430" s="17" t="s">
        <v>16</v>
      </c>
      <c r="F430" s="17" t="s">
        <v>41</v>
      </c>
      <c r="G430" s="16">
        <v>8.5</v>
      </c>
      <c r="H430" s="16">
        <v>7.83</v>
      </c>
      <c r="I430" s="19">
        <v>16.33</v>
      </c>
      <c r="J430" s="33"/>
      <c r="K430" s="33"/>
    </row>
    <row r="431">
      <c r="A431" s="20">
        <v>2014.0</v>
      </c>
      <c r="B431" s="21">
        <v>6.0</v>
      </c>
      <c r="C431" s="21">
        <v>3.0</v>
      </c>
      <c r="D431" s="21">
        <v>10.0</v>
      </c>
      <c r="E431" s="22" t="s">
        <v>16</v>
      </c>
      <c r="F431" s="22" t="s">
        <v>60</v>
      </c>
      <c r="G431" s="21">
        <v>7.0</v>
      </c>
      <c r="H431" s="21">
        <v>3.27</v>
      </c>
      <c r="I431" s="23">
        <v>10.27</v>
      </c>
      <c r="J431" s="33"/>
      <c r="K431" s="33"/>
    </row>
    <row r="432">
      <c r="A432" s="15">
        <v>2014.0</v>
      </c>
      <c r="B432" s="16">
        <v>6.0</v>
      </c>
      <c r="C432" s="16">
        <v>3.0</v>
      </c>
      <c r="D432" s="16">
        <v>11.0</v>
      </c>
      <c r="E432" s="17" t="s">
        <v>16</v>
      </c>
      <c r="F432" s="17" t="s">
        <v>28</v>
      </c>
      <c r="G432" s="16">
        <v>8.0</v>
      </c>
      <c r="H432" s="16">
        <v>5.87</v>
      </c>
      <c r="I432" s="19">
        <v>13.87</v>
      </c>
      <c r="J432" s="33"/>
      <c r="K432" s="33"/>
    </row>
    <row r="433">
      <c r="A433" s="20">
        <v>2014.0</v>
      </c>
      <c r="B433" s="21">
        <v>6.0</v>
      </c>
      <c r="C433" s="21">
        <v>3.0</v>
      </c>
      <c r="D433" s="21">
        <v>11.0</v>
      </c>
      <c r="E433" s="22" t="s">
        <v>16</v>
      </c>
      <c r="F433" s="22" t="s">
        <v>125</v>
      </c>
      <c r="G433" s="21">
        <v>7.0</v>
      </c>
      <c r="H433" s="21">
        <v>7.0</v>
      </c>
      <c r="I433" s="23">
        <v>14.0</v>
      </c>
      <c r="J433" s="33"/>
      <c r="K433" s="33"/>
    </row>
    <row r="434">
      <c r="A434" s="15">
        <v>2014.0</v>
      </c>
      <c r="B434" s="16">
        <v>6.0</v>
      </c>
      <c r="C434" s="16">
        <v>3.0</v>
      </c>
      <c r="D434" s="16">
        <v>12.0</v>
      </c>
      <c r="E434" s="17" t="s">
        <v>16</v>
      </c>
      <c r="F434" s="17" t="s">
        <v>27</v>
      </c>
      <c r="G434" s="16">
        <v>5.33</v>
      </c>
      <c r="H434" s="16">
        <v>5.27</v>
      </c>
      <c r="I434" s="19">
        <v>10.6</v>
      </c>
      <c r="J434" s="33"/>
      <c r="K434" s="33"/>
    </row>
    <row r="435">
      <c r="A435" s="20">
        <v>2014.0</v>
      </c>
      <c r="B435" s="21">
        <v>6.0</v>
      </c>
      <c r="C435" s="21">
        <v>3.0</v>
      </c>
      <c r="D435" s="21">
        <v>12.0</v>
      </c>
      <c r="E435" s="22" t="s">
        <v>16</v>
      </c>
      <c r="F435" s="22" t="s">
        <v>76</v>
      </c>
      <c r="G435" s="21">
        <v>6.33</v>
      </c>
      <c r="H435" s="21">
        <v>5.17</v>
      </c>
      <c r="I435" s="23">
        <v>11.5</v>
      </c>
      <c r="J435" s="33"/>
      <c r="K435" s="33"/>
    </row>
    <row r="436">
      <c r="A436" s="15">
        <v>2014.0</v>
      </c>
      <c r="B436" s="16">
        <v>6.0</v>
      </c>
      <c r="C436" s="16">
        <v>4.0</v>
      </c>
      <c r="D436" s="16">
        <v>1.0</v>
      </c>
      <c r="E436" s="17" t="s">
        <v>16</v>
      </c>
      <c r="F436" s="17" t="s">
        <v>39</v>
      </c>
      <c r="G436" s="16">
        <v>8.77</v>
      </c>
      <c r="H436" s="16">
        <v>7.67</v>
      </c>
      <c r="I436" s="19">
        <v>16.44</v>
      </c>
      <c r="J436" s="33"/>
      <c r="K436" s="33"/>
    </row>
    <row r="437">
      <c r="A437" s="20">
        <v>2014.0</v>
      </c>
      <c r="B437" s="21">
        <v>6.0</v>
      </c>
      <c r="C437" s="21">
        <v>4.0</v>
      </c>
      <c r="D437" s="21">
        <v>1.0</v>
      </c>
      <c r="E437" s="22" t="s">
        <v>16</v>
      </c>
      <c r="F437" s="22" t="s">
        <v>45</v>
      </c>
      <c r="G437" s="21">
        <v>5.5</v>
      </c>
      <c r="H437" s="21">
        <v>2.97</v>
      </c>
      <c r="I437" s="23">
        <v>8.47</v>
      </c>
      <c r="J437" s="33"/>
      <c r="K437" s="33"/>
    </row>
    <row r="438">
      <c r="A438" s="15">
        <v>2014.0</v>
      </c>
      <c r="B438" s="16">
        <v>6.0</v>
      </c>
      <c r="C438" s="16">
        <v>4.0</v>
      </c>
      <c r="D438" s="16">
        <v>1.0</v>
      </c>
      <c r="E438" s="17" t="s">
        <v>16</v>
      </c>
      <c r="F438" s="17" t="s">
        <v>62</v>
      </c>
      <c r="G438" s="16">
        <v>5.0</v>
      </c>
      <c r="H438" s="16">
        <v>3.4</v>
      </c>
      <c r="I438" s="19">
        <v>8.4</v>
      </c>
      <c r="J438" s="33"/>
      <c r="K438" s="33"/>
    </row>
    <row r="439">
      <c r="A439" s="20">
        <v>2014.0</v>
      </c>
      <c r="B439" s="21">
        <v>6.0</v>
      </c>
      <c r="C439" s="21">
        <v>4.0</v>
      </c>
      <c r="D439" s="21">
        <v>2.0</v>
      </c>
      <c r="E439" s="22" t="s">
        <v>16</v>
      </c>
      <c r="F439" s="22" t="s">
        <v>42</v>
      </c>
      <c r="G439" s="21">
        <v>5.27</v>
      </c>
      <c r="H439" s="21">
        <v>5.1</v>
      </c>
      <c r="I439" s="23">
        <v>10.37</v>
      </c>
      <c r="J439" s="33"/>
      <c r="K439" s="33"/>
    </row>
    <row r="440">
      <c r="A440" s="15">
        <v>2014.0</v>
      </c>
      <c r="B440" s="16">
        <v>6.0</v>
      </c>
      <c r="C440" s="16">
        <v>4.0</v>
      </c>
      <c r="D440" s="16">
        <v>2.0</v>
      </c>
      <c r="E440" s="17" t="s">
        <v>16</v>
      </c>
      <c r="F440" s="17" t="s">
        <v>32</v>
      </c>
      <c r="G440" s="16">
        <v>7.67</v>
      </c>
      <c r="H440" s="16">
        <v>4.5</v>
      </c>
      <c r="I440" s="19">
        <v>12.17</v>
      </c>
      <c r="J440" s="33"/>
      <c r="K440" s="33"/>
    </row>
    <row r="441">
      <c r="A441" s="20">
        <v>2014.0</v>
      </c>
      <c r="B441" s="21">
        <v>6.0</v>
      </c>
      <c r="C441" s="21">
        <v>4.0</v>
      </c>
      <c r="D441" s="21">
        <v>2.0</v>
      </c>
      <c r="E441" s="22" t="s">
        <v>16</v>
      </c>
      <c r="F441" s="22" t="s">
        <v>34</v>
      </c>
      <c r="G441" s="21">
        <v>8.67</v>
      </c>
      <c r="H441" s="21">
        <v>6.67</v>
      </c>
      <c r="I441" s="23">
        <v>15.34</v>
      </c>
      <c r="J441" s="33"/>
      <c r="K441" s="33"/>
    </row>
    <row r="442">
      <c r="A442" s="15">
        <v>2014.0</v>
      </c>
      <c r="B442" s="16">
        <v>6.0</v>
      </c>
      <c r="C442" s="16">
        <v>4.0</v>
      </c>
      <c r="D442" s="16">
        <v>3.0</v>
      </c>
      <c r="E442" s="17" t="s">
        <v>16</v>
      </c>
      <c r="F442" s="17" t="s">
        <v>30</v>
      </c>
      <c r="G442" s="16">
        <v>7.43</v>
      </c>
      <c r="H442" s="16">
        <v>6.33</v>
      </c>
      <c r="I442" s="19">
        <v>13.76</v>
      </c>
      <c r="J442" s="33"/>
      <c r="K442" s="33"/>
    </row>
    <row r="443">
      <c r="A443" s="20">
        <v>2014.0</v>
      </c>
      <c r="B443" s="21">
        <v>6.0</v>
      </c>
      <c r="C443" s="21">
        <v>4.0</v>
      </c>
      <c r="D443" s="21">
        <v>3.0</v>
      </c>
      <c r="E443" s="22" t="s">
        <v>16</v>
      </c>
      <c r="F443" s="22" t="s">
        <v>57</v>
      </c>
      <c r="G443" s="21">
        <v>8.67</v>
      </c>
      <c r="H443" s="21">
        <v>6.93</v>
      </c>
      <c r="I443" s="23">
        <v>15.6</v>
      </c>
      <c r="J443" s="33"/>
      <c r="K443" s="33"/>
    </row>
    <row r="444">
      <c r="A444" s="15">
        <v>2014.0</v>
      </c>
      <c r="B444" s="16">
        <v>6.0</v>
      </c>
      <c r="C444" s="16">
        <v>4.0</v>
      </c>
      <c r="D444" s="16">
        <v>3.0</v>
      </c>
      <c r="E444" s="17" t="s">
        <v>16</v>
      </c>
      <c r="F444" s="17" t="s">
        <v>123</v>
      </c>
      <c r="G444" s="16">
        <v>8.17</v>
      </c>
      <c r="H444" s="16">
        <v>5.53</v>
      </c>
      <c r="I444" s="19">
        <v>13.7</v>
      </c>
      <c r="J444" s="33"/>
      <c r="K444" s="33"/>
    </row>
    <row r="445">
      <c r="A445" s="20">
        <v>2014.0</v>
      </c>
      <c r="B445" s="21">
        <v>6.0</v>
      </c>
      <c r="C445" s="21">
        <v>4.0</v>
      </c>
      <c r="D445" s="21">
        <v>4.0</v>
      </c>
      <c r="E445" s="22" t="s">
        <v>16</v>
      </c>
      <c r="F445" s="22" t="s">
        <v>41</v>
      </c>
      <c r="G445" s="21">
        <v>6.67</v>
      </c>
      <c r="H445" s="21">
        <v>5.73</v>
      </c>
      <c r="I445" s="23">
        <v>12.4</v>
      </c>
      <c r="J445" s="33"/>
      <c r="K445" s="33"/>
    </row>
    <row r="446">
      <c r="A446" s="15">
        <v>2014.0</v>
      </c>
      <c r="B446" s="16">
        <v>6.0</v>
      </c>
      <c r="C446" s="16">
        <v>4.0</v>
      </c>
      <c r="D446" s="16">
        <v>4.0</v>
      </c>
      <c r="E446" s="17" t="s">
        <v>16</v>
      </c>
      <c r="F446" s="17" t="s">
        <v>125</v>
      </c>
      <c r="G446" s="16">
        <v>5.27</v>
      </c>
      <c r="H446" s="16">
        <v>5.23</v>
      </c>
      <c r="I446" s="19">
        <v>10.5</v>
      </c>
      <c r="J446" s="33"/>
      <c r="K446" s="33"/>
    </row>
    <row r="447">
      <c r="A447" s="20">
        <v>2014.0</v>
      </c>
      <c r="B447" s="21">
        <v>6.0</v>
      </c>
      <c r="C447" s="21">
        <v>4.0</v>
      </c>
      <c r="D447" s="21">
        <v>4.0</v>
      </c>
      <c r="E447" s="22" t="s">
        <v>16</v>
      </c>
      <c r="F447" s="22" t="s">
        <v>76</v>
      </c>
      <c r="G447" s="21">
        <v>7.0</v>
      </c>
      <c r="H447" s="21">
        <v>5.57</v>
      </c>
      <c r="I447" s="23">
        <v>12.57</v>
      </c>
      <c r="J447" s="33"/>
      <c r="K447" s="33"/>
    </row>
    <row r="448">
      <c r="A448" s="15">
        <v>2014.0</v>
      </c>
      <c r="B448" s="16">
        <v>6.0</v>
      </c>
      <c r="C448" s="16">
        <v>5.0</v>
      </c>
      <c r="D448" s="16">
        <v>1.0</v>
      </c>
      <c r="E448" s="17" t="s">
        <v>16</v>
      </c>
      <c r="F448" s="17" t="s">
        <v>45</v>
      </c>
      <c r="G448" s="16">
        <v>5.67</v>
      </c>
      <c r="H448" s="16">
        <v>3.37</v>
      </c>
      <c r="I448" s="19">
        <v>9.04</v>
      </c>
      <c r="J448" s="33"/>
      <c r="K448" s="33"/>
    </row>
    <row r="449">
      <c r="A449" s="20">
        <v>2014.0</v>
      </c>
      <c r="B449" s="21">
        <v>6.0</v>
      </c>
      <c r="C449" s="21">
        <v>5.0</v>
      </c>
      <c r="D449" s="21">
        <v>1.0</v>
      </c>
      <c r="E449" s="22" t="s">
        <v>16</v>
      </c>
      <c r="F449" s="22" t="s">
        <v>42</v>
      </c>
      <c r="G449" s="21">
        <v>6.33</v>
      </c>
      <c r="H449" s="21">
        <v>4.0</v>
      </c>
      <c r="I449" s="23">
        <v>10.33</v>
      </c>
      <c r="J449" s="33"/>
      <c r="K449" s="33"/>
    </row>
    <row r="450">
      <c r="A450" s="15">
        <v>2014.0</v>
      </c>
      <c r="B450" s="16">
        <v>6.0</v>
      </c>
      <c r="C450" s="16">
        <v>5.0</v>
      </c>
      <c r="D450" s="16">
        <v>2.0</v>
      </c>
      <c r="E450" s="17" t="s">
        <v>16</v>
      </c>
      <c r="F450" s="17" t="s">
        <v>32</v>
      </c>
      <c r="G450" s="16">
        <v>5.17</v>
      </c>
      <c r="H450" s="16">
        <v>4.17</v>
      </c>
      <c r="I450" s="19">
        <v>9.34</v>
      </c>
      <c r="J450" s="33"/>
      <c r="K450" s="33"/>
    </row>
    <row r="451">
      <c r="A451" s="20">
        <v>2014.0</v>
      </c>
      <c r="B451" s="21">
        <v>6.0</v>
      </c>
      <c r="C451" s="21">
        <v>5.0</v>
      </c>
      <c r="D451" s="21">
        <v>2.0</v>
      </c>
      <c r="E451" s="22" t="s">
        <v>16</v>
      </c>
      <c r="F451" s="22" t="s">
        <v>62</v>
      </c>
      <c r="G451" s="21">
        <v>7.0</v>
      </c>
      <c r="H451" s="21">
        <v>5.83</v>
      </c>
      <c r="I451" s="23">
        <v>12.83</v>
      </c>
      <c r="J451" s="33"/>
      <c r="K451" s="33"/>
    </row>
    <row r="452">
      <c r="A452" s="15">
        <v>2014.0</v>
      </c>
      <c r="B452" s="16">
        <v>6.0</v>
      </c>
      <c r="C452" s="16">
        <v>5.0</v>
      </c>
      <c r="D452" s="16">
        <v>3.0</v>
      </c>
      <c r="E452" s="17" t="s">
        <v>16</v>
      </c>
      <c r="F452" s="17" t="s">
        <v>30</v>
      </c>
      <c r="G452" s="16">
        <v>6.17</v>
      </c>
      <c r="H452" s="16">
        <v>5.0</v>
      </c>
      <c r="I452" s="19">
        <v>11.17</v>
      </c>
      <c r="J452" s="33"/>
      <c r="K452" s="33"/>
    </row>
    <row r="453">
      <c r="A453" s="20">
        <v>2014.0</v>
      </c>
      <c r="B453" s="21">
        <v>6.0</v>
      </c>
      <c r="C453" s="21">
        <v>5.0</v>
      </c>
      <c r="D453" s="21">
        <v>3.0</v>
      </c>
      <c r="E453" s="22" t="s">
        <v>16</v>
      </c>
      <c r="F453" s="22" t="s">
        <v>125</v>
      </c>
      <c r="G453" s="21">
        <v>5.93</v>
      </c>
      <c r="H453" s="21">
        <v>5.17</v>
      </c>
      <c r="I453" s="23">
        <v>11.1</v>
      </c>
      <c r="J453" s="33"/>
      <c r="K453" s="33"/>
    </row>
    <row r="454">
      <c r="A454" s="15">
        <v>2014.0</v>
      </c>
      <c r="B454" s="16">
        <v>6.0</v>
      </c>
      <c r="C454" s="16">
        <v>5.0</v>
      </c>
      <c r="D454" s="16">
        <v>4.0</v>
      </c>
      <c r="E454" s="17" t="s">
        <v>16</v>
      </c>
      <c r="F454" s="17" t="s">
        <v>41</v>
      </c>
      <c r="G454" s="16">
        <v>8.17</v>
      </c>
      <c r="H454" s="16">
        <v>7.5</v>
      </c>
      <c r="I454" s="19">
        <v>15.67</v>
      </c>
      <c r="J454" s="33"/>
      <c r="K454" s="33"/>
    </row>
    <row r="455">
      <c r="A455" s="20">
        <v>2014.0</v>
      </c>
      <c r="B455" s="21">
        <v>6.0</v>
      </c>
      <c r="C455" s="21">
        <v>5.0</v>
      </c>
      <c r="D455" s="21">
        <v>4.0</v>
      </c>
      <c r="E455" s="22" t="s">
        <v>16</v>
      </c>
      <c r="F455" s="22" t="s">
        <v>123</v>
      </c>
      <c r="G455" s="21">
        <v>4.83</v>
      </c>
      <c r="H455" s="21">
        <v>3.3</v>
      </c>
      <c r="I455" s="23">
        <v>8.13</v>
      </c>
      <c r="J455" s="33"/>
      <c r="K455" s="33"/>
    </row>
    <row r="456">
      <c r="A456" s="15">
        <v>2014.0</v>
      </c>
      <c r="B456" s="16">
        <v>6.0</v>
      </c>
      <c r="C456" s="16">
        <v>6.0</v>
      </c>
      <c r="D456" s="16">
        <v>1.0</v>
      </c>
      <c r="E456" s="17" t="s">
        <v>16</v>
      </c>
      <c r="F456" s="17" t="s">
        <v>39</v>
      </c>
      <c r="G456" s="16">
        <v>7.67</v>
      </c>
      <c r="H456" s="16">
        <v>6.83</v>
      </c>
      <c r="I456" s="19">
        <v>14.5</v>
      </c>
      <c r="J456" s="33"/>
      <c r="K456" s="33"/>
    </row>
    <row r="457">
      <c r="A457" s="20">
        <v>2014.0</v>
      </c>
      <c r="B457" s="21">
        <v>6.0</v>
      </c>
      <c r="C457" s="21">
        <v>6.0</v>
      </c>
      <c r="D457" s="21">
        <v>1.0</v>
      </c>
      <c r="E457" s="22" t="s">
        <v>16</v>
      </c>
      <c r="F457" s="22" t="s">
        <v>42</v>
      </c>
      <c r="G457" s="21">
        <v>5.83</v>
      </c>
      <c r="H457" s="21">
        <v>4.5</v>
      </c>
      <c r="I457" s="23">
        <v>10.33</v>
      </c>
      <c r="J457" s="33"/>
      <c r="K457" s="33"/>
    </row>
    <row r="458">
      <c r="A458" s="15">
        <v>2014.0</v>
      </c>
      <c r="B458" s="16">
        <v>6.0</v>
      </c>
      <c r="C458" s="16">
        <v>6.0</v>
      </c>
      <c r="D458" s="16">
        <v>2.0</v>
      </c>
      <c r="E458" s="17" t="s">
        <v>16</v>
      </c>
      <c r="F458" s="17" t="s">
        <v>34</v>
      </c>
      <c r="G458" s="16">
        <v>9.0</v>
      </c>
      <c r="H458" s="16">
        <v>8.83</v>
      </c>
      <c r="I458" s="19">
        <v>17.83</v>
      </c>
      <c r="J458" s="33"/>
      <c r="K458" s="33"/>
    </row>
    <row r="459">
      <c r="A459" s="20">
        <v>2014.0</v>
      </c>
      <c r="B459" s="21">
        <v>6.0</v>
      </c>
      <c r="C459" s="21">
        <v>6.0</v>
      </c>
      <c r="D459" s="21">
        <v>2.0</v>
      </c>
      <c r="E459" s="22" t="s">
        <v>16</v>
      </c>
      <c r="F459" s="22" t="s">
        <v>62</v>
      </c>
      <c r="G459" s="21">
        <v>9.27</v>
      </c>
      <c r="H459" s="21">
        <v>7.17</v>
      </c>
      <c r="I459" s="23">
        <v>16.44</v>
      </c>
      <c r="J459" s="33"/>
      <c r="K459" s="33"/>
    </row>
    <row r="460">
      <c r="A460" s="15">
        <v>2014.0</v>
      </c>
      <c r="B460" s="16">
        <v>6.0</v>
      </c>
      <c r="C460" s="16">
        <v>6.0</v>
      </c>
      <c r="D460" s="16">
        <v>3.0</v>
      </c>
      <c r="E460" s="17" t="s">
        <v>16</v>
      </c>
      <c r="F460" s="17" t="s">
        <v>57</v>
      </c>
      <c r="G460" s="16">
        <v>9.23</v>
      </c>
      <c r="H460" s="16">
        <v>8.17</v>
      </c>
      <c r="I460" s="19">
        <v>17.4</v>
      </c>
      <c r="J460" s="33"/>
      <c r="K460" s="33"/>
    </row>
    <row r="461">
      <c r="A461" s="20">
        <v>2014.0</v>
      </c>
      <c r="B461" s="21">
        <v>6.0</v>
      </c>
      <c r="C461" s="21">
        <v>6.0</v>
      </c>
      <c r="D461" s="21">
        <v>3.0</v>
      </c>
      <c r="E461" s="22" t="s">
        <v>16</v>
      </c>
      <c r="F461" s="22" t="s">
        <v>30</v>
      </c>
      <c r="G461" s="21">
        <v>9.4</v>
      </c>
      <c r="H461" s="21">
        <v>6.67</v>
      </c>
      <c r="I461" s="23">
        <v>16.07</v>
      </c>
      <c r="J461" s="33"/>
      <c r="K461" s="33"/>
    </row>
    <row r="462">
      <c r="A462" s="15">
        <v>2014.0</v>
      </c>
      <c r="B462" s="16">
        <v>6.0</v>
      </c>
      <c r="C462" s="16">
        <v>6.0</v>
      </c>
      <c r="D462" s="16">
        <v>4.0</v>
      </c>
      <c r="E462" s="17" t="s">
        <v>16</v>
      </c>
      <c r="F462" s="17" t="s">
        <v>76</v>
      </c>
      <c r="G462" s="16">
        <v>5.67</v>
      </c>
      <c r="H462" s="16">
        <v>4.0</v>
      </c>
      <c r="I462" s="19">
        <v>9.67</v>
      </c>
      <c r="J462" s="33"/>
      <c r="K462" s="33"/>
    </row>
    <row r="463">
      <c r="A463" s="20">
        <v>2014.0</v>
      </c>
      <c r="B463" s="21">
        <v>6.0</v>
      </c>
      <c r="C463" s="21">
        <v>6.0</v>
      </c>
      <c r="D463" s="21">
        <v>4.0</v>
      </c>
      <c r="E463" s="22" t="s">
        <v>16</v>
      </c>
      <c r="F463" s="22" t="s">
        <v>41</v>
      </c>
      <c r="G463" s="21">
        <v>8.33</v>
      </c>
      <c r="H463" s="21">
        <v>8.33</v>
      </c>
      <c r="I463" s="23">
        <v>16.66</v>
      </c>
      <c r="J463" s="33"/>
      <c r="K463" s="33"/>
    </row>
    <row r="464">
      <c r="A464" s="15">
        <v>2014.0</v>
      </c>
      <c r="B464" s="16">
        <v>6.0</v>
      </c>
      <c r="C464" s="16">
        <v>7.0</v>
      </c>
      <c r="D464" s="16">
        <v>1.0</v>
      </c>
      <c r="E464" s="17" t="s">
        <v>16</v>
      </c>
      <c r="F464" s="17" t="s">
        <v>39</v>
      </c>
      <c r="G464" s="16">
        <v>10.0</v>
      </c>
      <c r="H464" s="16">
        <v>8.83</v>
      </c>
      <c r="I464" s="19">
        <v>18.83</v>
      </c>
      <c r="J464" s="33"/>
      <c r="K464" s="33"/>
    </row>
    <row r="465">
      <c r="A465" s="20">
        <v>2014.0</v>
      </c>
      <c r="B465" s="21">
        <v>6.0</v>
      </c>
      <c r="C465" s="21">
        <v>7.0</v>
      </c>
      <c r="D465" s="21">
        <v>1.0</v>
      </c>
      <c r="E465" s="22" t="s">
        <v>16</v>
      </c>
      <c r="F465" s="22" t="s">
        <v>34</v>
      </c>
      <c r="G465" s="21">
        <v>9.77</v>
      </c>
      <c r="H465" s="21">
        <v>5.77</v>
      </c>
      <c r="I465" s="23">
        <v>15.54</v>
      </c>
      <c r="J465" s="33"/>
      <c r="K465" s="33"/>
    </row>
    <row r="466">
      <c r="A466" s="15">
        <v>2014.0</v>
      </c>
      <c r="B466" s="16">
        <v>6.0</v>
      </c>
      <c r="C466" s="16">
        <v>7.0</v>
      </c>
      <c r="D466" s="16">
        <v>2.0</v>
      </c>
      <c r="E466" s="17" t="s">
        <v>16</v>
      </c>
      <c r="F466" s="17" t="s">
        <v>57</v>
      </c>
      <c r="G466" s="16">
        <v>7.23</v>
      </c>
      <c r="H466" s="16">
        <v>5.27</v>
      </c>
      <c r="I466" s="19">
        <v>12.5</v>
      </c>
      <c r="J466" s="33"/>
      <c r="K466" s="33"/>
    </row>
    <row r="467">
      <c r="A467" s="20">
        <v>2014.0</v>
      </c>
      <c r="B467" s="21">
        <v>6.0</v>
      </c>
      <c r="C467" s="21">
        <v>7.0</v>
      </c>
      <c r="D467" s="21">
        <v>2.0</v>
      </c>
      <c r="E467" s="22" t="s">
        <v>16</v>
      </c>
      <c r="F467" s="22" t="s">
        <v>41</v>
      </c>
      <c r="G467" s="21">
        <v>9.0</v>
      </c>
      <c r="H467" s="21">
        <v>8.0</v>
      </c>
      <c r="I467" s="23">
        <v>17.0</v>
      </c>
      <c r="J467" s="33"/>
      <c r="K467" s="33"/>
    </row>
    <row r="468">
      <c r="A468" s="15">
        <v>2014.0</v>
      </c>
      <c r="B468" s="16">
        <v>6.0</v>
      </c>
      <c r="C468" s="16">
        <v>8.0</v>
      </c>
      <c r="D468" s="16">
        <v>1.0</v>
      </c>
      <c r="E468" s="17" t="s">
        <v>16</v>
      </c>
      <c r="F468" s="17" t="s">
        <v>39</v>
      </c>
      <c r="G468" s="16">
        <v>7.43</v>
      </c>
      <c r="H468" s="16">
        <v>6.17</v>
      </c>
      <c r="I468" s="19">
        <v>13.6</v>
      </c>
      <c r="J468" s="33"/>
      <c r="K468" s="33"/>
    </row>
    <row r="469">
      <c r="A469" s="20">
        <v>2014.0</v>
      </c>
      <c r="B469" s="21">
        <v>6.0</v>
      </c>
      <c r="C469" s="21">
        <v>8.0</v>
      </c>
      <c r="D469" s="21">
        <v>1.0</v>
      </c>
      <c r="E469" s="22" t="s">
        <v>16</v>
      </c>
      <c r="F469" s="22" t="s">
        <v>41</v>
      </c>
      <c r="G469" s="21">
        <v>9.0</v>
      </c>
      <c r="H469" s="21">
        <v>8.0</v>
      </c>
      <c r="I469" s="23">
        <v>17.0</v>
      </c>
      <c r="J469" s="33"/>
      <c r="K469" s="33"/>
    </row>
    <row r="470">
      <c r="A470" s="15">
        <v>2014.0</v>
      </c>
      <c r="B470" s="16">
        <v>7.0</v>
      </c>
      <c r="C470" s="16">
        <v>1.0</v>
      </c>
      <c r="D470" s="16">
        <v>1.0</v>
      </c>
      <c r="E470" s="17" t="s">
        <v>16</v>
      </c>
      <c r="F470" s="17" t="s">
        <v>37</v>
      </c>
      <c r="G470" s="16">
        <v>9.4</v>
      </c>
      <c r="H470" s="16">
        <v>7.0</v>
      </c>
      <c r="I470" s="19">
        <v>16.4</v>
      </c>
      <c r="J470" s="33"/>
      <c r="K470" s="33"/>
    </row>
    <row r="471">
      <c r="A471" s="20">
        <v>2014.0</v>
      </c>
      <c r="B471" s="21">
        <v>7.0</v>
      </c>
      <c r="C471" s="21">
        <v>1.0</v>
      </c>
      <c r="D471" s="21">
        <v>1.0</v>
      </c>
      <c r="E471" s="22" t="s">
        <v>16</v>
      </c>
      <c r="F471" s="22" t="s">
        <v>38</v>
      </c>
      <c r="G471" s="21">
        <v>5.67</v>
      </c>
      <c r="H471" s="21">
        <v>4.67</v>
      </c>
      <c r="I471" s="23">
        <v>10.34</v>
      </c>
      <c r="J471" s="33"/>
      <c r="K471" s="33"/>
    </row>
    <row r="472">
      <c r="A472" s="15">
        <v>2014.0</v>
      </c>
      <c r="B472" s="16">
        <v>7.0</v>
      </c>
      <c r="C472" s="16">
        <v>1.0</v>
      </c>
      <c r="D472" s="16">
        <v>1.0</v>
      </c>
      <c r="E472" s="17" t="s">
        <v>16</v>
      </c>
      <c r="F472" s="17" t="s">
        <v>99</v>
      </c>
      <c r="G472" s="16">
        <v>3.0</v>
      </c>
      <c r="H472" s="16">
        <v>1.53</v>
      </c>
      <c r="I472" s="19">
        <v>4.53</v>
      </c>
      <c r="J472" s="33"/>
      <c r="K472" s="33"/>
    </row>
    <row r="473">
      <c r="A473" s="20">
        <v>2014.0</v>
      </c>
      <c r="B473" s="21">
        <v>7.0</v>
      </c>
      <c r="C473" s="21">
        <v>1.0</v>
      </c>
      <c r="D473" s="21">
        <v>2.0</v>
      </c>
      <c r="E473" s="22" t="s">
        <v>16</v>
      </c>
      <c r="F473" s="22" t="s">
        <v>27</v>
      </c>
      <c r="G473" s="21">
        <v>6.83</v>
      </c>
      <c r="H473" s="21">
        <v>2.83</v>
      </c>
      <c r="I473" s="23">
        <v>9.66</v>
      </c>
      <c r="J473" s="33"/>
      <c r="K473" s="33"/>
    </row>
    <row r="474">
      <c r="A474" s="15">
        <v>2014.0</v>
      </c>
      <c r="B474" s="16">
        <v>7.0</v>
      </c>
      <c r="C474" s="16">
        <v>1.0</v>
      </c>
      <c r="D474" s="16">
        <v>2.0</v>
      </c>
      <c r="E474" s="17" t="s">
        <v>16</v>
      </c>
      <c r="F474" s="17" t="s">
        <v>34</v>
      </c>
      <c r="G474" s="16">
        <v>6.0</v>
      </c>
      <c r="H474" s="16">
        <v>1.63</v>
      </c>
      <c r="I474" s="19">
        <v>7.63</v>
      </c>
      <c r="J474" s="33"/>
      <c r="K474" s="33"/>
    </row>
    <row r="475">
      <c r="A475" s="20">
        <v>2014.0</v>
      </c>
      <c r="B475" s="21">
        <v>7.0</v>
      </c>
      <c r="C475" s="21">
        <v>1.0</v>
      </c>
      <c r="D475" s="21">
        <v>2.0</v>
      </c>
      <c r="E475" s="22" t="s">
        <v>16</v>
      </c>
      <c r="F475" s="22" t="s">
        <v>131</v>
      </c>
      <c r="G475" s="21">
        <v>4.0</v>
      </c>
      <c r="H475" s="21">
        <v>3.17</v>
      </c>
      <c r="I475" s="23">
        <v>7.17</v>
      </c>
      <c r="J475" s="33"/>
      <c r="K475" s="33"/>
    </row>
    <row r="476">
      <c r="A476" s="15">
        <v>2014.0</v>
      </c>
      <c r="B476" s="16">
        <v>7.0</v>
      </c>
      <c r="C476" s="16">
        <v>1.0</v>
      </c>
      <c r="D476" s="16">
        <v>3.0</v>
      </c>
      <c r="E476" s="17" t="s">
        <v>16</v>
      </c>
      <c r="F476" s="17" t="s">
        <v>62</v>
      </c>
      <c r="G476" s="16">
        <v>6.83</v>
      </c>
      <c r="H476" s="16">
        <v>5.67</v>
      </c>
      <c r="I476" s="19">
        <v>12.5</v>
      </c>
      <c r="J476" s="33"/>
      <c r="K476" s="33"/>
    </row>
    <row r="477">
      <c r="A477" s="20">
        <v>2014.0</v>
      </c>
      <c r="B477" s="21">
        <v>7.0</v>
      </c>
      <c r="C477" s="21">
        <v>1.0</v>
      </c>
      <c r="D477" s="21">
        <v>3.0</v>
      </c>
      <c r="E477" s="22" t="s">
        <v>16</v>
      </c>
      <c r="F477" s="22" t="s">
        <v>29</v>
      </c>
      <c r="G477" s="21">
        <v>2.87</v>
      </c>
      <c r="H477" s="21">
        <v>2.2</v>
      </c>
      <c r="I477" s="23">
        <v>5.07</v>
      </c>
      <c r="J477" s="33"/>
      <c r="K477" s="33"/>
    </row>
    <row r="478">
      <c r="A478" s="15">
        <v>2014.0</v>
      </c>
      <c r="B478" s="16">
        <v>7.0</v>
      </c>
      <c r="C478" s="16">
        <v>1.0</v>
      </c>
      <c r="D478" s="16">
        <v>3.0</v>
      </c>
      <c r="E478" s="17" t="s">
        <v>16</v>
      </c>
      <c r="F478" s="17" t="s">
        <v>91</v>
      </c>
      <c r="G478" s="16">
        <v>6.17</v>
      </c>
      <c r="H478" s="16">
        <v>3.0</v>
      </c>
      <c r="I478" s="19">
        <v>9.17</v>
      </c>
      <c r="J478" s="33"/>
      <c r="K478" s="33"/>
    </row>
    <row r="479">
      <c r="A479" s="20">
        <v>2014.0</v>
      </c>
      <c r="B479" s="21">
        <v>7.0</v>
      </c>
      <c r="C479" s="21">
        <v>1.0</v>
      </c>
      <c r="D479" s="21">
        <v>4.0</v>
      </c>
      <c r="E479" s="22" t="s">
        <v>16</v>
      </c>
      <c r="F479" s="22" t="s">
        <v>41</v>
      </c>
      <c r="G479" s="21">
        <v>9.13</v>
      </c>
      <c r="H479" s="21">
        <v>9.03</v>
      </c>
      <c r="I479" s="23">
        <v>18.16</v>
      </c>
      <c r="J479" s="33"/>
      <c r="K479" s="33"/>
    </row>
    <row r="480">
      <c r="A480" s="15">
        <v>2014.0</v>
      </c>
      <c r="B480" s="16">
        <v>7.0</v>
      </c>
      <c r="C480" s="16">
        <v>1.0</v>
      </c>
      <c r="D480" s="16">
        <v>4.0</v>
      </c>
      <c r="E480" s="17" t="s">
        <v>16</v>
      </c>
      <c r="F480" s="17" t="s">
        <v>76</v>
      </c>
      <c r="G480" s="16">
        <v>5.43</v>
      </c>
      <c r="H480" s="16">
        <v>2.67</v>
      </c>
      <c r="I480" s="19">
        <v>8.1</v>
      </c>
      <c r="J480" s="33"/>
      <c r="K480" s="33"/>
    </row>
    <row r="481">
      <c r="A481" s="20">
        <v>2014.0</v>
      </c>
      <c r="B481" s="21">
        <v>7.0</v>
      </c>
      <c r="C481" s="21">
        <v>1.0</v>
      </c>
      <c r="D481" s="21">
        <v>4.0</v>
      </c>
      <c r="E481" s="22" t="s">
        <v>16</v>
      </c>
      <c r="F481" s="22" t="s">
        <v>130</v>
      </c>
      <c r="G481" s="21">
        <v>5.0</v>
      </c>
      <c r="H481" s="21">
        <v>4.47</v>
      </c>
      <c r="I481" s="23">
        <v>9.47</v>
      </c>
      <c r="J481" s="33"/>
      <c r="K481" s="33"/>
    </row>
    <row r="482">
      <c r="A482" s="15">
        <v>2014.0</v>
      </c>
      <c r="B482" s="16">
        <v>7.0</v>
      </c>
      <c r="C482" s="16">
        <v>1.0</v>
      </c>
      <c r="D482" s="16">
        <v>5.0</v>
      </c>
      <c r="E482" s="17" t="s">
        <v>16</v>
      </c>
      <c r="F482" s="17" t="s">
        <v>39</v>
      </c>
      <c r="G482" s="16">
        <v>9.8</v>
      </c>
      <c r="H482" s="16">
        <v>6.5</v>
      </c>
      <c r="I482" s="19">
        <v>16.3</v>
      </c>
      <c r="J482" s="33"/>
      <c r="K482" s="33"/>
    </row>
    <row r="483">
      <c r="A483" s="20">
        <v>2014.0</v>
      </c>
      <c r="B483" s="21">
        <v>7.0</v>
      </c>
      <c r="C483" s="21">
        <v>1.0</v>
      </c>
      <c r="D483" s="21">
        <v>5.0</v>
      </c>
      <c r="E483" s="22" t="s">
        <v>16</v>
      </c>
      <c r="F483" s="22" t="s">
        <v>47</v>
      </c>
      <c r="G483" s="21">
        <v>9.97</v>
      </c>
      <c r="H483" s="21">
        <v>6.33</v>
      </c>
      <c r="I483" s="23">
        <v>16.3</v>
      </c>
      <c r="J483" s="33"/>
      <c r="K483" s="33"/>
    </row>
    <row r="484">
      <c r="A484" s="15">
        <v>2014.0</v>
      </c>
      <c r="B484" s="16">
        <v>7.0</v>
      </c>
      <c r="C484" s="16">
        <v>1.0</v>
      </c>
      <c r="D484" s="16">
        <v>5.0</v>
      </c>
      <c r="E484" s="17" t="s">
        <v>16</v>
      </c>
      <c r="F484" s="17" t="s">
        <v>132</v>
      </c>
      <c r="G484" s="16">
        <v>9.27</v>
      </c>
      <c r="H484" s="16">
        <v>6.5</v>
      </c>
      <c r="I484" s="19">
        <v>15.77</v>
      </c>
      <c r="J484" s="33"/>
      <c r="K484" s="33"/>
    </row>
    <row r="485">
      <c r="A485" s="20">
        <v>2014.0</v>
      </c>
      <c r="B485" s="21">
        <v>7.0</v>
      </c>
      <c r="C485" s="21">
        <v>1.0</v>
      </c>
      <c r="D485" s="21">
        <v>6.0</v>
      </c>
      <c r="E485" s="22" t="s">
        <v>16</v>
      </c>
      <c r="F485" s="22" t="s">
        <v>30</v>
      </c>
      <c r="G485" s="21">
        <v>7.4</v>
      </c>
      <c r="H485" s="21">
        <v>6.93</v>
      </c>
      <c r="I485" s="23">
        <v>14.33</v>
      </c>
      <c r="J485" s="33"/>
      <c r="K485" s="33"/>
    </row>
    <row r="486">
      <c r="A486" s="15">
        <v>2014.0</v>
      </c>
      <c r="B486" s="16">
        <v>7.0</v>
      </c>
      <c r="C486" s="16">
        <v>1.0</v>
      </c>
      <c r="D486" s="16">
        <v>6.0</v>
      </c>
      <c r="E486" s="17" t="s">
        <v>16</v>
      </c>
      <c r="F486" s="17" t="s">
        <v>124</v>
      </c>
      <c r="G486" s="16">
        <v>5.5</v>
      </c>
      <c r="H486" s="16">
        <v>3.93</v>
      </c>
      <c r="I486" s="19">
        <v>9.43</v>
      </c>
      <c r="J486" s="33"/>
      <c r="K486" s="33"/>
    </row>
    <row r="487">
      <c r="A487" s="20">
        <v>2014.0</v>
      </c>
      <c r="B487" s="21">
        <v>7.0</v>
      </c>
      <c r="C487" s="21">
        <v>1.0</v>
      </c>
      <c r="D487" s="21">
        <v>6.0</v>
      </c>
      <c r="E487" s="22" t="s">
        <v>16</v>
      </c>
      <c r="F487" s="22" t="s">
        <v>115</v>
      </c>
      <c r="G487" s="21">
        <v>6.67</v>
      </c>
      <c r="H487" s="21">
        <v>5.5</v>
      </c>
      <c r="I487" s="23">
        <v>12.17</v>
      </c>
      <c r="J487" s="33"/>
      <c r="K487" s="33"/>
    </row>
    <row r="488">
      <c r="A488" s="15">
        <v>2014.0</v>
      </c>
      <c r="B488" s="16">
        <v>7.0</v>
      </c>
      <c r="C488" s="16">
        <v>1.0</v>
      </c>
      <c r="D488" s="16">
        <v>7.0</v>
      </c>
      <c r="E488" s="17" t="s">
        <v>16</v>
      </c>
      <c r="F488" s="17" t="s">
        <v>42</v>
      </c>
      <c r="G488" s="16">
        <v>7.43</v>
      </c>
      <c r="H488" s="16">
        <v>5.67</v>
      </c>
      <c r="I488" s="19">
        <v>13.1</v>
      </c>
      <c r="J488" s="33"/>
      <c r="K488" s="33"/>
    </row>
    <row r="489">
      <c r="A489" s="20">
        <v>2014.0</v>
      </c>
      <c r="B489" s="21">
        <v>7.0</v>
      </c>
      <c r="C489" s="21">
        <v>1.0</v>
      </c>
      <c r="D489" s="21">
        <v>7.0</v>
      </c>
      <c r="E489" s="22" t="s">
        <v>16</v>
      </c>
      <c r="F489" s="22" t="s">
        <v>55</v>
      </c>
      <c r="G489" s="21">
        <v>7.1</v>
      </c>
      <c r="H489" s="21">
        <v>6.17</v>
      </c>
      <c r="I489" s="23">
        <v>13.27</v>
      </c>
      <c r="J489" s="33"/>
      <c r="K489" s="33"/>
    </row>
    <row r="490">
      <c r="A490" s="15">
        <v>2014.0</v>
      </c>
      <c r="B490" s="16">
        <v>7.0</v>
      </c>
      <c r="C490" s="16">
        <v>1.0</v>
      </c>
      <c r="D490" s="16">
        <v>7.0</v>
      </c>
      <c r="E490" s="17" t="s">
        <v>16</v>
      </c>
      <c r="F490" s="17" t="s">
        <v>126</v>
      </c>
      <c r="G490" s="16">
        <v>8.33</v>
      </c>
      <c r="H490" s="16">
        <v>7.0</v>
      </c>
      <c r="I490" s="19">
        <v>15.33</v>
      </c>
      <c r="J490" s="33"/>
      <c r="K490" s="33"/>
    </row>
    <row r="491">
      <c r="A491" s="20">
        <v>2014.0</v>
      </c>
      <c r="B491" s="21">
        <v>7.0</v>
      </c>
      <c r="C491" s="21">
        <v>1.0</v>
      </c>
      <c r="D491" s="21">
        <v>8.0</v>
      </c>
      <c r="E491" s="22" t="s">
        <v>16</v>
      </c>
      <c r="F491" s="22" t="s">
        <v>56</v>
      </c>
      <c r="G491" s="21">
        <v>9.67</v>
      </c>
      <c r="H491" s="21">
        <v>6.83</v>
      </c>
      <c r="I491" s="23">
        <v>16.5</v>
      </c>
      <c r="J491" s="33"/>
      <c r="K491" s="33"/>
    </row>
    <row r="492">
      <c r="A492" s="15">
        <v>2014.0</v>
      </c>
      <c r="B492" s="16">
        <v>7.0</v>
      </c>
      <c r="C492" s="16">
        <v>1.0</v>
      </c>
      <c r="D492" s="16">
        <v>8.0</v>
      </c>
      <c r="E492" s="17" t="s">
        <v>16</v>
      </c>
      <c r="F492" s="17" t="s">
        <v>125</v>
      </c>
      <c r="G492" s="16">
        <v>8.27</v>
      </c>
      <c r="H492" s="16">
        <v>0.0</v>
      </c>
      <c r="I492" s="19">
        <v>8.27</v>
      </c>
      <c r="J492" s="33"/>
      <c r="K492" s="33"/>
    </row>
    <row r="493">
      <c r="A493" s="20">
        <v>2014.0</v>
      </c>
      <c r="B493" s="21">
        <v>7.0</v>
      </c>
      <c r="C493" s="21">
        <v>1.0</v>
      </c>
      <c r="D493" s="21">
        <v>8.0</v>
      </c>
      <c r="E493" s="22" t="s">
        <v>16</v>
      </c>
      <c r="F493" s="22" t="s">
        <v>120</v>
      </c>
      <c r="G493" s="21">
        <v>4.33</v>
      </c>
      <c r="H493" s="21">
        <v>3.93</v>
      </c>
      <c r="I493" s="23">
        <v>8.26</v>
      </c>
      <c r="J493" s="33"/>
      <c r="K493" s="33"/>
    </row>
    <row r="494">
      <c r="A494" s="15">
        <v>2014.0</v>
      </c>
      <c r="B494" s="16">
        <v>7.0</v>
      </c>
      <c r="C494" s="16">
        <v>1.0</v>
      </c>
      <c r="D494" s="16">
        <v>9.0</v>
      </c>
      <c r="E494" s="17" t="s">
        <v>16</v>
      </c>
      <c r="F494" s="17" t="s">
        <v>32</v>
      </c>
      <c r="G494" s="16">
        <v>7.43</v>
      </c>
      <c r="H494" s="16">
        <v>6.33</v>
      </c>
      <c r="I494" s="19">
        <v>13.76</v>
      </c>
      <c r="J494" s="33"/>
      <c r="K494" s="33"/>
    </row>
    <row r="495">
      <c r="A495" s="20">
        <v>2014.0</v>
      </c>
      <c r="B495" s="21">
        <v>7.0</v>
      </c>
      <c r="C495" s="21">
        <v>1.0</v>
      </c>
      <c r="D495" s="21">
        <v>9.0</v>
      </c>
      <c r="E495" s="22" t="s">
        <v>16</v>
      </c>
      <c r="F495" s="22" t="s">
        <v>123</v>
      </c>
      <c r="G495" s="21">
        <v>5.57</v>
      </c>
      <c r="H495" s="21">
        <v>5.17</v>
      </c>
      <c r="I495" s="23">
        <v>10.74</v>
      </c>
      <c r="J495" s="33"/>
      <c r="K495" s="33"/>
    </row>
    <row r="496">
      <c r="A496" s="15">
        <v>2014.0</v>
      </c>
      <c r="B496" s="16">
        <v>7.0</v>
      </c>
      <c r="C496" s="16">
        <v>1.0</v>
      </c>
      <c r="D496" s="16">
        <v>9.0</v>
      </c>
      <c r="E496" s="17" t="s">
        <v>16</v>
      </c>
      <c r="F496" s="17" t="s">
        <v>107</v>
      </c>
      <c r="G496" s="16">
        <v>6.17</v>
      </c>
      <c r="H496" s="16">
        <v>5.27</v>
      </c>
      <c r="I496" s="19">
        <v>11.44</v>
      </c>
      <c r="J496" s="33"/>
      <c r="K496" s="33"/>
    </row>
    <row r="497">
      <c r="A497" s="20">
        <v>2014.0</v>
      </c>
      <c r="B497" s="21">
        <v>7.0</v>
      </c>
      <c r="C497" s="21">
        <v>1.0</v>
      </c>
      <c r="D497" s="21">
        <v>10.0</v>
      </c>
      <c r="E497" s="22" t="s">
        <v>16</v>
      </c>
      <c r="F497" s="22" t="s">
        <v>45</v>
      </c>
      <c r="G497" s="21">
        <v>7.93</v>
      </c>
      <c r="H497" s="21">
        <v>0.0</v>
      </c>
      <c r="I497" s="23">
        <v>7.93</v>
      </c>
      <c r="J497" s="33"/>
      <c r="K497" s="33"/>
    </row>
    <row r="498">
      <c r="A498" s="15">
        <v>2014.0</v>
      </c>
      <c r="B498" s="16">
        <v>7.0</v>
      </c>
      <c r="C498" s="16">
        <v>1.0</v>
      </c>
      <c r="D498" s="16">
        <v>10.0</v>
      </c>
      <c r="E498" s="17" t="s">
        <v>16</v>
      </c>
      <c r="F498" s="17" t="s">
        <v>31</v>
      </c>
      <c r="G498" s="16">
        <v>8.77</v>
      </c>
      <c r="H498" s="16">
        <v>7.17</v>
      </c>
      <c r="I498" s="19">
        <v>15.94</v>
      </c>
      <c r="J498" s="33"/>
      <c r="K498" s="33"/>
    </row>
    <row r="499">
      <c r="A499" s="20">
        <v>2014.0</v>
      </c>
      <c r="B499" s="21">
        <v>7.0</v>
      </c>
      <c r="C499" s="21">
        <v>1.0</v>
      </c>
      <c r="D499" s="21">
        <v>10.0</v>
      </c>
      <c r="E499" s="22" t="s">
        <v>16</v>
      </c>
      <c r="F499" s="22" t="s">
        <v>35</v>
      </c>
      <c r="G499" s="21">
        <v>9.17</v>
      </c>
      <c r="H499" s="21">
        <v>7.47</v>
      </c>
      <c r="I499" s="23">
        <v>16.64</v>
      </c>
      <c r="J499" s="33"/>
      <c r="K499" s="33"/>
    </row>
    <row r="500">
      <c r="A500" s="15">
        <v>2014.0</v>
      </c>
      <c r="B500" s="16">
        <v>7.0</v>
      </c>
      <c r="C500" s="16">
        <v>1.0</v>
      </c>
      <c r="D500" s="16">
        <v>11.0</v>
      </c>
      <c r="E500" s="17" t="s">
        <v>16</v>
      </c>
      <c r="F500" s="17" t="s">
        <v>57</v>
      </c>
      <c r="G500" s="16">
        <v>3.67</v>
      </c>
      <c r="H500" s="16">
        <v>2.67</v>
      </c>
      <c r="I500" s="19">
        <v>6.34</v>
      </c>
      <c r="J500" s="33"/>
      <c r="K500" s="33"/>
    </row>
    <row r="501">
      <c r="A501" s="20">
        <v>2014.0</v>
      </c>
      <c r="B501" s="21">
        <v>7.0</v>
      </c>
      <c r="C501" s="21">
        <v>1.0</v>
      </c>
      <c r="D501" s="21">
        <v>11.0</v>
      </c>
      <c r="E501" s="22" t="s">
        <v>16</v>
      </c>
      <c r="F501" s="22" t="s">
        <v>59</v>
      </c>
      <c r="G501" s="21">
        <v>3.73</v>
      </c>
      <c r="H501" s="21">
        <v>1.7</v>
      </c>
      <c r="I501" s="23">
        <v>5.43</v>
      </c>
      <c r="J501" s="33"/>
      <c r="K501" s="33"/>
    </row>
    <row r="502">
      <c r="A502" s="15">
        <v>2014.0</v>
      </c>
      <c r="B502" s="16">
        <v>7.0</v>
      </c>
      <c r="C502" s="16">
        <v>1.0</v>
      </c>
      <c r="D502" s="16">
        <v>11.0</v>
      </c>
      <c r="E502" s="17" t="s">
        <v>16</v>
      </c>
      <c r="F502" s="17" t="s">
        <v>122</v>
      </c>
      <c r="G502" s="16">
        <v>1.93</v>
      </c>
      <c r="H502" s="16">
        <v>1.17</v>
      </c>
      <c r="I502" s="19">
        <v>3.1</v>
      </c>
      <c r="J502" s="33"/>
      <c r="K502" s="33"/>
    </row>
    <row r="503">
      <c r="A503" s="20">
        <v>2014.0</v>
      </c>
      <c r="B503" s="21">
        <v>7.0</v>
      </c>
      <c r="C503" s="21">
        <v>1.0</v>
      </c>
      <c r="D503" s="21">
        <v>12.0</v>
      </c>
      <c r="E503" s="22" t="s">
        <v>16</v>
      </c>
      <c r="F503" s="22" t="s">
        <v>28</v>
      </c>
      <c r="G503" s="21">
        <v>5.0</v>
      </c>
      <c r="H503" s="21">
        <v>3.73</v>
      </c>
      <c r="I503" s="23">
        <v>8.73</v>
      </c>
      <c r="J503" s="33"/>
      <c r="K503" s="33"/>
    </row>
    <row r="504">
      <c r="A504" s="15">
        <v>2014.0</v>
      </c>
      <c r="B504" s="16">
        <v>7.0</v>
      </c>
      <c r="C504" s="16">
        <v>1.0</v>
      </c>
      <c r="D504" s="16">
        <v>12.0</v>
      </c>
      <c r="E504" s="17" t="s">
        <v>16</v>
      </c>
      <c r="F504" s="17" t="s">
        <v>26</v>
      </c>
      <c r="G504" s="16">
        <v>8.83</v>
      </c>
      <c r="H504" s="16">
        <v>7.0</v>
      </c>
      <c r="I504" s="19">
        <v>15.83</v>
      </c>
      <c r="J504" s="33"/>
      <c r="K504" s="33"/>
    </row>
    <row r="505">
      <c r="A505" s="20">
        <v>2014.0</v>
      </c>
      <c r="B505" s="21">
        <v>7.0</v>
      </c>
      <c r="C505" s="21">
        <v>1.0</v>
      </c>
      <c r="D505" s="21">
        <v>12.0</v>
      </c>
      <c r="E505" s="22" t="s">
        <v>16</v>
      </c>
      <c r="F505" s="22" t="s">
        <v>60</v>
      </c>
      <c r="G505" s="21">
        <v>9.57</v>
      </c>
      <c r="H505" s="21">
        <v>8.67</v>
      </c>
      <c r="I505" s="23">
        <v>18.24</v>
      </c>
      <c r="J505" s="33"/>
      <c r="K505" s="33"/>
    </row>
    <row r="506">
      <c r="A506" s="15">
        <v>2014.0</v>
      </c>
      <c r="B506" s="16">
        <v>7.0</v>
      </c>
      <c r="C506" s="16">
        <v>2.0</v>
      </c>
      <c r="D506" s="16">
        <v>1.0</v>
      </c>
      <c r="E506" s="17" t="s">
        <v>16</v>
      </c>
      <c r="F506" s="17" t="s">
        <v>39</v>
      </c>
      <c r="G506" s="16">
        <v>9.0</v>
      </c>
      <c r="H506" s="16">
        <v>8.17</v>
      </c>
      <c r="I506" s="19">
        <v>17.17</v>
      </c>
      <c r="J506" s="33"/>
      <c r="K506" s="33"/>
    </row>
    <row r="507">
      <c r="A507" s="20">
        <v>2014.0</v>
      </c>
      <c r="B507" s="21">
        <v>7.0</v>
      </c>
      <c r="C507" s="21">
        <v>2.0</v>
      </c>
      <c r="D507" s="21">
        <v>1.0</v>
      </c>
      <c r="E507" s="22" t="s">
        <v>16</v>
      </c>
      <c r="F507" s="22" t="s">
        <v>115</v>
      </c>
      <c r="G507" s="21">
        <v>7.83</v>
      </c>
      <c r="H507" s="21">
        <v>4.67</v>
      </c>
      <c r="I507" s="23">
        <v>12.5</v>
      </c>
      <c r="J507" s="33"/>
      <c r="K507" s="33"/>
    </row>
    <row r="508">
      <c r="A508" s="15">
        <v>2014.0</v>
      </c>
      <c r="B508" s="16">
        <v>7.0</v>
      </c>
      <c r="C508" s="16">
        <v>2.0</v>
      </c>
      <c r="D508" s="16">
        <v>2.0</v>
      </c>
      <c r="E508" s="17" t="s">
        <v>16</v>
      </c>
      <c r="F508" s="17" t="s">
        <v>42</v>
      </c>
      <c r="G508" s="16">
        <v>6.67</v>
      </c>
      <c r="H508" s="16">
        <v>5.1</v>
      </c>
      <c r="I508" s="19">
        <v>11.77</v>
      </c>
      <c r="J508" s="33"/>
      <c r="K508" s="33"/>
    </row>
    <row r="509">
      <c r="A509" s="20">
        <v>2014.0</v>
      </c>
      <c r="B509" s="21">
        <v>7.0</v>
      </c>
      <c r="C509" s="21">
        <v>2.0</v>
      </c>
      <c r="D509" s="21">
        <v>2.0</v>
      </c>
      <c r="E509" s="22" t="s">
        <v>16</v>
      </c>
      <c r="F509" s="22" t="s">
        <v>132</v>
      </c>
      <c r="G509" s="21">
        <v>10.0</v>
      </c>
      <c r="H509" s="21">
        <v>2.0</v>
      </c>
      <c r="I509" s="23">
        <v>12.0</v>
      </c>
      <c r="J509" s="33"/>
      <c r="K509" s="33"/>
    </row>
    <row r="510">
      <c r="A510" s="15">
        <v>2014.0</v>
      </c>
      <c r="B510" s="16">
        <v>7.0</v>
      </c>
      <c r="C510" s="16">
        <v>2.0</v>
      </c>
      <c r="D510" s="16">
        <v>3.0</v>
      </c>
      <c r="E510" s="17" t="s">
        <v>16</v>
      </c>
      <c r="F510" s="17" t="s">
        <v>45</v>
      </c>
      <c r="G510" s="16">
        <v>9.07</v>
      </c>
      <c r="H510" s="16">
        <v>8.83</v>
      </c>
      <c r="I510" s="19">
        <v>17.9</v>
      </c>
      <c r="J510" s="33"/>
      <c r="K510" s="33"/>
    </row>
    <row r="511">
      <c r="A511" s="20">
        <v>2014.0</v>
      </c>
      <c r="B511" s="21">
        <v>7.0</v>
      </c>
      <c r="C511" s="21">
        <v>2.0</v>
      </c>
      <c r="D511" s="21">
        <v>3.0</v>
      </c>
      <c r="E511" s="22" t="s">
        <v>16</v>
      </c>
      <c r="F511" s="22" t="s">
        <v>130</v>
      </c>
      <c r="G511" s="21">
        <v>7.17</v>
      </c>
      <c r="H511" s="21">
        <v>4.07</v>
      </c>
      <c r="I511" s="23">
        <v>11.24</v>
      </c>
      <c r="J511" s="33"/>
      <c r="K511" s="33"/>
    </row>
    <row r="512">
      <c r="A512" s="15">
        <v>2014.0</v>
      </c>
      <c r="B512" s="16">
        <v>7.0</v>
      </c>
      <c r="C512" s="16">
        <v>2.0</v>
      </c>
      <c r="D512" s="16">
        <v>4.0</v>
      </c>
      <c r="E512" s="17" t="s">
        <v>16</v>
      </c>
      <c r="F512" s="17" t="s">
        <v>28</v>
      </c>
      <c r="G512" s="16">
        <v>4.33</v>
      </c>
      <c r="H512" s="16">
        <v>1.0</v>
      </c>
      <c r="I512" s="19">
        <v>5.33</v>
      </c>
      <c r="J512" s="33"/>
      <c r="K512" s="33"/>
    </row>
    <row r="513">
      <c r="A513" s="20">
        <v>2014.0</v>
      </c>
      <c r="B513" s="21">
        <v>7.0</v>
      </c>
      <c r="C513" s="21">
        <v>2.0</v>
      </c>
      <c r="D513" s="21">
        <v>4.0</v>
      </c>
      <c r="E513" s="22" t="s">
        <v>16</v>
      </c>
      <c r="F513" s="22" t="s">
        <v>91</v>
      </c>
      <c r="G513" s="21">
        <v>6.0</v>
      </c>
      <c r="H513" s="21">
        <v>5.5</v>
      </c>
      <c r="I513" s="23">
        <v>11.5</v>
      </c>
      <c r="J513" s="33"/>
      <c r="K513" s="33"/>
    </row>
    <row r="514">
      <c r="A514" s="15">
        <v>2014.0</v>
      </c>
      <c r="B514" s="16">
        <v>7.0</v>
      </c>
      <c r="C514" s="16">
        <v>2.0</v>
      </c>
      <c r="D514" s="16">
        <v>5.0</v>
      </c>
      <c r="E514" s="17" t="s">
        <v>16</v>
      </c>
      <c r="F514" s="17" t="s">
        <v>26</v>
      </c>
      <c r="G514" s="16">
        <v>6.0</v>
      </c>
      <c r="H514" s="16">
        <v>5.0</v>
      </c>
      <c r="I514" s="19">
        <v>11.0</v>
      </c>
      <c r="J514" s="33"/>
      <c r="K514" s="33"/>
    </row>
    <row r="515">
      <c r="A515" s="20">
        <v>2014.0</v>
      </c>
      <c r="B515" s="21">
        <v>7.0</v>
      </c>
      <c r="C515" s="21">
        <v>2.0</v>
      </c>
      <c r="D515" s="21">
        <v>5.0</v>
      </c>
      <c r="E515" s="22" t="s">
        <v>16</v>
      </c>
      <c r="F515" s="22" t="s">
        <v>131</v>
      </c>
      <c r="G515" s="21">
        <v>1.63</v>
      </c>
      <c r="H515" s="21">
        <v>0.8</v>
      </c>
      <c r="I515" s="23">
        <v>2.43</v>
      </c>
      <c r="J515" s="33"/>
      <c r="K515" s="33"/>
    </row>
    <row r="516">
      <c r="A516" s="15">
        <v>2014.0</v>
      </c>
      <c r="B516" s="16">
        <v>7.0</v>
      </c>
      <c r="C516" s="16">
        <v>2.0</v>
      </c>
      <c r="D516" s="16">
        <v>6.0</v>
      </c>
      <c r="E516" s="17" t="s">
        <v>16</v>
      </c>
      <c r="F516" s="17" t="s">
        <v>59</v>
      </c>
      <c r="G516" s="16">
        <v>4.0</v>
      </c>
      <c r="H516" s="16">
        <v>2.33</v>
      </c>
      <c r="I516" s="19">
        <v>6.33</v>
      </c>
      <c r="J516" s="33"/>
      <c r="K516" s="33"/>
    </row>
    <row r="517">
      <c r="A517" s="20">
        <v>2014.0</v>
      </c>
      <c r="B517" s="21">
        <v>7.0</v>
      </c>
      <c r="C517" s="21">
        <v>2.0</v>
      </c>
      <c r="D517" s="21">
        <v>6.0</v>
      </c>
      <c r="E517" s="22" t="s">
        <v>16</v>
      </c>
      <c r="F517" s="22" t="s">
        <v>99</v>
      </c>
      <c r="G517" s="21">
        <v>2.3</v>
      </c>
      <c r="H517" s="21">
        <v>0.63</v>
      </c>
      <c r="I517" s="23">
        <v>2.93</v>
      </c>
      <c r="J517" s="33"/>
      <c r="K517" s="33"/>
    </row>
    <row r="518">
      <c r="A518" s="15">
        <v>2014.0</v>
      </c>
      <c r="B518" s="16">
        <v>7.0</v>
      </c>
      <c r="C518" s="16">
        <v>2.0</v>
      </c>
      <c r="D518" s="16">
        <v>7.0</v>
      </c>
      <c r="E518" s="17" t="s">
        <v>16</v>
      </c>
      <c r="F518" s="17" t="s">
        <v>31</v>
      </c>
      <c r="G518" s="16">
        <v>6.0</v>
      </c>
      <c r="H518" s="16">
        <v>1.6</v>
      </c>
      <c r="I518" s="19">
        <v>7.6</v>
      </c>
      <c r="J518" s="33"/>
      <c r="K518" s="33"/>
    </row>
    <row r="519">
      <c r="A519" s="20">
        <v>2014.0</v>
      </c>
      <c r="B519" s="21">
        <v>7.0</v>
      </c>
      <c r="C519" s="21">
        <v>2.0</v>
      </c>
      <c r="D519" s="21">
        <v>7.0</v>
      </c>
      <c r="E519" s="22" t="s">
        <v>16</v>
      </c>
      <c r="F519" s="22" t="s">
        <v>120</v>
      </c>
      <c r="G519" s="21">
        <v>6.67</v>
      </c>
      <c r="H519" s="21">
        <v>1.1</v>
      </c>
      <c r="I519" s="23">
        <v>7.77</v>
      </c>
      <c r="J519" s="33"/>
      <c r="K519" s="33"/>
    </row>
    <row r="520">
      <c r="A520" s="15">
        <v>2014.0</v>
      </c>
      <c r="B520" s="16">
        <v>7.0</v>
      </c>
      <c r="C520" s="16">
        <v>2.0</v>
      </c>
      <c r="D520" s="16">
        <v>8.0</v>
      </c>
      <c r="E520" s="17" t="s">
        <v>16</v>
      </c>
      <c r="F520" s="17" t="s">
        <v>123</v>
      </c>
      <c r="G520" s="16">
        <v>8.87</v>
      </c>
      <c r="H520" s="16">
        <v>8.17</v>
      </c>
      <c r="I520" s="19">
        <v>17.04</v>
      </c>
      <c r="J520" s="33"/>
      <c r="K520" s="33"/>
    </row>
    <row r="521">
      <c r="A521" s="20">
        <v>2014.0</v>
      </c>
      <c r="B521" s="21">
        <v>7.0</v>
      </c>
      <c r="C521" s="21">
        <v>2.0</v>
      </c>
      <c r="D521" s="21">
        <v>8.0</v>
      </c>
      <c r="E521" s="22" t="s">
        <v>16</v>
      </c>
      <c r="F521" s="22" t="s">
        <v>107</v>
      </c>
      <c r="G521" s="21">
        <v>9.23</v>
      </c>
      <c r="H521" s="21">
        <v>8.23</v>
      </c>
      <c r="I521" s="23">
        <v>17.46</v>
      </c>
      <c r="J521" s="33"/>
      <c r="K521" s="33"/>
    </row>
    <row r="522">
      <c r="A522" s="15">
        <v>2014.0</v>
      </c>
      <c r="B522" s="16">
        <v>7.0</v>
      </c>
      <c r="C522" s="16">
        <v>2.0</v>
      </c>
      <c r="D522" s="16">
        <v>9.0</v>
      </c>
      <c r="E522" s="17" t="s">
        <v>16</v>
      </c>
      <c r="F522" s="17" t="s">
        <v>125</v>
      </c>
      <c r="G522" s="16">
        <v>10.0</v>
      </c>
      <c r="H522" s="16">
        <v>0.0</v>
      </c>
      <c r="I522" s="19">
        <v>10.0</v>
      </c>
      <c r="J522" s="33"/>
      <c r="K522" s="33"/>
    </row>
    <row r="523">
      <c r="A523" s="20">
        <v>2014.0</v>
      </c>
      <c r="B523" s="21">
        <v>7.0</v>
      </c>
      <c r="C523" s="21">
        <v>2.0</v>
      </c>
      <c r="D523" s="21">
        <v>9.0</v>
      </c>
      <c r="E523" s="22" t="s">
        <v>16</v>
      </c>
      <c r="F523" s="22" t="s">
        <v>122</v>
      </c>
      <c r="G523" s="21">
        <v>0.0</v>
      </c>
      <c r="H523" s="21">
        <v>0.0</v>
      </c>
      <c r="I523" s="23">
        <v>0.0</v>
      </c>
      <c r="J523" s="33"/>
      <c r="K523" s="33"/>
    </row>
    <row r="524">
      <c r="A524" s="15">
        <v>2014.0</v>
      </c>
      <c r="B524" s="16">
        <v>7.0</v>
      </c>
      <c r="C524" s="16">
        <v>2.0</v>
      </c>
      <c r="D524" s="16">
        <v>10.0</v>
      </c>
      <c r="E524" s="17" t="s">
        <v>16</v>
      </c>
      <c r="F524" s="17" t="s">
        <v>55</v>
      </c>
      <c r="G524" s="16">
        <v>5.83</v>
      </c>
      <c r="H524" s="16">
        <v>2.77</v>
      </c>
      <c r="I524" s="19">
        <v>8.6</v>
      </c>
      <c r="J524" s="33"/>
      <c r="K524" s="33"/>
    </row>
    <row r="525">
      <c r="A525" s="20">
        <v>2014.0</v>
      </c>
      <c r="B525" s="21">
        <v>7.0</v>
      </c>
      <c r="C525" s="21">
        <v>2.0</v>
      </c>
      <c r="D525" s="21">
        <v>10.0</v>
      </c>
      <c r="E525" s="22" t="s">
        <v>16</v>
      </c>
      <c r="F525" s="22" t="s">
        <v>124</v>
      </c>
      <c r="G525" s="21">
        <v>5.17</v>
      </c>
      <c r="H525" s="21">
        <v>5.0</v>
      </c>
      <c r="I525" s="23">
        <v>10.17</v>
      </c>
      <c r="J525" s="33"/>
      <c r="K525" s="33"/>
    </row>
    <row r="526">
      <c r="A526" s="15">
        <v>2014.0</v>
      </c>
      <c r="B526" s="16">
        <v>7.0</v>
      </c>
      <c r="C526" s="16">
        <v>2.0</v>
      </c>
      <c r="D526" s="16">
        <v>11.0</v>
      </c>
      <c r="E526" s="17" t="s">
        <v>16</v>
      </c>
      <c r="F526" s="17" t="s">
        <v>38</v>
      </c>
      <c r="G526" s="16">
        <v>9.97</v>
      </c>
      <c r="H526" s="16">
        <v>5.83</v>
      </c>
      <c r="I526" s="19">
        <v>15.8</v>
      </c>
      <c r="J526" s="33"/>
      <c r="K526" s="33"/>
    </row>
    <row r="527">
      <c r="A527" s="20">
        <v>2014.0</v>
      </c>
      <c r="B527" s="21">
        <v>7.0</v>
      </c>
      <c r="C527" s="21">
        <v>2.0</v>
      </c>
      <c r="D527" s="21">
        <v>11.0</v>
      </c>
      <c r="E527" s="22" t="s">
        <v>16</v>
      </c>
      <c r="F527" s="22" t="s">
        <v>76</v>
      </c>
      <c r="G527" s="21">
        <v>1.3</v>
      </c>
      <c r="H527" s="21">
        <v>0.7</v>
      </c>
      <c r="I527" s="23">
        <v>2.0</v>
      </c>
      <c r="J527" s="33"/>
      <c r="K527" s="33"/>
    </row>
    <row r="528">
      <c r="A528" s="15">
        <v>2014.0</v>
      </c>
      <c r="B528" s="16">
        <v>7.0</v>
      </c>
      <c r="C528" s="16">
        <v>2.0</v>
      </c>
      <c r="D528" s="16">
        <v>12.0</v>
      </c>
      <c r="E528" s="17" t="s">
        <v>16</v>
      </c>
      <c r="F528" s="17" t="s">
        <v>34</v>
      </c>
      <c r="G528" s="16">
        <v>7.1</v>
      </c>
      <c r="H528" s="16">
        <v>6.17</v>
      </c>
      <c r="I528" s="19">
        <v>13.27</v>
      </c>
      <c r="J528" s="33"/>
      <c r="K528" s="33"/>
    </row>
    <row r="529">
      <c r="A529" s="20">
        <v>2014.0</v>
      </c>
      <c r="B529" s="21">
        <v>7.0</v>
      </c>
      <c r="C529" s="21">
        <v>2.0</v>
      </c>
      <c r="D529" s="21">
        <v>12.0</v>
      </c>
      <c r="E529" s="22" t="s">
        <v>16</v>
      </c>
      <c r="F529" s="22" t="s">
        <v>29</v>
      </c>
      <c r="G529" s="21">
        <v>6.93</v>
      </c>
      <c r="H529" s="21">
        <v>1.9</v>
      </c>
      <c r="I529" s="23">
        <v>8.83</v>
      </c>
      <c r="J529" s="33"/>
      <c r="K529" s="33"/>
    </row>
    <row r="530">
      <c r="A530" s="15">
        <v>2014.0</v>
      </c>
      <c r="B530" s="16">
        <v>7.0</v>
      </c>
      <c r="C530" s="16">
        <v>3.0</v>
      </c>
      <c r="D530" s="16">
        <v>1.0</v>
      </c>
      <c r="E530" s="17" t="s">
        <v>16</v>
      </c>
      <c r="F530" s="17" t="s">
        <v>62</v>
      </c>
      <c r="G530" s="16">
        <v>7.4</v>
      </c>
      <c r="H530" s="16">
        <v>6.17</v>
      </c>
      <c r="I530" s="19">
        <v>13.57</v>
      </c>
      <c r="J530" s="33"/>
      <c r="K530" s="33"/>
    </row>
    <row r="531">
      <c r="A531" s="20">
        <v>2014.0</v>
      </c>
      <c r="B531" s="21">
        <v>7.0</v>
      </c>
      <c r="C531" s="21">
        <v>3.0</v>
      </c>
      <c r="D531" s="21">
        <v>1.0</v>
      </c>
      <c r="E531" s="22" t="s">
        <v>16</v>
      </c>
      <c r="F531" s="22" t="s">
        <v>120</v>
      </c>
      <c r="G531" s="21">
        <v>9.67</v>
      </c>
      <c r="H531" s="21">
        <v>9.0</v>
      </c>
      <c r="I531" s="23">
        <v>18.67</v>
      </c>
      <c r="J531" s="33"/>
      <c r="K531" s="33"/>
    </row>
    <row r="532">
      <c r="A532" s="15">
        <v>2014.0</v>
      </c>
      <c r="B532" s="16">
        <v>7.0</v>
      </c>
      <c r="C532" s="16">
        <v>3.0</v>
      </c>
      <c r="D532" s="16">
        <v>2.0</v>
      </c>
      <c r="E532" s="17" t="s">
        <v>16</v>
      </c>
      <c r="F532" s="17" t="s">
        <v>45</v>
      </c>
      <c r="G532" s="16">
        <v>7.73</v>
      </c>
      <c r="H532" s="16">
        <v>7.0</v>
      </c>
      <c r="I532" s="19">
        <v>14.73</v>
      </c>
      <c r="J532" s="33"/>
      <c r="K532" s="33"/>
    </row>
    <row r="533">
      <c r="A533" s="20">
        <v>2014.0</v>
      </c>
      <c r="B533" s="21">
        <v>7.0</v>
      </c>
      <c r="C533" s="21">
        <v>3.0</v>
      </c>
      <c r="D533" s="21">
        <v>2.0</v>
      </c>
      <c r="E533" s="22" t="s">
        <v>16</v>
      </c>
      <c r="F533" s="22" t="s">
        <v>47</v>
      </c>
      <c r="G533" s="21">
        <v>9.0</v>
      </c>
      <c r="H533" s="21">
        <v>7.33</v>
      </c>
      <c r="I533" s="23">
        <v>16.33</v>
      </c>
      <c r="J533" s="33"/>
      <c r="K533" s="33"/>
    </row>
    <row r="534">
      <c r="A534" s="15">
        <v>2014.0</v>
      </c>
      <c r="B534" s="16">
        <v>7.0</v>
      </c>
      <c r="C534" s="16">
        <v>3.0</v>
      </c>
      <c r="D534" s="16">
        <v>3.0</v>
      </c>
      <c r="E534" s="17" t="s">
        <v>16</v>
      </c>
      <c r="F534" s="17" t="s">
        <v>27</v>
      </c>
      <c r="G534" s="16">
        <v>8.27</v>
      </c>
      <c r="H534" s="16">
        <v>6.63</v>
      </c>
      <c r="I534" s="19">
        <v>14.9</v>
      </c>
      <c r="J534" s="33"/>
      <c r="K534" s="33"/>
    </row>
    <row r="535">
      <c r="A535" s="20">
        <v>2014.0</v>
      </c>
      <c r="B535" s="21">
        <v>7.0</v>
      </c>
      <c r="C535" s="21">
        <v>3.0</v>
      </c>
      <c r="D535" s="21">
        <v>3.0</v>
      </c>
      <c r="E535" s="22" t="s">
        <v>16</v>
      </c>
      <c r="F535" s="22" t="s">
        <v>107</v>
      </c>
      <c r="G535" s="21">
        <v>8.27</v>
      </c>
      <c r="H535" s="21">
        <v>6.5</v>
      </c>
      <c r="I535" s="23">
        <v>14.77</v>
      </c>
      <c r="J535" s="33"/>
      <c r="K535" s="33"/>
    </row>
    <row r="536">
      <c r="A536" s="15">
        <v>2014.0</v>
      </c>
      <c r="B536" s="16">
        <v>7.0</v>
      </c>
      <c r="C536" s="16">
        <v>3.0</v>
      </c>
      <c r="D536" s="16">
        <v>4.0</v>
      </c>
      <c r="E536" s="17" t="s">
        <v>16</v>
      </c>
      <c r="F536" s="17" t="s">
        <v>32</v>
      </c>
      <c r="G536" s="16">
        <v>9.23</v>
      </c>
      <c r="H536" s="16">
        <v>8.87</v>
      </c>
      <c r="I536" s="19">
        <v>18.1</v>
      </c>
      <c r="J536" s="33"/>
      <c r="K536" s="33"/>
    </row>
    <row r="537">
      <c r="A537" s="20">
        <v>2014.0</v>
      </c>
      <c r="B537" s="21">
        <v>7.0</v>
      </c>
      <c r="C537" s="21">
        <v>3.0</v>
      </c>
      <c r="D537" s="21">
        <v>4.0</v>
      </c>
      <c r="E537" s="22" t="s">
        <v>16</v>
      </c>
      <c r="F537" s="22" t="s">
        <v>124</v>
      </c>
      <c r="G537" s="21">
        <v>5.67</v>
      </c>
      <c r="H537" s="21">
        <v>4.5</v>
      </c>
      <c r="I537" s="23">
        <v>10.17</v>
      </c>
      <c r="J537" s="33"/>
      <c r="K537" s="33"/>
    </row>
    <row r="538">
      <c r="A538" s="15">
        <v>2014.0</v>
      </c>
      <c r="B538" s="16">
        <v>7.0</v>
      </c>
      <c r="C538" s="16">
        <v>3.0</v>
      </c>
      <c r="D538" s="16">
        <v>5.0</v>
      </c>
      <c r="E538" s="17" t="s">
        <v>16</v>
      </c>
      <c r="F538" s="17" t="s">
        <v>59</v>
      </c>
      <c r="G538" s="16">
        <v>8.17</v>
      </c>
      <c r="H538" s="16">
        <v>4.93</v>
      </c>
      <c r="I538" s="19">
        <v>13.1</v>
      </c>
      <c r="J538" s="33"/>
      <c r="K538" s="33"/>
    </row>
    <row r="539">
      <c r="A539" s="20">
        <v>2014.0</v>
      </c>
      <c r="B539" s="21">
        <v>7.0</v>
      </c>
      <c r="C539" s="21">
        <v>3.0</v>
      </c>
      <c r="D539" s="21">
        <v>5.0</v>
      </c>
      <c r="E539" s="22" t="s">
        <v>16</v>
      </c>
      <c r="F539" s="22" t="s">
        <v>125</v>
      </c>
      <c r="G539" s="21">
        <v>6.67</v>
      </c>
      <c r="H539" s="21">
        <v>6.43</v>
      </c>
      <c r="I539" s="23">
        <v>13.1</v>
      </c>
      <c r="J539" s="33"/>
      <c r="K539" s="33"/>
    </row>
    <row r="540">
      <c r="A540" s="15">
        <v>2014.0</v>
      </c>
      <c r="B540" s="16">
        <v>7.0</v>
      </c>
      <c r="C540" s="16">
        <v>3.0</v>
      </c>
      <c r="D540" s="16">
        <v>6.0</v>
      </c>
      <c r="E540" s="17" t="s">
        <v>16</v>
      </c>
      <c r="F540" s="17" t="s">
        <v>30</v>
      </c>
      <c r="G540" s="16">
        <v>9.77</v>
      </c>
      <c r="H540" s="16">
        <v>9.03</v>
      </c>
      <c r="I540" s="19">
        <v>18.8</v>
      </c>
      <c r="J540" s="33"/>
      <c r="K540" s="33"/>
    </row>
    <row r="541">
      <c r="A541" s="20">
        <v>2014.0</v>
      </c>
      <c r="B541" s="21">
        <v>7.0</v>
      </c>
      <c r="C541" s="21">
        <v>3.0</v>
      </c>
      <c r="D541" s="21">
        <v>6.0</v>
      </c>
      <c r="E541" s="22" t="s">
        <v>16</v>
      </c>
      <c r="F541" s="22" t="s">
        <v>132</v>
      </c>
      <c r="G541" s="21">
        <v>9.27</v>
      </c>
      <c r="H541" s="21">
        <v>4.17</v>
      </c>
      <c r="I541" s="23">
        <v>13.44</v>
      </c>
      <c r="J541" s="33"/>
      <c r="K541" s="33"/>
    </row>
    <row r="542">
      <c r="A542" s="15">
        <v>2014.0</v>
      </c>
      <c r="B542" s="16">
        <v>7.0</v>
      </c>
      <c r="C542" s="16">
        <v>3.0</v>
      </c>
      <c r="D542" s="16">
        <v>7.0</v>
      </c>
      <c r="E542" s="17" t="s">
        <v>16</v>
      </c>
      <c r="F542" s="17" t="s">
        <v>39</v>
      </c>
      <c r="G542" s="16">
        <v>7.17</v>
      </c>
      <c r="H542" s="16">
        <v>6.0</v>
      </c>
      <c r="I542" s="19">
        <v>13.17</v>
      </c>
      <c r="J542" s="33"/>
      <c r="K542" s="33"/>
    </row>
    <row r="543">
      <c r="A543" s="20">
        <v>2014.0</v>
      </c>
      <c r="B543" s="21">
        <v>7.0</v>
      </c>
      <c r="C543" s="21">
        <v>3.0</v>
      </c>
      <c r="D543" s="21">
        <v>7.0</v>
      </c>
      <c r="E543" s="22" t="s">
        <v>16</v>
      </c>
      <c r="F543" s="22" t="s">
        <v>91</v>
      </c>
      <c r="G543" s="21">
        <v>8.73</v>
      </c>
      <c r="H543" s="21">
        <v>7.5</v>
      </c>
      <c r="I543" s="23">
        <v>16.23</v>
      </c>
      <c r="J543" s="33"/>
      <c r="K543" s="33"/>
    </row>
    <row r="544">
      <c r="A544" s="15">
        <v>2014.0</v>
      </c>
      <c r="B544" s="16">
        <v>7.0</v>
      </c>
      <c r="C544" s="16">
        <v>3.0</v>
      </c>
      <c r="D544" s="16">
        <v>8.0</v>
      </c>
      <c r="E544" s="17" t="s">
        <v>16</v>
      </c>
      <c r="F544" s="17" t="s">
        <v>26</v>
      </c>
      <c r="G544" s="16">
        <v>10.0</v>
      </c>
      <c r="H544" s="16">
        <v>9.93</v>
      </c>
      <c r="I544" s="19">
        <v>19.93</v>
      </c>
      <c r="J544" s="33"/>
      <c r="K544" s="33"/>
    </row>
    <row r="545">
      <c r="A545" s="20">
        <v>2014.0</v>
      </c>
      <c r="B545" s="21">
        <v>7.0</v>
      </c>
      <c r="C545" s="21">
        <v>3.0</v>
      </c>
      <c r="D545" s="21">
        <v>8.0</v>
      </c>
      <c r="E545" s="22" t="s">
        <v>16</v>
      </c>
      <c r="F545" s="22" t="s">
        <v>38</v>
      </c>
      <c r="G545" s="21">
        <v>9.37</v>
      </c>
      <c r="H545" s="21">
        <v>9.13</v>
      </c>
      <c r="I545" s="23">
        <v>18.5</v>
      </c>
      <c r="J545" s="33"/>
      <c r="K545" s="33"/>
    </row>
    <row r="546">
      <c r="A546" s="15">
        <v>2014.0</v>
      </c>
      <c r="B546" s="16">
        <v>7.0</v>
      </c>
      <c r="C546" s="16">
        <v>3.0</v>
      </c>
      <c r="D546" s="16">
        <v>9.0</v>
      </c>
      <c r="E546" s="17" t="s">
        <v>16</v>
      </c>
      <c r="F546" s="17" t="s">
        <v>56</v>
      </c>
      <c r="G546" s="16">
        <v>9.13</v>
      </c>
      <c r="H546" s="16">
        <v>8.93</v>
      </c>
      <c r="I546" s="19">
        <v>18.06</v>
      </c>
      <c r="J546" s="33"/>
      <c r="K546" s="33"/>
    </row>
    <row r="547">
      <c r="A547" s="20">
        <v>2014.0</v>
      </c>
      <c r="B547" s="21">
        <v>7.0</v>
      </c>
      <c r="C547" s="21">
        <v>3.0</v>
      </c>
      <c r="D547" s="21">
        <v>9.0</v>
      </c>
      <c r="E547" s="22" t="s">
        <v>16</v>
      </c>
      <c r="F547" s="22" t="s">
        <v>60</v>
      </c>
      <c r="G547" s="21">
        <v>10.0</v>
      </c>
      <c r="H547" s="21">
        <v>8.17</v>
      </c>
      <c r="I547" s="23">
        <v>18.17</v>
      </c>
      <c r="J547" s="33"/>
      <c r="K547" s="33"/>
    </row>
    <row r="548">
      <c r="A548" s="15">
        <v>2014.0</v>
      </c>
      <c r="B548" s="16">
        <v>7.0</v>
      </c>
      <c r="C548" s="16">
        <v>3.0</v>
      </c>
      <c r="D548" s="16">
        <v>10.0</v>
      </c>
      <c r="E548" s="17" t="s">
        <v>16</v>
      </c>
      <c r="F548" s="17" t="s">
        <v>37</v>
      </c>
      <c r="G548" s="16">
        <v>9.87</v>
      </c>
      <c r="H548" s="16">
        <v>9.57</v>
      </c>
      <c r="I548" s="19">
        <v>19.44</v>
      </c>
      <c r="J548" s="33"/>
      <c r="K548" s="33"/>
    </row>
    <row r="549">
      <c r="A549" s="20">
        <v>2014.0</v>
      </c>
      <c r="B549" s="21">
        <v>7.0</v>
      </c>
      <c r="C549" s="21">
        <v>3.0</v>
      </c>
      <c r="D549" s="21">
        <v>10.0</v>
      </c>
      <c r="E549" s="22" t="s">
        <v>16</v>
      </c>
      <c r="F549" s="22" t="s">
        <v>35</v>
      </c>
      <c r="G549" s="21">
        <v>4.33</v>
      </c>
      <c r="H549" s="21">
        <v>2.1</v>
      </c>
      <c r="I549" s="23">
        <v>6.43</v>
      </c>
      <c r="J549" s="33"/>
      <c r="K549" s="33"/>
    </row>
    <row r="550">
      <c r="A550" s="15">
        <v>2014.0</v>
      </c>
      <c r="B550" s="16">
        <v>7.0</v>
      </c>
      <c r="C550" s="16">
        <v>3.0</v>
      </c>
      <c r="D550" s="16">
        <v>11.0</v>
      </c>
      <c r="E550" s="17" t="s">
        <v>16</v>
      </c>
      <c r="F550" s="17" t="s">
        <v>57</v>
      </c>
      <c r="G550" s="16">
        <v>9.43</v>
      </c>
      <c r="H550" s="16">
        <v>8.93</v>
      </c>
      <c r="I550" s="19">
        <v>18.36</v>
      </c>
      <c r="J550" s="33"/>
      <c r="K550" s="33"/>
    </row>
    <row r="551">
      <c r="A551" s="20">
        <v>2014.0</v>
      </c>
      <c r="B551" s="21">
        <v>7.0</v>
      </c>
      <c r="C551" s="21">
        <v>3.0</v>
      </c>
      <c r="D551" s="21">
        <v>11.0</v>
      </c>
      <c r="E551" s="22" t="s">
        <v>16</v>
      </c>
      <c r="F551" s="22" t="s">
        <v>34</v>
      </c>
      <c r="G551" s="21">
        <v>3.93</v>
      </c>
      <c r="H551" s="21">
        <v>1.43</v>
      </c>
      <c r="I551" s="23">
        <v>5.36</v>
      </c>
      <c r="J551" s="33"/>
      <c r="K551" s="33"/>
    </row>
    <row r="552">
      <c r="A552" s="15">
        <v>2014.0</v>
      </c>
      <c r="B552" s="16">
        <v>7.0</v>
      </c>
      <c r="C552" s="16">
        <v>3.0</v>
      </c>
      <c r="D552" s="16">
        <v>12.0</v>
      </c>
      <c r="E552" s="17" t="s">
        <v>16</v>
      </c>
      <c r="F552" s="17" t="s">
        <v>41</v>
      </c>
      <c r="G552" s="16">
        <v>5.67</v>
      </c>
      <c r="H552" s="16">
        <v>0.27</v>
      </c>
      <c r="I552" s="19">
        <v>5.94</v>
      </c>
      <c r="J552" s="33"/>
      <c r="K552" s="33"/>
    </row>
    <row r="553">
      <c r="A553" s="20">
        <v>2014.0</v>
      </c>
      <c r="B553" s="21">
        <v>7.0</v>
      </c>
      <c r="C553" s="21">
        <v>3.0</v>
      </c>
      <c r="D553" s="21">
        <v>12.0</v>
      </c>
      <c r="E553" s="22" t="s">
        <v>16</v>
      </c>
      <c r="F553" s="22" t="s">
        <v>126</v>
      </c>
      <c r="G553" s="21">
        <v>9.5</v>
      </c>
      <c r="H553" s="21">
        <v>7.0</v>
      </c>
      <c r="I553" s="23">
        <v>16.5</v>
      </c>
      <c r="J553" s="33"/>
      <c r="K553" s="33"/>
    </row>
    <row r="554">
      <c r="A554" s="15">
        <v>2014.0</v>
      </c>
      <c r="B554" s="16">
        <v>7.0</v>
      </c>
      <c r="C554" s="16">
        <v>4.0</v>
      </c>
      <c r="D554" s="16">
        <v>1.0</v>
      </c>
      <c r="E554" s="17" t="s">
        <v>16</v>
      </c>
      <c r="F554" s="17" t="s">
        <v>120</v>
      </c>
      <c r="G554" s="16">
        <v>3.67</v>
      </c>
      <c r="H554" s="16">
        <v>3.17</v>
      </c>
      <c r="I554" s="19">
        <v>6.84</v>
      </c>
      <c r="J554" s="33"/>
      <c r="K554" s="33"/>
    </row>
    <row r="555">
      <c r="A555" s="20">
        <v>2014.0</v>
      </c>
      <c r="B555" s="21">
        <v>7.0</v>
      </c>
      <c r="C555" s="21">
        <v>4.0</v>
      </c>
      <c r="D555" s="21">
        <v>1.0</v>
      </c>
      <c r="E555" s="22" t="s">
        <v>16</v>
      </c>
      <c r="F555" s="22" t="s">
        <v>47</v>
      </c>
      <c r="G555" s="21">
        <v>8.83</v>
      </c>
      <c r="H555" s="21">
        <v>5.83</v>
      </c>
      <c r="I555" s="23">
        <v>14.66</v>
      </c>
      <c r="J555" s="33"/>
      <c r="K555" s="33"/>
    </row>
    <row r="556">
      <c r="A556" s="15">
        <v>2014.0</v>
      </c>
      <c r="B556" s="16">
        <v>7.0</v>
      </c>
      <c r="C556" s="16">
        <v>4.0</v>
      </c>
      <c r="D556" s="16">
        <v>1.0</v>
      </c>
      <c r="E556" s="17" t="s">
        <v>16</v>
      </c>
      <c r="F556" s="17" t="s">
        <v>27</v>
      </c>
      <c r="G556" s="16">
        <v>7.5</v>
      </c>
      <c r="H556" s="16">
        <v>6.23</v>
      </c>
      <c r="I556" s="19">
        <v>13.73</v>
      </c>
      <c r="J556" s="33"/>
      <c r="K556" s="33"/>
    </row>
    <row r="557">
      <c r="A557" s="20">
        <v>2014.0</v>
      </c>
      <c r="B557" s="21">
        <v>7.0</v>
      </c>
      <c r="C557" s="21">
        <v>4.0</v>
      </c>
      <c r="D557" s="21">
        <v>2.0</v>
      </c>
      <c r="E557" s="22" t="s">
        <v>16</v>
      </c>
      <c r="F557" s="22" t="s">
        <v>32</v>
      </c>
      <c r="G557" s="21">
        <v>8.0</v>
      </c>
      <c r="H557" s="21">
        <v>7.57</v>
      </c>
      <c r="I557" s="23">
        <v>15.57</v>
      </c>
      <c r="J557" s="33"/>
      <c r="K557" s="33"/>
    </row>
    <row r="558">
      <c r="A558" s="15">
        <v>2014.0</v>
      </c>
      <c r="B558" s="16">
        <v>7.0</v>
      </c>
      <c r="C558" s="16">
        <v>4.0</v>
      </c>
      <c r="D558" s="16">
        <v>2.0</v>
      </c>
      <c r="E558" s="17" t="s">
        <v>16</v>
      </c>
      <c r="F558" s="17" t="s">
        <v>59</v>
      </c>
      <c r="G558" s="16">
        <v>4.5</v>
      </c>
      <c r="H558" s="16">
        <v>4.5</v>
      </c>
      <c r="I558" s="19">
        <v>9.0</v>
      </c>
      <c r="J558" s="33"/>
      <c r="K558" s="33"/>
    </row>
    <row r="559">
      <c r="A559" s="20">
        <v>2014.0</v>
      </c>
      <c r="B559" s="21">
        <v>7.0</v>
      </c>
      <c r="C559" s="21">
        <v>4.0</v>
      </c>
      <c r="D559" s="21">
        <v>2.0</v>
      </c>
      <c r="E559" s="22" t="s">
        <v>16</v>
      </c>
      <c r="F559" s="22" t="s">
        <v>30</v>
      </c>
      <c r="G559" s="21">
        <v>8.87</v>
      </c>
      <c r="H559" s="21">
        <v>8.5</v>
      </c>
      <c r="I559" s="23">
        <v>17.37</v>
      </c>
      <c r="J559" s="33"/>
      <c r="K559" s="33"/>
    </row>
    <row r="560">
      <c r="A560" s="15">
        <v>2014.0</v>
      </c>
      <c r="B560" s="16">
        <v>7.0</v>
      </c>
      <c r="C560" s="16">
        <v>4.0</v>
      </c>
      <c r="D560" s="16">
        <v>3.0</v>
      </c>
      <c r="E560" s="17" t="s">
        <v>16</v>
      </c>
      <c r="F560" s="17" t="s">
        <v>91</v>
      </c>
      <c r="G560" s="16">
        <v>6.5</v>
      </c>
      <c r="H560" s="16">
        <v>2.17</v>
      </c>
      <c r="I560" s="19">
        <v>8.67</v>
      </c>
      <c r="J560" s="33"/>
      <c r="K560" s="33"/>
    </row>
    <row r="561">
      <c r="A561" s="20">
        <v>2014.0</v>
      </c>
      <c r="B561" s="21">
        <v>7.0</v>
      </c>
      <c r="C561" s="21">
        <v>4.0</v>
      </c>
      <c r="D561" s="21">
        <v>3.0</v>
      </c>
      <c r="E561" s="22" t="s">
        <v>16</v>
      </c>
      <c r="F561" s="22" t="s">
        <v>26</v>
      </c>
      <c r="G561" s="21">
        <v>9.43</v>
      </c>
      <c r="H561" s="21">
        <v>8.73</v>
      </c>
      <c r="I561" s="23">
        <v>18.16</v>
      </c>
      <c r="J561" s="33"/>
      <c r="K561" s="33"/>
    </row>
    <row r="562">
      <c r="A562" s="15">
        <v>2014.0</v>
      </c>
      <c r="B562" s="16">
        <v>7.0</v>
      </c>
      <c r="C562" s="16">
        <v>4.0</v>
      </c>
      <c r="D562" s="16">
        <v>3.0</v>
      </c>
      <c r="E562" s="17" t="s">
        <v>16</v>
      </c>
      <c r="F562" s="17" t="s">
        <v>60</v>
      </c>
      <c r="G562" s="16">
        <v>6.77</v>
      </c>
      <c r="H562" s="16">
        <v>5.33</v>
      </c>
      <c r="I562" s="19">
        <v>12.1</v>
      </c>
      <c r="J562" s="33"/>
      <c r="K562" s="33"/>
    </row>
    <row r="563">
      <c r="A563" s="20">
        <v>2014.0</v>
      </c>
      <c r="B563" s="21">
        <v>7.0</v>
      </c>
      <c r="C563" s="21">
        <v>4.0</v>
      </c>
      <c r="D563" s="21">
        <v>4.0</v>
      </c>
      <c r="E563" s="22" t="s">
        <v>16</v>
      </c>
      <c r="F563" s="22" t="s">
        <v>37</v>
      </c>
      <c r="G563" s="21">
        <v>9.77</v>
      </c>
      <c r="H563" s="21">
        <v>9.67</v>
      </c>
      <c r="I563" s="23">
        <v>19.44</v>
      </c>
      <c r="J563" s="33"/>
      <c r="K563" s="33"/>
    </row>
    <row r="564">
      <c r="A564" s="15">
        <v>2014.0</v>
      </c>
      <c r="B564" s="16">
        <v>7.0</v>
      </c>
      <c r="C564" s="16">
        <v>4.0</v>
      </c>
      <c r="D564" s="16">
        <v>4.0</v>
      </c>
      <c r="E564" s="17" t="s">
        <v>16</v>
      </c>
      <c r="F564" s="17" t="s">
        <v>57</v>
      </c>
      <c r="G564" s="16">
        <v>8.67</v>
      </c>
      <c r="H564" s="16">
        <v>8.07</v>
      </c>
      <c r="I564" s="19">
        <v>16.74</v>
      </c>
      <c r="J564" s="33"/>
      <c r="K564" s="33"/>
    </row>
    <row r="565">
      <c r="A565" s="20">
        <v>2014.0</v>
      </c>
      <c r="B565" s="21">
        <v>7.0</v>
      </c>
      <c r="C565" s="21">
        <v>4.0</v>
      </c>
      <c r="D565" s="21">
        <v>4.0</v>
      </c>
      <c r="E565" s="22" t="s">
        <v>16</v>
      </c>
      <c r="F565" s="22" t="s">
        <v>126</v>
      </c>
      <c r="G565" s="21">
        <v>6.83</v>
      </c>
      <c r="H565" s="21">
        <v>5.67</v>
      </c>
      <c r="I565" s="23">
        <v>12.5</v>
      </c>
      <c r="J565" s="33"/>
      <c r="K565" s="33"/>
    </row>
    <row r="566">
      <c r="A566" s="15">
        <v>2014.0</v>
      </c>
      <c r="B566" s="16">
        <v>7.0</v>
      </c>
      <c r="C566" s="16">
        <v>5.0</v>
      </c>
      <c r="D566" s="16">
        <v>1.0</v>
      </c>
      <c r="E566" s="17" t="s">
        <v>16</v>
      </c>
      <c r="F566" s="17" t="s">
        <v>27</v>
      </c>
      <c r="G566" s="16">
        <v>7.83</v>
      </c>
      <c r="H566" s="16">
        <v>6.83</v>
      </c>
      <c r="I566" s="19">
        <v>14.66</v>
      </c>
      <c r="J566" s="33"/>
      <c r="K566" s="33"/>
    </row>
    <row r="567">
      <c r="A567" s="20">
        <v>2014.0</v>
      </c>
      <c r="B567" s="21">
        <v>7.0</v>
      </c>
      <c r="C567" s="21">
        <v>5.0</v>
      </c>
      <c r="D567" s="21">
        <v>1.0</v>
      </c>
      <c r="E567" s="22" t="s">
        <v>16</v>
      </c>
      <c r="F567" s="22" t="s">
        <v>59</v>
      </c>
      <c r="G567" s="21">
        <v>7.8</v>
      </c>
      <c r="H567" s="21">
        <v>7.6</v>
      </c>
      <c r="I567" s="23">
        <v>15.4</v>
      </c>
      <c r="J567" s="33"/>
      <c r="K567" s="33"/>
    </row>
    <row r="568">
      <c r="A568" s="15">
        <v>2014.0</v>
      </c>
      <c r="B568" s="16">
        <v>7.0</v>
      </c>
      <c r="C568" s="16">
        <v>5.0</v>
      </c>
      <c r="D568" s="16">
        <v>2.0</v>
      </c>
      <c r="E568" s="17" t="s">
        <v>16</v>
      </c>
      <c r="F568" s="17" t="s">
        <v>32</v>
      </c>
      <c r="G568" s="16">
        <v>9.63</v>
      </c>
      <c r="H568" s="16">
        <v>5.9</v>
      </c>
      <c r="I568" s="19">
        <v>15.53</v>
      </c>
      <c r="J568" s="33"/>
      <c r="K568" s="33"/>
    </row>
    <row r="569">
      <c r="A569" s="20">
        <v>2014.0</v>
      </c>
      <c r="B569" s="21">
        <v>7.0</v>
      </c>
      <c r="C569" s="21">
        <v>5.0</v>
      </c>
      <c r="D569" s="21">
        <v>2.0</v>
      </c>
      <c r="E569" s="22" t="s">
        <v>16</v>
      </c>
      <c r="F569" s="22" t="s">
        <v>120</v>
      </c>
      <c r="G569" s="21">
        <v>4.33</v>
      </c>
      <c r="H569" s="21">
        <v>1.83</v>
      </c>
      <c r="I569" s="23">
        <v>6.16</v>
      </c>
      <c r="J569" s="33"/>
      <c r="K569" s="33"/>
    </row>
    <row r="570">
      <c r="A570" s="15">
        <v>2014.0</v>
      </c>
      <c r="B570" s="16">
        <v>7.0</v>
      </c>
      <c r="C570" s="16">
        <v>5.0</v>
      </c>
      <c r="D570" s="16">
        <v>3.0</v>
      </c>
      <c r="E570" s="17" t="s">
        <v>16</v>
      </c>
      <c r="F570" s="17" t="s">
        <v>60</v>
      </c>
      <c r="G570" s="16">
        <v>8.17</v>
      </c>
      <c r="H570" s="16">
        <v>6.6</v>
      </c>
      <c r="I570" s="19">
        <v>14.77</v>
      </c>
      <c r="J570" s="33"/>
      <c r="K570" s="33"/>
    </row>
    <row r="571">
      <c r="A571" s="20">
        <v>2014.0</v>
      </c>
      <c r="B571" s="21">
        <v>7.0</v>
      </c>
      <c r="C571" s="21">
        <v>5.0</v>
      </c>
      <c r="D571" s="21">
        <v>3.0</v>
      </c>
      <c r="E571" s="22" t="s">
        <v>16</v>
      </c>
      <c r="F571" s="22" t="s">
        <v>126</v>
      </c>
      <c r="G571" s="21">
        <v>9.9</v>
      </c>
      <c r="H571" s="21">
        <v>9.43</v>
      </c>
      <c r="I571" s="23">
        <v>19.33</v>
      </c>
      <c r="J571" s="33"/>
      <c r="K571" s="33"/>
    </row>
    <row r="572">
      <c r="A572" s="15">
        <v>2014.0</v>
      </c>
      <c r="B572" s="16">
        <v>7.0</v>
      </c>
      <c r="C572" s="16">
        <v>5.0</v>
      </c>
      <c r="D572" s="16">
        <v>4.0</v>
      </c>
      <c r="E572" s="17" t="s">
        <v>16</v>
      </c>
      <c r="F572" s="17" t="s">
        <v>57</v>
      </c>
      <c r="G572" s="16">
        <v>10.0</v>
      </c>
      <c r="H572" s="16">
        <v>9.87</v>
      </c>
      <c r="I572" s="19">
        <v>19.87</v>
      </c>
      <c r="J572" s="33"/>
      <c r="K572" s="33"/>
    </row>
    <row r="573">
      <c r="A573" s="20">
        <v>2014.0</v>
      </c>
      <c r="B573" s="21">
        <v>7.0</v>
      </c>
      <c r="C573" s="21">
        <v>5.0</v>
      </c>
      <c r="D573" s="21">
        <v>4.0</v>
      </c>
      <c r="E573" s="22" t="s">
        <v>16</v>
      </c>
      <c r="F573" s="22" t="s">
        <v>91</v>
      </c>
      <c r="G573" s="21">
        <v>7.83</v>
      </c>
      <c r="H573" s="21">
        <v>5.0</v>
      </c>
      <c r="I573" s="23">
        <v>12.83</v>
      </c>
      <c r="J573" s="33"/>
      <c r="K573" s="33"/>
    </row>
    <row r="574">
      <c r="A574" s="15">
        <v>2014.0</v>
      </c>
      <c r="B574" s="16">
        <v>7.0</v>
      </c>
      <c r="C574" s="16">
        <v>6.0</v>
      </c>
      <c r="D574" s="16">
        <v>1.0</v>
      </c>
      <c r="E574" s="17" t="s">
        <v>16</v>
      </c>
      <c r="F574" s="17" t="s">
        <v>47</v>
      </c>
      <c r="G574" s="16">
        <v>9.7</v>
      </c>
      <c r="H574" s="16">
        <v>9.3</v>
      </c>
      <c r="I574" s="19">
        <v>19.0</v>
      </c>
      <c r="J574" s="33"/>
      <c r="K574" s="33"/>
    </row>
    <row r="575">
      <c r="A575" s="20">
        <v>2014.0</v>
      </c>
      <c r="B575" s="21">
        <v>7.0</v>
      </c>
      <c r="C575" s="21">
        <v>6.0</v>
      </c>
      <c r="D575" s="21">
        <v>1.0</v>
      </c>
      <c r="E575" s="22" t="s">
        <v>16</v>
      </c>
      <c r="F575" s="22" t="s">
        <v>59</v>
      </c>
      <c r="G575" s="21">
        <v>10.0</v>
      </c>
      <c r="H575" s="21">
        <v>9.87</v>
      </c>
      <c r="I575" s="23">
        <v>19.87</v>
      </c>
      <c r="J575" s="33"/>
      <c r="K575" s="33"/>
    </row>
    <row r="576">
      <c r="A576" s="15">
        <v>2014.0</v>
      </c>
      <c r="B576" s="16">
        <v>7.0</v>
      </c>
      <c r="C576" s="16">
        <v>6.0</v>
      </c>
      <c r="D576" s="16">
        <v>2.0</v>
      </c>
      <c r="E576" s="17" t="s">
        <v>16</v>
      </c>
      <c r="F576" s="17" t="s">
        <v>30</v>
      </c>
      <c r="G576" s="16">
        <v>9.57</v>
      </c>
      <c r="H576" s="16">
        <v>7.7</v>
      </c>
      <c r="I576" s="19">
        <v>17.27</v>
      </c>
      <c r="J576" s="33"/>
      <c r="K576" s="33"/>
    </row>
    <row r="577">
      <c r="A577" s="20">
        <v>2014.0</v>
      </c>
      <c r="B577" s="21">
        <v>7.0</v>
      </c>
      <c r="C577" s="21">
        <v>6.0</v>
      </c>
      <c r="D577" s="21">
        <v>2.0</v>
      </c>
      <c r="E577" s="22" t="s">
        <v>16</v>
      </c>
      <c r="F577" s="22" t="s">
        <v>32</v>
      </c>
      <c r="G577" s="21">
        <v>8.77</v>
      </c>
      <c r="H577" s="21">
        <v>6.5</v>
      </c>
      <c r="I577" s="23">
        <v>15.27</v>
      </c>
      <c r="J577" s="33"/>
      <c r="K577" s="33"/>
    </row>
    <row r="578">
      <c r="A578" s="15">
        <v>2014.0</v>
      </c>
      <c r="B578" s="16">
        <v>7.0</v>
      </c>
      <c r="C578" s="16">
        <v>6.0</v>
      </c>
      <c r="D578" s="16">
        <v>3.0</v>
      </c>
      <c r="E578" s="17" t="s">
        <v>16</v>
      </c>
      <c r="F578" s="17" t="s">
        <v>26</v>
      </c>
      <c r="G578" s="16">
        <v>9.87</v>
      </c>
      <c r="H578" s="16">
        <v>9.8</v>
      </c>
      <c r="I578" s="19">
        <v>19.67</v>
      </c>
      <c r="J578" s="33"/>
      <c r="K578" s="33"/>
    </row>
    <row r="579">
      <c r="A579" s="20">
        <v>2014.0</v>
      </c>
      <c r="B579" s="21">
        <v>7.0</v>
      </c>
      <c r="C579" s="21">
        <v>6.0</v>
      </c>
      <c r="D579" s="21">
        <v>3.0</v>
      </c>
      <c r="E579" s="22" t="s">
        <v>16</v>
      </c>
      <c r="F579" s="22" t="s">
        <v>126</v>
      </c>
      <c r="G579" s="21">
        <v>9.43</v>
      </c>
      <c r="H579" s="21">
        <v>8.33</v>
      </c>
      <c r="I579" s="23">
        <v>17.76</v>
      </c>
      <c r="J579" s="33"/>
      <c r="K579" s="33"/>
    </row>
    <row r="580">
      <c r="A580" s="15">
        <v>2014.0</v>
      </c>
      <c r="B580" s="16">
        <v>7.0</v>
      </c>
      <c r="C580" s="16">
        <v>6.0</v>
      </c>
      <c r="D580" s="16">
        <v>4.0</v>
      </c>
      <c r="E580" s="17" t="s">
        <v>16</v>
      </c>
      <c r="F580" s="17" t="s">
        <v>37</v>
      </c>
      <c r="G580" s="16">
        <v>10.0</v>
      </c>
      <c r="H580" s="16">
        <v>9.8</v>
      </c>
      <c r="I580" s="19">
        <v>19.8</v>
      </c>
      <c r="J580" s="33"/>
      <c r="K580" s="33"/>
    </row>
    <row r="581">
      <c r="A581" s="20">
        <v>2014.0</v>
      </c>
      <c r="B581" s="21">
        <v>7.0</v>
      </c>
      <c r="C581" s="21">
        <v>6.0</v>
      </c>
      <c r="D581" s="21">
        <v>4.0</v>
      </c>
      <c r="E581" s="22" t="s">
        <v>16</v>
      </c>
      <c r="F581" s="22" t="s">
        <v>57</v>
      </c>
      <c r="G581" s="21">
        <v>8.1</v>
      </c>
      <c r="H581" s="21">
        <v>8.0</v>
      </c>
      <c r="I581" s="23">
        <v>16.1</v>
      </c>
      <c r="J581" s="33"/>
      <c r="K581" s="33"/>
    </row>
    <row r="582">
      <c r="A582" s="15">
        <v>2014.0</v>
      </c>
      <c r="B582" s="16">
        <v>7.0</v>
      </c>
      <c r="C582" s="16">
        <v>7.0</v>
      </c>
      <c r="D582" s="16">
        <v>1.0</v>
      </c>
      <c r="E582" s="17" t="s">
        <v>16</v>
      </c>
      <c r="F582" s="17" t="s">
        <v>59</v>
      </c>
      <c r="G582" s="16">
        <v>2.5</v>
      </c>
      <c r="H582" s="16">
        <v>1.67</v>
      </c>
      <c r="I582" s="19">
        <v>4.17</v>
      </c>
      <c r="J582" s="33"/>
      <c r="K582" s="33"/>
    </row>
    <row r="583">
      <c r="A583" s="20">
        <v>2014.0</v>
      </c>
      <c r="B583" s="21">
        <v>7.0</v>
      </c>
      <c r="C583" s="21">
        <v>7.0</v>
      </c>
      <c r="D583" s="21">
        <v>1.0</v>
      </c>
      <c r="E583" s="22" t="s">
        <v>16</v>
      </c>
      <c r="F583" s="22" t="s">
        <v>30</v>
      </c>
      <c r="G583" s="21">
        <v>9.67</v>
      </c>
      <c r="H583" s="21">
        <v>9.0</v>
      </c>
      <c r="I583" s="23">
        <v>18.67</v>
      </c>
      <c r="J583" s="33"/>
      <c r="K583" s="33"/>
    </row>
    <row r="584">
      <c r="A584" s="15">
        <v>2014.0</v>
      </c>
      <c r="B584" s="16">
        <v>7.0</v>
      </c>
      <c r="C584" s="16">
        <v>7.0</v>
      </c>
      <c r="D584" s="16">
        <v>2.0</v>
      </c>
      <c r="E584" s="17" t="s">
        <v>16</v>
      </c>
      <c r="F584" s="17" t="s">
        <v>26</v>
      </c>
      <c r="G584" s="16">
        <v>9.9</v>
      </c>
      <c r="H584" s="16">
        <v>9.87</v>
      </c>
      <c r="I584" s="19">
        <v>19.77</v>
      </c>
      <c r="J584" s="33"/>
      <c r="K584" s="33"/>
    </row>
    <row r="585">
      <c r="A585" s="20">
        <v>2014.0</v>
      </c>
      <c r="B585" s="21">
        <v>7.0</v>
      </c>
      <c r="C585" s="21">
        <v>7.0</v>
      </c>
      <c r="D585" s="21">
        <v>2.0</v>
      </c>
      <c r="E585" s="22" t="s">
        <v>16</v>
      </c>
      <c r="F585" s="22" t="s">
        <v>37</v>
      </c>
      <c r="G585" s="21">
        <v>10.0</v>
      </c>
      <c r="H585" s="21">
        <v>9.77</v>
      </c>
      <c r="I585" s="23">
        <v>19.77</v>
      </c>
      <c r="J585" s="33"/>
      <c r="K585" s="33"/>
    </row>
    <row r="586">
      <c r="A586" s="15">
        <v>2014.0</v>
      </c>
      <c r="B586" s="16">
        <v>7.0</v>
      </c>
      <c r="C586" s="16">
        <v>8.0</v>
      </c>
      <c r="D586" s="16">
        <v>1.0</v>
      </c>
      <c r="E586" s="17" t="s">
        <v>16</v>
      </c>
      <c r="F586" s="17" t="s">
        <v>30</v>
      </c>
      <c r="G586" s="16">
        <v>9.53</v>
      </c>
      <c r="H586" s="16">
        <v>9.43</v>
      </c>
      <c r="I586" s="19">
        <v>18.96</v>
      </c>
      <c r="J586" s="33"/>
      <c r="K586" s="33"/>
    </row>
    <row r="587">
      <c r="A587" s="20">
        <v>2014.0</v>
      </c>
      <c r="B587" s="21">
        <v>7.0</v>
      </c>
      <c r="C587" s="21">
        <v>8.0</v>
      </c>
      <c r="D587" s="21">
        <v>1.0</v>
      </c>
      <c r="E587" s="22" t="s">
        <v>16</v>
      </c>
      <c r="F587" s="22" t="s">
        <v>37</v>
      </c>
      <c r="G587" s="21">
        <v>9.63</v>
      </c>
      <c r="H587" s="21">
        <v>9.3</v>
      </c>
      <c r="I587" s="23">
        <v>18.93</v>
      </c>
      <c r="J587" s="33"/>
      <c r="K587" s="33"/>
    </row>
    <row r="588">
      <c r="A588" s="15">
        <v>2014.0</v>
      </c>
      <c r="B588" s="16">
        <v>8.0</v>
      </c>
      <c r="C588" s="16">
        <v>1.0</v>
      </c>
      <c r="D588" s="16">
        <v>1.0</v>
      </c>
      <c r="E588" s="17" t="s">
        <v>16</v>
      </c>
      <c r="F588" s="17" t="s">
        <v>62</v>
      </c>
      <c r="G588" s="16">
        <v>4.67</v>
      </c>
      <c r="H588" s="16">
        <v>3.0</v>
      </c>
      <c r="I588" s="19">
        <v>7.67</v>
      </c>
      <c r="J588" s="33"/>
      <c r="K588" s="33"/>
    </row>
    <row r="589">
      <c r="A589" s="20">
        <v>2014.0</v>
      </c>
      <c r="B589" s="21">
        <v>8.0</v>
      </c>
      <c r="C589" s="21">
        <v>1.0</v>
      </c>
      <c r="D589" s="21">
        <v>1.0</v>
      </c>
      <c r="E589" s="22" t="s">
        <v>16</v>
      </c>
      <c r="F589" s="22" t="s">
        <v>47</v>
      </c>
      <c r="G589" s="21">
        <v>8.0</v>
      </c>
      <c r="H589" s="21">
        <v>5.1</v>
      </c>
      <c r="I589" s="23">
        <v>13.1</v>
      </c>
      <c r="J589" s="33"/>
      <c r="K589" s="33"/>
    </row>
    <row r="590">
      <c r="A590" s="15">
        <v>2014.0</v>
      </c>
      <c r="B590" s="16">
        <v>8.0</v>
      </c>
      <c r="C590" s="16">
        <v>1.0</v>
      </c>
      <c r="D590" s="16">
        <v>1.0</v>
      </c>
      <c r="E590" s="17" t="s">
        <v>16</v>
      </c>
      <c r="F590" s="17" t="s">
        <v>122</v>
      </c>
      <c r="G590" s="16">
        <v>5.07</v>
      </c>
      <c r="H590" s="16">
        <v>4.5</v>
      </c>
      <c r="I590" s="19">
        <v>9.57</v>
      </c>
      <c r="J590" s="33"/>
      <c r="K590" s="33"/>
    </row>
    <row r="591">
      <c r="A591" s="20">
        <v>2014.0</v>
      </c>
      <c r="B591" s="21">
        <v>8.0</v>
      </c>
      <c r="C591" s="21">
        <v>1.0</v>
      </c>
      <c r="D591" s="21">
        <v>2.0</v>
      </c>
      <c r="E591" s="22" t="s">
        <v>16</v>
      </c>
      <c r="F591" s="22" t="s">
        <v>41</v>
      </c>
      <c r="G591" s="21">
        <v>7.17</v>
      </c>
      <c r="H591" s="21">
        <v>5.23</v>
      </c>
      <c r="I591" s="23">
        <v>12.4</v>
      </c>
      <c r="J591" s="33"/>
      <c r="K591" s="33"/>
    </row>
    <row r="592">
      <c r="A592" s="15">
        <v>2014.0</v>
      </c>
      <c r="B592" s="16">
        <v>8.0</v>
      </c>
      <c r="C592" s="16">
        <v>1.0</v>
      </c>
      <c r="D592" s="16">
        <v>2.0</v>
      </c>
      <c r="E592" s="17" t="s">
        <v>16</v>
      </c>
      <c r="F592" s="17" t="s">
        <v>55</v>
      </c>
      <c r="G592" s="16">
        <v>5.67</v>
      </c>
      <c r="H592" s="16">
        <v>5.27</v>
      </c>
      <c r="I592" s="19">
        <v>10.94</v>
      </c>
      <c r="J592" s="33"/>
      <c r="K592" s="33"/>
    </row>
    <row r="593">
      <c r="A593" s="20">
        <v>2014.0</v>
      </c>
      <c r="B593" s="21">
        <v>8.0</v>
      </c>
      <c r="C593" s="21">
        <v>1.0</v>
      </c>
      <c r="D593" s="21">
        <v>2.0</v>
      </c>
      <c r="E593" s="22" t="s">
        <v>16</v>
      </c>
      <c r="F593" s="22" t="s">
        <v>91</v>
      </c>
      <c r="G593" s="21">
        <v>5.57</v>
      </c>
      <c r="H593" s="21">
        <v>4.6</v>
      </c>
      <c r="I593" s="23">
        <v>10.17</v>
      </c>
      <c r="J593" s="33"/>
      <c r="K593" s="33"/>
    </row>
    <row r="594">
      <c r="A594" s="15">
        <v>2014.0</v>
      </c>
      <c r="B594" s="16">
        <v>8.0</v>
      </c>
      <c r="C594" s="16">
        <v>1.0</v>
      </c>
      <c r="D594" s="16">
        <v>3.0</v>
      </c>
      <c r="E594" s="17" t="s">
        <v>16</v>
      </c>
      <c r="F594" s="17" t="s">
        <v>27</v>
      </c>
      <c r="G594" s="16">
        <v>7.6</v>
      </c>
      <c r="H594" s="16">
        <v>6.6</v>
      </c>
      <c r="I594" s="19">
        <v>14.2</v>
      </c>
      <c r="J594" s="33"/>
      <c r="K594" s="33"/>
    </row>
    <row r="595">
      <c r="A595" s="20">
        <v>2014.0</v>
      </c>
      <c r="B595" s="21">
        <v>8.0</v>
      </c>
      <c r="C595" s="21">
        <v>1.0</v>
      </c>
      <c r="D595" s="21">
        <v>3.0</v>
      </c>
      <c r="E595" s="22" t="s">
        <v>16</v>
      </c>
      <c r="F595" s="22" t="s">
        <v>33</v>
      </c>
      <c r="G595" s="21">
        <v>8.67</v>
      </c>
      <c r="H595" s="21">
        <v>5.5</v>
      </c>
      <c r="I595" s="23">
        <v>14.17</v>
      </c>
      <c r="J595" s="33"/>
      <c r="K595" s="33"/>
    </row>
    <row r="596">
      <c r="A596" s="15">
        <v>2014.0</v>
      </c>
      <c r="B596" s="16">
        <v>8.0</v>
      </c>
      <c r="C596" s="16">
        <v>1.0</v>
      </c>
      <c r="D596" s="16">
        <v>3.0</v>
      </c>
      <c r="E596" s="17" t="s">
        <v>16</v>
      </c>
      <c r="F596" s="17" t="s">
        <v>50</v>
      </c>
      <c r="G596" s="16">
        <v>6.97</v>
      </c>
      <c r="H596" s="16">
        <v>6.8</v>
      </c>
      <c r="I596" s="19">
        <v>13.77</v>
      </c>
      <c r="J596" s="33"/>
      <c r="K596" s="33"/>
    </row>
    <row r="597">
      <c r="A597" s="20">
        <v>2014.0</v>
      </c>
      <c r="B597" s="21">
        <v>8.0</v>
      </c>
      <c r="C597" s="21">
        <v>1.0</v>
      </c>
      <c r="D597" s="21">
        <v>4.0</v>
      </c>
      <c r="E597" s="22" t="s">
        <v>16</v>
      </c>
      <c r="F597" s="22" t="s">
        <v>39</v>
      </c>
      <c r="G597" s="21">
        <v>8.17</v>
      </c>
      <c r="H597" s="21">
        <v>6.6</v>
      </c>
      <c r="I597" s="23">
        <v>14.77</v>
      </c>
      <c r="J597" s="33"/>
      <c r="K597" s="33"/>
    </row>
    <row r="598">
      <c r="A598" s="15">
        <v>2014.0</v>
      </c>
      <c r="B598" s="16">
        <v>8.0</v>
      </c>
      <c r="C598" s="16">
        <v>1.0</v>
      </c>
      <c r="D598" s="16">
        <v>4.0</v>
      </c>
      <c r="E598" s="17" t="s">
        <v>16</v>
      </c>
      <c r="F598" s="17" t="s">
        <v>60</v>
      </c>
      <c r="G598" s="16">
        <v>7.1</v>
      </c>
      <c r="H598" s="16">
        <v>4.67</v>
      </c>
      <c r="I598" s="19">
        <v>11.77</v>
      </c>
      <c r="J598" s="33"/>
      <c r="K598" s="33"/>
    </row>
    <row r="599">
      <c r="A599" s="20">
        <v>2014.0</v>
      </c>
      <c r="B599" s="21">
        <v>8.0</v>
      </c>
      <c r="C599" s="21">
        <v>1.0</v>
      </c>
      <c r="D599" s="21">
        <v>4.0</v>
      </c>
      <c r="E599" s="22" t="s">
        <v>16</v>
      </c>
      <c r="F599" s="22" t="s">
        <v>131</v>
      </c>
      <c r="G599" s="21">
        <v>6.0</v>
      </c>
      <c r="H599" s="21">
        <v>5.93</v>
      </c>
      <c r="I599" s="23">
        <v>11.93</v>
      </c>
      <c r="J599" s="33"/>
      <c r="K599" s="33"/>
    </row>
    <row r="600">
      <c r="A600" s="15">
        <v>2014.0</v>
      </c>
      <c r="B600" s="16">
        <v>8.0</v>
      </c>
      <c r="C600" s="16">
        <v>1.0</v>
      </c>
      <c r="D600" s="16">
        <v>5.0</v>
      </c>
      <c r="E600" s="17" t="s">
        <v>16</v>
      </c>
      <c r="F600" s="17" t="s">
        <v>37</v>
      </c>
      <c r="G600" s="16">
        <v>8.0</v>
      </c>
      <c r="H600" s="16">
        <v>6.8</v>
      </c>
      <c r="I600" s="19">
        <v>14.8</v>
      </c>
      <c r="J600" s="33"/>
      <c r="K600" s="33"/>
    </row>
    <row r="601">
      <c r="A601" s="20">
        <v>2014.0</v>
      </c>
      <c r="B601" s="21">
        <v>8.0</v>
      </c>
      <c r="C601" s="21">
        <v>1.0</v>
      </c>
      <c r="D601" s="21">
        <v>5.0</v>
      </c>
      <c r="E601" s="22" t="s">
        <v>16</v>
      </c>
      <c r="F601" s="22" t="s">
        <v>34</v>
      </c>
      <c r="G601" s="21">
        <v>6.5</v>
      </c>
      <c r="H601" s="21">
        <v>3.63</v>
      </c>
      <c r="I601" s="23">
        <v>10.13</v>
      </c>
      <c r="J601" s="33"/>
      <c r="K601" s="33"/>
    </row>
    <row r="602">
      <c r="A602" s="15">
        <v>2014.0</v>
      </c>
      <c r="B602" s="16">
        <v>8.0</v>
      </c>
      <c r="C602" s="16">
        <v>1.0</v>
      </c>
      <c r="D602" s="16">
        <v>5.0</v>
      </c>
      <c r="E602" s="17" t="s">
        <v>16</v>
      </c>
      <c r="F602" s="17" t="s">
        <v>90</v>
      </c>
      <c r="G602" s="16">
        <v>8.5</v>
      </c>
      <c r="H602" s="16">
        <v>6.43</v>
      </c>
      <c r="I602" s="19">
        <v>14.93</v>
      </c>
      <c r="J602" s="33"/>
      <c r="K602" s="33"/>
    </row>
    <row r="603">
      <c r="A603" s="20">
        <v>2014.0</v>
      </c>
      <c r="B603" s="21">
        <v>8.0</v>
      </c>
      <c r="C603" s="21">
        <v>1.0</v>
      </c>
      <c r="D603" s="21">
        <v>6.0</v>
      </c>
      <c r="E603" s="22" t="s">
        <v>16</v>
      </c>
      <c r="F603" s="22" t="s">
        <v>30</v>
      </c>
      <c r="G603" s="21">
        <v>7.07</v>
      </c>
      <c r="H603" s="21">
        <v>6.67</v>
      </c>
      <c r="I603" s="23">
        <v>13.74</v>
      </c>
      <c r="J603" s="33"/>
      <c r="K603" s="33"/>
    </row>
    <row r="604">
      <c r="A604" s="15">
        <v>2014.0</v>
      </c>
      <c r="B604" s="16">
        <v>8.0</v>
      </c>
      <c r="C604" s="16">
        <v>1.0</v>
      </c>
      <c r="D604" s="16">
        <v>6.0</v>
      </c>
      <c r="E604" s="17" t="s">
        <v>16</v>
      </c>
      <c r="F604" s="17" t="s">
        <v>29</v>
      </c>
      <c r="G604" s="16">
        <v>6.73</v>
      </c>
      <c r="H604" s="16">
        <v>4.83</v>
      </c>
      <c r="I604" s="19">
        <v>11.56</v>
      </c>
      <c r="J604" s="33"/>
      <c r="K604" s="33"/>
    </row>
    <row r="605">
      <c r="A605" s="20">
        <v>2014.0</v>
      </c>
      <c r="B605" s="21">
        <v>8.0</v>
      </c>
      <c r="C605" s="21">
        <v>1.0</v>
      </c>
      <c r="D605" s="21">
        <v>6.0</v>
      </c>
      <c r="E605" s="22" t="s">
        <v>16</v>
      </c>
      <c r="F605" s="22" t="s">
        <v>133</v>
      </c>
      <c r="G605" s="21">
        <v>7.73</v>
      </c>
      <c r="H605" s="21">
        <v>6.17</v>
      </c>
      <c r="I605" s="23">
        <v>13.9</v>
      </c>
      <c r="J605" s="33"/>
      <c r="K605" s="33"/>
    </row>
    <row r="606">
      <c r="A606" s="15">
        <v>2014.0</v>
      </c>
      <c r="B606" s="16">
        <v>8.0</v>
      </c>
      <c r="C606" s="16">
        <v>1.0</v>
      </c>
      <c r="D606" s="16">
        <v>7.0</v>
      </c>
      <c r="E606" s="17" t="s">
        <v>16</v>
      </c>
      <c r="F606" s="17" t="s">
        <v>42</v>
      </c>
      <c r="G606" s="16">
        <v>8.67</v>
      </c>
      <c r="H606" s="16">
        <v>8.1</v>
      </c>
      <c r="I606" s="19">
        <v>16.77</v>
      </c>
      <c r="J606" s="33"/>
      <c r="K606" s="33"/>
    </row>
    <row r="607">
      <c r="A607" s="20">
        <v>2014.0</v>
      </c>
      <c r="B607" s="21">
        <v>8.0</v>
      </c>
      <c r="C607" s="21">
        <v>1.0</v>
      </c>
      <c r="D607" s="21">
        <v>7.0</v>
      </c>
      <c r="E607" s="22" t="s">
        <v>16</v>
      </c>
      <c r="F607" s="22" t="s">
        <v>38</v>
      </c>
      <c r="G607" s="21">
        <v>6.33</v>
      </c>
      <c r="H607" s="21">
        <v>3.17</v>
      </c>
      <c r="I607" s="23">
        <v>9.5</v>
      </c>
      <c r="J607" s="33"/>
      <c r="K607" s="33"/>
    </row>
    <row r="608">
      <c r="A608" s="15">
        <v>2014.0</v>
      </c>
      <c r="B608" s="16">
        <v>8.0</v>
      </c>
      <c r="C608" s="16">
        <v>1.0</v>
      </c>
      <c r="D608" s="16">
        <v>7.0</v>
      </c>
      <c r="E608" s="17" t="s">
        <v>16</v>
      </c>
      <c r="F608" s="17" t="s">
        <v>107</v>
      </c>
      <c r="G608" s="16">
        <v>7.23</v>
      </c>
      <c r="H608" s="16">
        <v>6.87</v>
      </c>
      <c r="I608" s="19">
        <v>14.1</v>
      </c>
      <c r="J608" s="33"/>
      <c r="K608" s="33"/>
    </row>
    <row r="609">
      <c r="A609" s="20">
        <v>2014.0</v>
      </c>
      <c r="B609" s="21">
        <v>8.0</v>
      </c>
      <c r="C609" s="21">
        <v>1.0</v>
      </c>
      <c r="D609" s="21">
        <v>8.0</v>
      </c>
      <c r="E609" s="22" t="s">
        <v>16</v>
      </c>
      <c r="F609" s="22" t="s">
        <v>32</v>
      </c>
      <c r="G609" s="21">
        <v>7.47</v>
      </c>
      <c r="H609" s="21">
        <v>6.5</v>
      </c>
      <c r="I609" s="23">
        <v>13.97</v>
      </c>
      <c r="J609" s="33"/>
      <c r="K609" s="33"/>
    </row>
    <row r="610">
      <c r="A610" s="15">
        <v>2014.0</v>
      </c>
      <c r="B610" s="16">
        <v>8.0</v>
      </c>
      <c r="C610" s="16">
        <v>1.0</v>
      </c>
      <c r="D610" s="16">
        <v>8.0</v>
      </c>
      <c r="E610" s="17" t="s">
        <v>16</v>
      </c>
      <c r="F610" s="17" t="s">
        <v>123</v>
      </c>
      <c r="G610" s="16">
        <v>8.0</v>
      </c>
      <c r="H610" s="16">
        <v>7.43</v>
      </c>
      <c r="I610" s="19">
        <v>15.43</v>
      </c>
      <c r="J610" s="33"/>
      <c r="K610" s="33"/>
    </row>
    <row r="611">
      <c r="A611" s="20">
        <v>2014.0</v>
      </c>
      <c r="B611" s="21">
        <v>8.0</v>
      </c>
      <c r="C611" s="21">
        <v>1.0</v>
      </c>
      <c r="D611" s="21">
        <v>8.0</v>
      </c>
      <c r="E611" s="22" t="s">
        <v>16</v>
      </c>
      <c r="F611" s="22" t="s">
        <v>35</v>
      </c>
      <c r="G611" s="21">
        <v>8.4</v>
      </c>
      <c r="H611" s="21">
        <v>6.1</v>
      </c>
      <c r="I611" s="23">
        <v>14.5</v>
      </c>
      <c r="J611" s="33"/>
      <c r="K611" s="33"/>
    </row>
    <row r="612">
      <c r="A612" s="15">
        <v>2014.0</v>
      </c>
      <c r="B612" s="16">
        <v>8.0</v>
      </c>
      <c r="C612" s="16">
        <v>1.0</v>
      </c>
      <c r="D612" s="16">
        <v>9.0</v>
      </c>
      <c r="E612" s="17" t="s">
        <v>16</v>
      </c>
      <c r="F612" s="17" t="s">
        <v>56</v>
      </c>
      <c r="G612" s="16">
        <v>8.6</v>
      </c>
      <c r="H612" s="16">
        <v>8.1</v>
      </c>
      <c r="I612" s="19">
        <v>16.7</v>
      </c>
      <c r="J612" s="33"/>
      <c r="K612" s="33"/>
    </row>
    <row r="613">
      <c r="A613" s="20">
        <v>2014.0</v>
      </c>
      <c r="B613" s="21">
        <v>8.0</v>
      </c>
      <c r="C613" s="21">
        <v>1.0</v>
      </c>
      <c r="D613" s="21">
        <v>9.0</v>
      </c>
      <c r="E613" s="22" t="s">
        <v>16</v>
      </c>
      <c r="F613" s="22" t="s">
        <v>125</v>
      </c>
      <c r="G613" s="21">
        <v>8.3</v>
      </c>
      <c r="H613" s="21">
        <v>7.93</v>
      </c>
      <c r="I613" s="23">
        <v>16.23</v>
      </c>
      <c r="J613" s="33"/>
      <c r="K613" s="33"/>
    </row>
    <row r="614">
      <c r="A614" s="15">
        <v>2014.0</v>
      </c>
      <c r="B614" s="16">
        <v>8.0</v>
      </c>
      <c r="C614" s="16">
        <v>1.0</v>
      </c>
      <c r="D614" s="16">
        <v>9.0</v>
      </c>
      <c r="E614" s="17" t="s">
        <v>16</v>
      </c>
      <c r="F614" s="17" t="s">
        <v>126</v>
      </c>
      <c r="G614" s="16">
        <v>6.83</v>
      </c>
      <c r="H614" s="16">
        <v>6.8</v>
      </c>
      <c r="I614" s="19">
        <v>13.63</v>
      </c>
      <c r="J614" s="33"/>
      <c r="K614" s="33"/>
    </row>
    <row r="615">
      <c r="A615" s="20">
        <v>2014.0</v>
      </c>
      <c r="B615" s="21">
        <v>8.0</v>
      </c>
      <c r="C615" s="21">
        <v>1.0</v>
      </c>
      <c r="D615" s="21">
        <v>10.0</v>
      </c>
      <c r="E615" s="22" t="s">
        <v>16</v>
      </c>
      <c r="F615" s="22" t="s">
        <v>57</v>
      </c>
      <c r="G615" s="21">
        <v>9.43</v>
      </c>
      <c r="H615" s="21">
        <v>8.0</v>
      </c>
      <c r="I615" s="23">
        <v>17.43</v>
      </c>
      <c r="J615" s="33"/>
      <c r="K615" s="33"/>
    </row>
    <row r="616">
      <c r="A616" s="15">
        <v>2014.0</v>
      </c>
      <c r="B616" s="16">
        <v>8.0</v>
      </c>
      <c r="C616" s="16">
        <v>1.0</v>
      </c>
      <c r="D616" s="16">
        <v>10.0</v>
      </c>
      <c r="E616" s="17" t="s">
        <v>16</v>
      </c>
      <c r="F616" s="17" t="s">
        <v>31</v>
      </c>
      <c r="G616" s="16">
        <v>5.77</v>
      </c>
      <c r="H616" s="16">
        <v>3.5</v>
      </c>
      <c r="I616" s="19">
        <v>9.27</v>
      </c>
      <c r="J616" s="33"/>
      <c r="K616" s="33"/>
    </row>
    <row r="617">
      <c r="A617" s="20">
        <v>2014.0</v>
      </c>
      <c r="B617" s="21">
        <v>8.0</v>
      </c>
      <c r="C617" s="21">
        <v>1.0</v>
      </c>
      <c r="D617" s="21">
        <v>10.0</v>
      </c>
      <c r="E617" s="22" t="s">
        <v>16</v>
      </c>
      <c r="F617" s="22" t="s">
        <v>76</v>
      </c>
      <c r="G617" s="21">
        <v>7.77</v>
      </c>
      <c r="H617" s="21">
        <v>5.67</v>
      </c>
      <c r="I617" s="23">
        <v>13.44</v>
      </c>
      <c r="J617" s="33"/>
      <c r="K617" s="33"/>
    </row>
    <row r="618">
      <c r="A618" s="15">
        <v>2014.0</v>
      </c>
      <c r="B618" s="16">
        <v>8.0</v>
      </c>
      <c r="C618" s="16">
        <v>1.0</v>
      </c>
      <c r="D618" s="16">
        <v>11.0</v>
      </c>
      <c r="E618" s="17" t="s">
        <v>16</v>
      </c>
      <c r="F618" s="17" t="s">
        <v>45</v>
      </c>
      <c r="G618" s="16">
        <v>6.83</v>
      </c>
      <c r="H618" s="16">
        <v>6.67</v>
      </c>
      <c r="I618" s="19">
        <v>13.5</v>
      </c>
      <c r="J618" s="33"/>
      <c r="K618" s="33"/>
    </row>
    <row r="619">
      <c r="A619" s="20">
        <v>2014.0</v>
      </c>
      <c r="B619" s="21">
        <v>8.0</v>
      </c>
      <c r="C619" s="21">
        <v>1.0</v>
      </c>
      <c r="D619" s="21">
        <v>11.0</v>
      </c>
      <c r="E619" s="22" t="s">
        <v>16</v>
      </c>
      <c r="F619" s="22" t="s">
        <v>28</v>
      </c>
      <c r="G619" s="21">
        <v>8.23</v>
      </c>
      <c r="H619" s="21">
        <v>7.83</v>
      </c>
      <c r="I619" s="23">
        <v>16.06</v>
      </c>
      <c r="J619" s="33"/>
      <c r="K619" s="33"/>
    </row>
    <row r="620">
      <c r="A620" s="15">
        <v>2014.0</v>
      </c>
      <c r="B620" s="16">
        <v>8.0</v>
      </c>
      <c r="C620" s="16">
        <v>1.0</v>
      </c>
      <c r="D620" s="16">
        <v>11.0</v>
      </c>
      <c r="E620" s="17" t="s">
        <v>16</v>
      </c>
      <c r="F620" s="17" t="s">
        <v>120</v>
      </c>
      <c r="G620" s="16">
        <v>8.5</v>
      </c>
      <c r="H620" s="16">
        <v>6.23</v>
      </c>
      <c r="I620" s="19">
        <v>14.73</v>
      </c>
      <c r="J620" s="33"/>
      <c r="K620" s="33"/>
    </row>
    <row r="621">
      <c r="A621" s="20">
        <v>2014.0</v>
      </c>
      <c r="B621" s="21">
        <v>8.0</v>
      </c>
      <c r="C621" s="21">
        <v>1.0</v>
      </c>
      <c r="D621" s="21">
        <v>12.0</v>
      </c>
      <c r="E621" s="22" t="s">
        <v>16</v>
      </c>
      <c r="F621" s="22" t="s">
        <v>26</v>
      </c>
      <c r="G621" s="21">
        <v>8.77</v>
      </c>
      <c r="H621" s="21">
        <v>6.5</v>
      </c>
      <c r="I621" s="23">
        <v>15.27</v>
      </c>
      <c r="J621" s="33"/>
      <c r="K621" s="33"/>
    </row>
    <row r="622">
      <c r="A622" s="15">
        <v>2014.0</v>
      </c>
      <c r="B622" s="16">
        <v>8.0</v>
      </c>
      <c r="C622" s="16">
        <v>1.0</v>
      </c>
      <c r="D622" s="16">
        <v>12.0</v>
      </c>
      <c r="E622" s="17" t="s">
        <v>16</v>
      </c>
      <c r="F622" s="17" t="s">
        <v>124</v>
      </c>
      <c r="G622" s="16">
        <v>7.0</v>
      </c>
      <c r="H622" s="16">
        <v>6.1</v>
      </c>
      <c r="I622" s="19">
        <v>13.1</v>
      </c>
      <c r="J622" s="33"/>
      <c r="K622" s="33"/>
    </row>
    <row r="623">
      <c r="A623" s="20">
        <v>2014.0</v>
      </c>
      <c r="B623" s="21">
        <v>8.0</v>
      </c>
      <c r="C623" s="21">
        <v>1.0</v>
      </c>
      <c r="D623" s="21">
        <v>12.0</v>
      </c>
      <c r="E623" s="22" t="s">
        <v>16</v>
      </c>
      <c r="F623" s="22" t="s">
        <v>59</v>
      </c>
      <c r="G623" s="21">
        <v>7.87</v>
      </c>
      <c r="H623" s="21">
        <v>4.93</v>
      </c>
      <c r="I623" s="23">
        <v>12.8</v>
      </c>
      <c r="J623" s="33"/>
      <c r="K623" s="33"/>
    </row>
    <row r="624">
      <c r="A624" s="15">
        <v>2014.0</v>
      </c>
      <c r="B624" s="16">
        <v>8.0</v>
      </c>
      <c r="C624" s="16">
        <v>2.0</v>
      </c>
      <c r="D624" s="16">
        <v>1.0</v>
      </c>
      <c r="E624" s="17" t="s">
        <v>16</v>
      </c>
      <c r="F624" s="17" t="s">
        <v>30</v>
      </c>
      <c r="G624" s="16">
        <v>7.43</v>
      </c>
      <c r="H624" s="16">
        <v>6.4</v>
      </c>
      <c r="I624" s="19">
        <v>13.83</v>
      </c>
      <c r="J624" s="33"/>
      <c r="K624" s="33"/>
    </row>
    <row r="625">
      <c r="A625" s="20">
        <v>2014.0</v>
      </c>
      <c r="B625" s="21">
        <v>8.0</v>
      </c>
      <c r="C625" s="21">
        <v>2.0</v>
      </c>
      <c r="D625" s="21">
        <v>1.0</v>
      </c>
      <c r="E625" s="22" t="s">
        <v>16</v>
      </c>
      <c r="F625" s="22" t="s">
        <v>131</v>
      </c>
      <c r="G625" s="21">
        <v>5.17</v>
      </c>
      <c r="H625" s="21">
        <v>4.77</v>
      </c>
      <c r="I625" s="23">
        <v>9.94</v>
      </c>
      <c r="J625" s="33"/>
      <c r="K625" s="33"/>
    </row>
    <row r="626">
      <c r="A626" s="15">
        <v>2014.0</v>
      </c>
      <c r="B626" s="16">
        <v>8.0</v>
      </c>
      <c r="C626" s="16">
        <v>2.0</v>
      </c>
      <c r="D626" s="16">
        <v>2.0</v>
      </c>
      <c r="E626" s="17" t="s">
        <v>16</v>
      </c>
      <c r="F626" s="17" t="s">
        <v>37</v>
      </c>
      <c r="G626" s="16">
        <v>8.5</v>
      </c>
      <c r="H626" s="16">
        <v>7.43</v>
      </c>
      <c r="I626" s="19">
        <v>15.93</v>
      </c>
      <c r="J626" s="33"/>
      <c r="K626" s="33"/>
    </row>
    <row r="627">
      <c r="A627" s="20">
        <v>2014.0</v>
      </c>
      <c r="B627" s="21">
        <v>8.0</v>
      </c>
      <c r="C627" s="21">
        <v>2.0</v>
      </c>
      <c r="D627" s="21">
        <v>2.0</v>
      </c>
      <c r="E627" s="22" t="s">
        <v>16</v>
      </c>
      <c r="F627" s="22" t="s">
        <v>50</v>
      </c>
      <c r="G627" s="21">
        <v>5.83</v>
      </c>
      <c r="H627" s="21">
        <v>4.33</v>
      </c>
      <c r="I627" s="23">
        <v>10.16</v>
      </c>
      <c r="J627" s="33"/>
      <c r="K627" s="33"/>
    </row>
    <row r="628">
      <c r="A628" s="15">
        <v>2014.0</v>
      </c>
      <c r="B628" s="16">
        <v>8.0</v>
      </c>
      <c r="C628" s="16">
        <v>2.0</v>
      </c>
      <c r="D628" s="16">
        <v>3.0</v>
      </c>
      <c r="E628" s="17" t="s">
        <v>16</v>
      </c>
      <c r="F628" s="17" t="s">
        <v>62</v>
      </c>
      <c r="G628" s="16">
        <v>6.43</v>
      </c>
      <c r="H628" s="16">
        <v>6.23</v>
      </c>
      <c r="I628" s="19">
        <v>12.66</v>
      </c>
      <c r="J628" s="33"/>
      <c r="K628" s="33"/>
    </row>
    <row r="629">
      <c r="A629" s="20">
        <v>2014.0</v>
      </c>
      <c r="B629" s="21">
        <v>8.0</v>
      </c>
      <c r="C629" s="21">
        <v>2.0</v>
      </c>
      <c r="D629" s="21">
        <v>3.0</v>
      </c>
      <c r="E629" s="22" t="s">
        <v>16</v>
      </c>
      <c r="F629" s="22" t="s">
        <v>91</v>
      </c>
      <c r="G629" s="21">
        <v>5.27</v>
      </c>
      <c r="H629" s="21">
        <v>2.6</v>
      </c>
      <c r="I629" s="23">
        <v>7.87</v>
      </c>
      <c r="J629" s="33"/>
      <c r="K629" s="33"/>
    </row>
    <row r="630">
      <c r="A630" s="15">
        <v>2014.0</v>
      </c>
      <c r="B630" s="16">
        <v>8.0</v>
      </c>
      <c r="C630" s="16">
        <v>2.0</v>
      </c>
      <c r="D630" s="16">
        <v>4.0</v>
      </c>
      <c r="E630" s="17" t="s">
        <v>16</v>
      </c>
      <c r="F630" s="17" t="s">
        <v>32</v>
      </c>
      <c r="G630" s="16">
        <v>7.0</v>
      </c>
      <c r="H630" s="16">
        <v>5.73</v>
      </c>
      <c r="I630" s="19">
        <v>12.73</v>
      </c>
      <c r="J630" s="33"/>
      <c r="K630" s="33"/>
    </row>
    <row r="631">
      <c r="A631" s="20">
        <v>2014.0</v>
      </c>
      <c r="B631" s="21">
        <v>8.0</v>
      </c>
      <c r="C631" s="21">
        <v>2.0</v>
      </c>
      <c r="D631" s="21">
        <v>4.0</v>
      </c>
      <c r="E631" s="22" t="s">
        <v>16</v>
      </c>
      <c r="F631" s="22" t="s">
        <v>122</v>
      </c>
      <c r="G631" s="21">
        <v>6.57</v>
      </c>
      <c r="H631" s="21">
        <v>5.17</v>
      </c>
      <c r="I631" s="23">
        <v>11.74</v>
      </c>
      <c r="J631" s="33"/>
      <c r="K631" s="33"/>
    </row>
    <row r="632">
      <c r="A632" s="15">
        <v>2014.0</v>
      </c>
      <c r="B632" s="16">
        <v>8.0</v>
      </c>
      <c r="C632" s="16">
        <v>2.0</v>
      </c>
      <c r="D632" s="16">
        <v>5.0</v>
      </c>
      <c r="E632" s="17" t="s">
        <v>16</v>
      </c>
      <c r="F632" s="17" t="s">
        <v>45</v>
      </c>
      <c r="G632" s="16">
        <v>5.07</v>
      </c>
      <c r="H632" s="16">
        <v>5.0</v>
      </c>
      <c r="I632" s="19">
        <v>10.07</v>
      </c>
      <c r="J632" s="33"/>
      <c r="K632" s="33"/>
    </row>
    <row r="633">
      <c r="A633" s="20">
        <v>2014.0</v>
      </c>
      <c r="B633" s="21">
        <v>8.0</v>
      </c>
      <c r="C633" s="21">
        <v>2.0</v>
      </c>
      <c r="D633" s="21">
        <v>5.0</v>
      </c>
      <c r="E633" s="22" t="s">
        <v>16</v>
      </c>
      <c r="F633" s="22" t="s">
        <v>107</v>
      </c>
      <c r="G633" s="21">
        <v>5.43</v>
      </c>
      <c r="H633" s="21">
        <v>5.0</v>
      </c>
      <c r="I633" s="23">
        <v>10.43</v>
      </c>
      <c r="J633" s="33"/>
      <c r="K633" s="33"/>
    </row>
    <row r="634">
      <c r="A634" s="15">
        <v>2014.0</v>
      </c>
      <c r="B634" s="16">
        <v>8.0</v>
      </c>
      <c r="C634" s="16">
        <v>2.0</v>
      </c>
      <c r="D634" s="16">
        <v>6.0</v>
      </c>
      <c r="E634" s="17" t="s">
        <v>16</v>
      </c>
      <c r="F634" s="17" t="s">
        <v>59</v>
      </c>
      <c r="G634" s="16">
        <v>7.17</v>
      </c>
      <c r="H634" s="16">
        <v>6.77</v>
      </c>
      <c r="I634" s="19">
        <v>13.94</v>
      </c>
      <c r="J634" s="33"/>
      <c r="K634" s="33"/>
    </row>
    <row r="635">
      <c r="A635" s="20">
        <v>2014.0</v>
      </c>
      <c r="B635" s="21">
        <v>8.0</v>
      </c>
      <c r="C635" s="21">
        <v>2.0</v>
      </c>
      <c r="D635" s="21">
        <v>6.0</v>
      </c>
      <c r="E635" s="22" t="s">
        <v>16</v>
      </c>
      <c r="F635" s="22" t="s">
        <v>35</v>
      </c>
      <c r="G635" s="21">
        <v>9.0</v>
      </c>
      <c r="H635" s="21">
        <v>8.5</v>
      </c>
      <c r="I635" s="23">
        <v>17.5</v>
      </c>
      <c r="J635" s="33"/>
      <c r="K635" s="33"/>
    </row>
    <row r="636">
      <c r="A636" s="15">
        <v>2014.0</v>
      </c>
      <c r="B636" s="16">
        <v>8.0</v>
      </c>
      <c r="C636" s="16">
        <v>2.0</v>
      </c>
      <c r="D636" s="16">
        <v>7.0</v>
      </c>
      <c r="E636" s="17" t="s">
        <v>16</v>
      </c>
      <c r="F636" s="17" t="s">
        <v>31</v>
      </c>
      <c r="G636" s="16">
        <v>6.83</v>
      </c>
      <c r="H636" s="16">
        <v>6.4</v>
      </c>
      <c r="I636" s="19">
        <v>13.23</v>
      </c>
      <c r="J636" s="33"/>
      <c r="K636" s="33"/>
    </row>
    <row r="637">
      <c r="A637" s="20">
        <v>2014.0</v>
      </c>
      <c r="B637" s="21">
        <v>8.0</v>
      </c>
      <c r="C637" s="21">
        <v>2.0</v>
      </c>
      <c r="D637" s="21">
        <v>7.0</v>
      </c>
      <c r="E637" s="22" t="s">
        <v>16</v>
      </c>
      <c r="F637" s="22" t="s">
        <v>126</v>
      </c>
      <c r="G637" s="21">
        <v>5.17</v>
      </c>
      <c r="H637" s="21">
        <v>5.0</v>
      </c>
      <c r="I637" s="23">
        <v>10.17</v>
      </c>
      <c r="J637" s="33"/>
      <c r="K637" s="33"/>
    </row>
    <row r="638">
      <c r="A638" s="15">
        <v>2014.0</v>
      </c>
      <c r="B638" s="16">
        <v>8.0</v>
      </c>
      <c r="C638" s="16">
        <v>2.0</v>
      </c>
      <c r="D638" s="16">
        <v>8.0</v>
      </c>
      <c r="E638" s="17" t="s">
        <v>16</v>
      </c>
      <c r="F638" s="17" t="s">
        <v>125</v>
      </c>
      <c r="G638" s="16">
        <v>7.83</v>
      </c>
      <c r="H638" s="16">
        <v>7.6</v>
      </c>
      <c r="I638" s="19">
        <v>15.43</v>
      </c>
      <c r="J638" s="33"/>
      <c r="K638" s="33"/>
    </row>
    <row r="639">
      <c r="A639" s="20">
        <v>2014.0</v>
      </c>
      <c r="B639" s="21">
        <v>8.0</v>
      </c>
      <c r="C639" s="21">
        <v>2.0</v>
      </c>
      <c r="D639" s="21">
        <v>8.0</v>
      </c>
      <c r="E639" s="22" t="s">
        <v>16</v>
      </c>
      <c r="F639" s="22" t="s">
        <v>76</v>
      </c>
      <c r="G639" s="21">
        <v>7.83</v>
      </c>
      <c r="H639" s="21">
        <v>6.67</v>
      </c>
      <c r="I639" s="23">
        <v>14.5</v>
      </c>
      <c r="J639" s="33"/>
      <c r="K639" s="33"/>
    </row>
    <row r="640">
      <c r="A640" s="15">
        <v>2014.0</v>
      </c>
      <c r="B640" s="16">
        <v>8.0</v>
      </c>
      <c r="C640" s="16">
        <v>2.0</v>
      </c>
      <c r="D640" s="16">
        <v>9.0</v>
      </c>
      <c r="E640" s="17" t="s">
        <v>16</v>
      </c>
      <c r="F640" s="17" t="s">
        <v>38</v>
      </c>
      <c r="G640" s="16">
        <v>7.67</v>
      </c>
      <c r="H640" s="16">
        <v>5.07</v>
      </c>
      <c r="I640" s="19">
        <v>12.74</v>
      </c>
      <c r="J640" s="33"/>
      <c r="K640" s="33"/>
    </row>
    <row r="641">
      <c r="A641" s="20">
        <v>2014.0</v>
      </c>
      <c r="B641" s="21">
        <v>8.0</v>
      </c>
      <c r="C641" s="21">
        <v>2.0</v>
      </c>
      <c r="D641" s="21">
        <v>9.0</v>
      </c>
      <c r="E641" s="22" t="s">
        <v>16</v>
      </c>
      <c r="F641" s="22" t="s">
        <v>120</v>
      </c>
      <c r="G641" s="21">
        <v>8.6</v>
      </c>
      <c r="H641" s="21">
        <v>8.33</v>
      </c>
      <c r="I641" s="23">
        <v>16.93</v>
      </c>
      <c r="J641" s="33"/>
      <c r="K641" s="33"/>
    </row>
    <row r="642">
      <c r="A642" s="15">
        <v>2014.0</v>
      </c>
      <c r="B642" s="16">
        <v>8.0</v>
      </c>
      <c r="C642" s="16">
        <v>2.0</v>
      </c>
      <c r="D642" s="16">
        <v>10.0</v>
      </c>
      <c r="E642" s="17" t="s">
        <v>16</v>
      </c>
      <c r="F642" s="17" t="s">
        <v>55</v>
      </c>
      <c r="G642" s="16">
        <v>8.77</v>
      </c>
      <c r="H642" s="16">
        <v>8.17</v>
      </c>
      <c r="I642" s="19">
        <v>16.94</v>
      </c>
      <c r="J642" s="33"/>
      <c r="K642" s="33"/>
    </row>
    <row r="643">
      <c r="A643" s="20">
        <v>2014.0</v>
      </c>
      <c r="B643" s="21">
        <v>8.0</v>
      </c>
      <c r="C643" s="21">
        <v>2.0</v>
      </c>
      <c r="D643" s="21">
        <v>10.0</v>
      </c>
      <c r="E643" s="22" t="s">
        <v>16</v>
      </c>
      <c r="F643" s="22" t="s">
        <v>124</v>
      </c>
      <c r="G643" s="21">
        <v>7.5</v>
      </c>
      <c r="H643" s="21">
        <v>4.83</v>
      </c>
      <c r="I643" s="23">
        <v>12.33</v>
      </c>
      <c r="J643" s="33"/>
      <c r="K643" s="33"/>
    </row>
    <row r="644">
      <c r="A644" s="15">
        <v>2014.0</v>
      </c>
      <c r="B644" s="16">
        <v>8.0</v>
      </c>
      <c r="C644" s="16">
        <v>2.0</v>
      </c>
      <c r="D644" s="16">
        <v>11.0</v>
      </c>
      <c r="E644" s="17" t="s">
        <v>16</v>
      </c>
      <c r="F644" s="17" t="s">
        <v>33</v>
      </c>
      <c r="G644" s="16">
        <v>9.83</v>
      </c>
      <c r="H644" s="16">
        <v>6.1</v>
      </c>
      <c r="I644" s="19">
        <v>15.93</v>
      </c>
      <c r="J644" s="33"/>
      <c r="K644" s="33"/>
    </row>
    <row r="645">
      <c r="A645" s="20">
        <v>2014.0</v>
      </c>
      <c r="B645" s="21">
        <v>8.0</v>
      </c>
      <c r="C645" s="21">
        <v>2.0</v>
      </c>
      <c r="D645" s="21">
        <v>11.0</v>
      </c>
      <c r="E645" s="22" t="s">
        <v>16</v>
      </c>
      <c r="F645" s="22" t="s">
        <v>29</v>
      </c>
      <c r="G645" s="21">
        <v>9.17</v>
      </c>
      <c r="H645" s="21">
        <v>6.23</v>
      </c>
      <c r="I645" s="23">
        <v>15.4</v>
      </c>
      <c r="J645" s="33"/>
      <c r="K645" s="33"/>
    </row>
    <row r="646">
      <c r="A646" s="15">
        <v>2014.0</v>
      </c>
      <c r="B646" s="16">
        <v>8.0</v>
      </c>
      <c r="C646" s="16">
        <v>2.0</v>
      </c>
      <c r="D646" s="16">
        <v>12.0</v>
      </c>
      <c r="E646" s="17" t="s">
        <v>16</v>
      </c>
      <c r="F646" s="17" t="s">
        <v>60</v>
      </c>
      <c r="G646" s="16">
        <v>7.17</v>
      </c>
      <c r="H646" s="16">
        <v>3.5</v>
      </c>
      <c r="I646" s="19">
        <v>10.67</v>
      </c>
      <c r="J646" s="33"/>
      <c r="K646" s="33"/>
    </row>
    <row r="647">
      <c r="A647" s="20">
        <v>2014.0</v>
      </c>
      <c r="B647" s="21">
        <v>8.0</v>
      </c>
      <c r="C647" s="21">
        <v>2.0</v>
      </c>
      <c r="D647" s="21">
        <v>12.0</v>
      </c>
      <c r="E647" s="22" t="s">
        <v>16</v>
      </c>
      <c r="F647" s="22" t="s">
        <v>34</v>
      </c>
      <c r="G647" s="21">
        <v>7.93</v>
      </c>
      <c r="H647" s="21">
        <v>0.9</v>
      </c>
      <c r="I647" s="23">
        <v>8.83</v>
      </c>
      <c r="J647" s="33"/>
      <c r="K647" s="33"/>
    </row>
    <row r="648">
      <c r="A648" s="15">
        <v>2014.0</v>
      </c>
      <c r="B648" s="16">
        <v>8.0</v>
      </c>
      <c r="C648" s="16">
        <v>3.0</v>
      </c>
      <c r="D648" s="16">
        <v>1.0</v>
      </c>
      <c r="E648" s="17" t="s">
        <v>16</v>
      </c>
      <c r="F648" s="17" t="s">
        <v>27</v>
      </c>
      <c r="G648" s="16">
        <v>8.17</v>
      </c>
      <c r="H648" s="16">
        <v>6.5</v>
      </c>
      <c r="I648" s="19">
        <v>14.67</v>
      </c>
      <c r="J648" s="33"/>
      <c r="K648" s="33"/>
    </row>
    <row r="649">
      <c r="A649" s="20">
        <v>2014.0</v>
      </c>
      <c r="B649" s="21">
        <v>8.0</v>
      </c>
      <c r="C649" s="21">
        <v>3.0</v>
      </c>
      <c r="D649" s="21">
        <v>1.0</v>
      </c>
      <c r="E649" s="22" t="s">
        <v>16</v>
      </c>
      <c r="F649" s="22" t="s">
        <v>35</v>
      </c>
      <c r="G649" s="21">
        <v>5.77</v>
      </c>
      <c r="H649" s="21">
        <v>5.67</v>
      </c>
      <c r="I649" s="23">
        <v>11.44</v>
      </c>
      <c r="J649" s="33"/>
      <c r="K649" s="33"/>
    </row>
    <row r="650">
      <c r="A650" s="15">
        <v>2014.0</v>
      </c>
      <c r="B650" s="16">
        <v>8.0</v>
      </c>
      <c r="C650" s="16">
        <v>3.0</v>
      </c>
      <c r="D650" s="16">
        <v>2.0</v>
      </c>
      <c r="E650" s="17" t="s">
        <v>16</v>
      </c>
      <c r="F650" s="17" t="s">
        <v>56</v>
      </c>
      <c r="G650" s="16">
        <v>8.1</v>
      </c>
      <c r="H650" s="16">
        <v>7.5</v>
      </c>
      <c r="I650" s="19">
        <v>15.6</v>
      </c>
      <c r="J650" s="33"/>
      <c r="K650" s="33"/>
    </row>
    <row r="651">
      <c r="A651" s="20">
        <v>2014.0</v>
      </c>
      <c r="B651" s="21">
        <v>8.0</v>
      </c>
      <c r="C651" s="21">
        <v>3.0</v>
      </c>
      <c r="D651" s="21">
        <v>2.0</v>
      </c>
      <c r="E651" s="22" t="s">
        <v>16</v>
      </c>
      <c r="F651" s="22" t="s">
        <v>47</v>
      </c>
      <c r="G651" s="21">
        <v>9.43</v>
      </c>
      <c r="H651" s="21">
        <v>6.87</v>
      </c>
      <c r="I651" s="23">
        <v>16.3</v>
      </c>
      <c r="J651" s="33"/>
      <c r="K651" s="33"/>
    </row>
    <row r="652">
      <c r="A652" s="15">
        <v>2014.0</v>
      </c>
      <c r="B652" s="16">
        <v>8.0</v>
      </c>
      <c r="C652" s="16">
        <v>3.0</v>
      </c>
      <c r="D652" s="16">
        <v>3.0</v>
      </c>
      <c r="E652" s="17" t="s">
        <v>16</v>
      </c>
      <c r="F652" s="17" t="s">
        <v>41</v>
      </c>
      <c r="G652" s="16">
        <v>6.83</v>
      </c>
      <c r="H652" s="16">
        <v>6.77</v>
      </c>
      <c r="I652" s="19">
        <v>13.6</v>
      </c>
      <c r="J652" s="33"/>
      <c r="K652" s="33"/>
    </row>
    <row r="653">
      <c r="A653" s="20">
        <v>2014.0</v>
      </c>
      <c r="B653" s="21">
        <v>8.0</v>
      </c>
      <c r="C653" s="21">
        <v>3.0</v>
      </c>
      <c r="D653" s="21">
        <v>3.0</v>
      </c>
      <c r="E653" s="22" t="s">
        <v>16</v>
      </c>
      <c r="F653" s="22" t="s">
        <v>120</v>
      </c>
      <c r="G653" s="21">
        <v>7.83</v>
      </c>
      <c r="H653" s="21">
        <v>3.0</v>
      </c>
      <c r="I653" s="23">
        <v>10.83</v>
      </c>
      <c r="J653" s="33"/>
      <c r="K653" s="33"/>
    </row>
    <row r="654">
      <c r="A654" s="15">
        <v>2014.0</v>
      </c>
      <c r="B654" s="16">
        <v>8.0</v>
      </c>
      <c r="C654" s="16">
        <v>3.0</v>
      </c>
      <c r="D654" s="16">
        <v>4.0</v>
      </c>
      <c r="E654" s="17" t="s">
        <v>16</v>
      </c>
      <c r="F654" s="17" t="s">
        <v>32</v>
      </c>
      <c r="G654" s="16">
        <v>5.5</v>
      </c>
      <c r="H654" s="16">
        <v>5.43</v>
      </c>
      <c r="I654" s="19">
        <v>10.93</v>
      </c>
      <c r="J654" s="33"/>
      <c r="K654" s="33"/>
    </row>
    <row r="655">
      <c r="A655" s="20">
        <v>2014.0</v>
      </c>
      <c r="B655" s="21">
        <v>8.0</v>
      </c>
      <c r="C655" s="21">
        <v>3.0</v>
      </c>
      <c r="D655" s="21">
        <v>4.0</v>
      </c>
      <c r="E655" s="22" t="s">
        <v>16</v>
      </c>
      <c r="F655" s="22" t="s">
        <v>55</v>
      </c>
      <c r="G655" s="21">
        <v>6.83</v>
      </c>
      <c r="H655" s="21">
        <v>4.33</v>
      </c>
      <c r="I655" s="23">
        <v>11.16</v>
      </c>
      <c r="J655" s="33"/>
      <c r="K655" s="33"/>
    </row>
    <row r="656">
      <c r="A656" s="15">
        <v>2014.0</v>
      </c>
      <c r="B656" s="16">
        <v>8.0</v>
      </c>
      <c r="C656" s="16">
        <v>3.0</v>
      </c>
      <c r="D656" s="16">
        <v>5.0</v>
      </c>
      <c r="E656" s="17" t="s">
        <v>16</v>
      </c>
      <c r="F656" s="17" t="s">
        <v>28</v>
      </c>
      <c r="G656" s="16">
        <v>6.67</v>
      </c>
      <c r="H656" s="16">
        <v>5.5</v>
      </c>
      <c r="I656" s="19">
        <v>12.17</v>
      </c>
      <c r="J656" s="33"/>
      <c r="K656" s="33"/>
    </row>
    <row r="657">
      <c r="A657" s="20">
        <v>2014.0</v>
      </c>
      <c r="B657" s="21">
        <v>8.0</v>
      </c>
      <c r="C657" s="21">
        <v>3.0</v>
      </c>
      <c r="D657" s="21">
        <v>5.0</v>
      </c>
      <c r="E657" s="22" t="s">
        <v>16</v>
      </c>
      <c r="F657" s="22" t="s">
        <v>31</v>
      </c>
      <c r="G657" s="21">
        <v>6.1</v>
      </c>
      <c r="H657" s="21">
        <v>3.83</v>
      </c>
      <c r="I657" s="23">
        <v>9.93</v>
      </c>
      <c r="J657" s="33"/>
      <c r="K657" s="33"/>
    </row>
    <row r="658">
      <c r="A658" s="15">
        <v>2014.0</v>
      </c>
      <c r="B658" s="16">
        <v>8.0</v>
      </c>
      <c r="C658" s="16">
        <v>3.0</v>
      </c>
      <c r="D658" s="16">
        <v>6.0</v>
      </c>
      <c r="E658" s="17" t="s">
        <v>16</v>
      </c>
      <c r="F658" s="17" t="s">
        <v>30</v>
      </c>
      <c r="G658" s="16">
        <v>6.83</v>
      </c>
      <c r="H658" s="16">
        <v>6.47</v>
      </c>
      <c r="I658" s="19">
        <v>13.3</v>
      </c>
      <c r="J658" s="33"/>
      <c r="K658" s="33"/>
    </row>
    <row r="659">
      <c r="A659" s="20">
        <v>2014.0</v>
      </c>
      <c r="B659" s="21">
        <v>8.0</v>
      </c>
      <c r="C659" s="21">
        <v>3.0</v>
      </c>
      <c r="D659" s="21">
        <v>6.0</v>
      </c>
      <c r="E659" s="22" t="s">
        <v>16</v>
      </c>
      <c r="F659" s="22" t="s">
        <v>133</v>
      </c>
      <c r="G659" s="21">
        <v>5.1</v>
      </c>
      <c r="H659" s="21">
        <v>3.67</v>
      </c>
      <c r="I659" s="23">
        <v>8.77</v>
      </c>
      <c r="J659" s="33"/>
      <c r="K659" s="33"/>
    </row>
    <row r="660">
      <c r="A660" s="15">
        <v>2014.0</v>
      </c>
      <c r="B660" s="16">
        <v>8.0</v>
      </c>
      <c r="C660" s="16">
        <v>3.0</v>
      </c>
      <c r="D660" s="16">
        <v>7.0</v>
      </c>
      <c r="E660" s="17" t="s">
        <v>16</v>
      </c>
      <c r="F660" s="17" t="s">
        <v>37</v>
      </c>
      <c r="G660" s="16">
        <v>7.67</v>
      </c>
      <c r="H660" s="16">
        <v>6.5</v>
      </c>
      <c r="I660" s="19">
        <v>14.17</v>
      </c>
      <c r="J660" s="33"/>
      <c r="K660" s="33"/>
    </row>
    <row r="661">
      <c r="A661" s="20">
        <v>2014.0</v>
      </c>
      <c r="B661" s="21">
        <v>8.0</v>
      </c>
      <c r="C661" s="21">
        <v>3.0</v>
      </c>
      <c r="D661" s="21">
        <v>7.0</v>
      </c>
      <c r="E661" s="22" t="s">
        <v>16</v>
      </c>
      <c r="F661" s="22" t="s">
        <v>90</v>
      </c>
      <c r="G661" s="21">
        <v>7.07</v>
      </c>
      <c r="H661" s="21">
        <v>6.77</v>
      </c>
      <c r="I661" s="23">
        <v>13.84</v>
      </c>
      <c r="J661" s="33"/>
      <c r="K661" s="33"/>
    </row>
    <row r="662">
      <c r="A662" s="15">
        <v>2014.0</v>
      </c>
      <c r="B662" s="16">
        <v>8.0</v>
      </c>
      <c r="C662" s="16">
        <v>3.0</v>
      </c>
      <c r="D662" s="16">
        <v>8.0</v>
      </c>
      <c r="E662" s="17" t="s">
        <v>16</v>
      </c>
      <c r="F662" s="17" t="s">
        <v>26</v>
      </c>
      <c r="G662" s="16">
        <v>8.9</v>
      </c>
      <c r="H662" s="16">
        <v>7.67</v>
      </c>
      <c r="I662" s="19">
        <v>16.57</v>
      </c>
      <c r="J662" s="33"/>
      <c r="K662" s="33"/>
    </row>
    <row r="663">
      <c r="A663" s="20">
        <v>2014.0</v>
      </c>
      <c r="B663" s="21">
        <v>8.0</v>
      </c>
      <c r="C663" s="21">
        <v>3.0</v>
      </c>
      <c r="D663" s="21">
        <v>8.0</v>
      </c>
      <c r="E663" s="22" t="s">
        <v>16</v>
      </c>
      <c r="F663" s="22" t="s">
        <v>125</v>
      </c>
      <c r="G663" s="21">
        <v>6.83</v>
      </c>
      <c r="H663" s="21">
        <v>5.0</v>
      </c>
      <c r="I663" s="23">
        <v>11.83</v>
      </c>
      <c r="J663" s="33"/>
      <c r="K663" s="33"/>
    </row>
    <row r="664">
      <c r="A664" s="15">
        <v>2014.0</v>
      </c>
      <c r="B664" s="16">
        <v>8.0</v>
      </c>
      <c r="C664" s="16">
        <v>3.0</v>
      </c>
      <c r="D664" s="16">
        <v>9.0</v>
      </c>
      <c r="E664" s="17" t="s">
        <v>16</v>
      </c>
      <c r="F664" s="17" t="s">
        <v>42</v>
      </c>
      <c r="G664" s="16">
        <v>8.77</v>
      </c>
      <c r="H664" s="16">
        <v>7.9</v>
      </c>
      <c r="I664" s="19">
        <v>16.67</v>
      </c>
      <c r="J664" s="33"/>
      <c r="K664" s="33"/>
    </row>
    <row r="665">
      <c r="A665" s="20">
        <v>2014.0</v>
      </c>
      <c r="B665" s="21">
        <v>8.0</v>
      </c>
      <c r="C665" s="21">
        <v>3.0</v>
      </c>
      <c r="D665" s="21">
        <v>9.0</v>
      </c>
      <c r="E665" s="22" t="s">
        <v>16</v>
      </c>
      <c r="F665" s="22" t="s">
        <v>33</v>
      </c>
      <c r="G665" s="21">
        <v>8.77</v>
      </c>
      <c r="H665" s="21">
        <v>7.9</v>
      </c>
      <c r="I665" s="23">
        <v>16.67</v>
      </c>
      <c r="J665" s="33"/>
      <c r="K665" s="33"/>
    </row>
    <row r="666">
      <c r="A666" s="15">
        <v>2014.0</v>
      </c>
      <c r="B666" s="16">
        <v>8.0</v>
      </c>
      <c r="C666" s="16">
        <v>3.0</v>
      </c>
      <c r="D666" s="16">
        <v>10.0</v>
      </c>
      <c r="E666" s="17" t="s">
        <v>16</v>
      </c>
      <c r="F666" s="17" t="s">
        <v>62</v>
      </c>
      <c r="G666" s="16">
        <v>8.7</v>
      </c>
      <c r="H666" s="16">
        <v>6.0</v>
      </c>
      <c r="I666" s="19">
        <v>14.7</v>
      </c>
      <c r="J666" s="33"/>
      <c r="K666" s="33"/>
    </row>
    <row r="667">
      <c r="A667" s="20">
        <v>2014.0</v>
      </c>
      <c r="B667" s="21">
        <v>8.0</v>
      </c>
      <c r="C667" s="21">
        <v>3.0</v>
      </c>
      <c r="D667" s="21">
        <v>10.0</v>
      </c>
      <c r="E667" s="22" t="s">
        <v>16</v>
      </c>
      <c r="F667" s="22" t="s">
        <v>60</v>
      </c>
      <c r="G667" s="21">
        <v>7.83</v>
      </c>
      <c r="H667" s="21">
        <v>6.27</v>
      </c>
      <c r="I667" s="23">
        <v>14.1</v>
      </c>
      <c r="J667" s="33"/>
      <c r="K667" s="33"/>
    </row>
    <row r="668">
      <c r="A668" s="15">
        <v>2014.0</v>
      </c>
      <c r="B668" s="16">
        <v>8.0</v>
      </c>
      <c r="C668" s="16">
        <v>3.0</v>
      </c>
      <c r="D668" s="16">
        <v>11.0</v>
      </c>
      <c r="E668" s="17" t="s">
        <v>16</v>
      </c>
      <c r="F668" s="17" t="s">
        <v>57</v>
      </c>
      <c r="G668" s="16">
        <v>7.87</v>
      </c>
      <c r="H668" s="16">
        <v>7.5</v>
      </c>
      <c r="I668" s="19">
        <v>15.37</v>
      </c>
      <c r="J668" s="33"/>
      <c r="K668" s="33"/>
    </row>
    <row r="669">
      <c r="A669" s="20">
        <v>2014.0</v>
      </c>
      <c r="B669" s="21">
        <v>8.0</v>
      </c>
      <c r="C669" s="21">
        <v>3.0</v>
      </c>
      <c r="D669" s="21">
        <v>11.0</v>
      </c>
      <c r="E669" s="22" t="s">
        <v>16</v>
      </c>
      <c r="F669" s="22" t="s">
        <v>123</v>
      </c>
      <c r="G669" s="21">
        <v>6.93</v>
      </c>
      <c r="H669" s="21">
        <v>6.5</v>
      </c>
      <c r="I669" s="23">
        <v>13.43</v>
      </c>
      <c r="J669" s="33"/>
      <c r="K669" s="33"/>
    </row>
    <row r="670">
      <c r="A670" s="15">
        <v>2014.0</v>
      </c>
      <c r="B670" s="16">
        <v>8.0</v>
      </c>
      <c r="C670" s="16">
        <v>3.0</v>
      </c>
      <c r="D670" s="16">
        <v>12.0</v>
      </c>
      <c r="E670" s="17" t="s">
        <v>16</v>
      </c>
      <c r="F670" s="17" t="s">
        <v>39</v>
      </c>
      <c r="G670" s="16">
        <v>8.5</v>
      </c>
      <c r="H670" s="16">
        <v>7.53</v>
      </c>
      <c r="I670" s="19">
        <v>16.03</v>
      </c>
      <c r="J670" s="33"/>
      <c r="K670" s="33"/>
    </row>
    <row r="671">
      <c r="A671" s="20">
        <v>2014.0</v>
      </c>
      <c r="B671" s="21">
        <v>8.0</v>
      </c>
      <c r="C671" s="21">
        <v>3.0</v>
      </c>
      <c r="D671" s="21">
        <v>12.0</v>
      </c>
      <c r="E671" s="22" t="s">
        <v>16</v>
      </c>
      <c r="F671" s="22" t="s">
        <v>107</v>
      </c>
      <c r="G671" s="21">
        <v>7.5</v>
      </c>
      <c r="H671" s="21">
        <v>6.2</v>
      </c>
      <c r="I671" s="23">
        <v>13.7</v>
      </c>
      <c r="J671" s="33"/>
      <c r="K671" s="33"/>
    </row>
    <row r="672">
      <c r="A672" s="15">
        <v>2014.0</v>
      </c>
      <c r="B672" s="16">
        <v>8.0</v>
      </c>
      <c r="C672" s="16">
        <v>4.0</v>
      </c>
      <c r="D672" s="16">
        <v>1.0</v>
      </c>
      <c r="E672" s="17" t="s">
        <v>16</v>
      </c>
      <c r="F672" s="17" t="s">
        <v>27</v>
      </c>
      <c r="G672" s="16">
        <v>8.87</v>
      </c>
      <c r="H672" s="16">
        <v>6.83</v>
      </c>
      <c r="I672" s="19">
        <v>15.7</v>
      </c>
      <c r="J672" s="33"/>
      <c r="K672" s="33"/>
    </row>
    <row r="673">
      <c r="A673" s="20">
        <v>2014.0</v>
      </c>
      <c r="B673" s="21">
        <v>8.0</v>
      </c>
      <c r="C673" s="21">
        <v>4.0</v>
      </c>
      <c r="D673" s="21">
        <v>1.0</v>
      </c>
      <c r="E673" s="22" t="s">
        <v>16</v>
      </c>
      <c r="F673" s="22" t="s">
        <v>47</v>
      </c>
      <c r="G673" s="21">
        <v>5.67</v>
      </c>
      <c r="H673" s="21">
        <v>5.47</v>
      </c>
      <c r="I673" s="23">
        <v>11.14</v>
      </c>
      <c r="J673" s="33"/>
      <c r="K673" s="33"/>
    </row>
    <row r="674">
      <c r="A674" s="15">
        <v>2014.0</v>
      </c>
      <c r="B674" s="16">
        <v>8.0</v>
      </c>
      <c r="C674" s="16">
        <v>4.0</v>
      </c>
      <c r="D674" s="16">
        <v>1.0</v>
      </c>
      <c r="E674" s="17" t="s">
        <v>16</v>
      </c>
      <c r="F674" s="17" t="s">
        <v>41</v>
      </c>
      <c r="G674" s="16">
        <v>9.07</v>
      </c>
      <c r="H674" s="16">
        <v>6.83</v>
      </c>
      <c r="I674" s="19">
        <v>15.9</v>
      </c>
      <c r="J674" s="33"/>
      <c r="K674" s="33"/>
    </row>
    <row r="675">
      <c r="A675" s="20">
        <v>2014.0</v>
      </c>
      <c r="B675" s="21">
        <v>8.0</v>
      </c>
      <c r="C675" s="21">
        <v>4.0</v>
      </c>
      <c r="D675" s="21">
        <v>2.0</v>
      </c>
      <c r="E675" s="22" t="s">
        <v>16</v>
      </c>
      <c r="F675" s="22" t="s">
        <v>55</v>
      </c>
      <c r="G675" s="21">
        <v>9.1</v>
      </c>
      <c r="H675" s="21">
        <v>5.9</v>
      </c>
      <c r="I675" s="23">
        <v>15.0</v>
      </c>
      <c r="J675" s="33"/>
      <c r="K675" s="33"/>
    </row>
    <row r="676">
      <c r="A676" s="15">
        <v>2014.0</v>
      </c>
      <c r="B676" s="16">
        <v>8.0</v>
      </c>
      <c r="C676" s="16">
        <v>4.0</v>
      </c>
      <c r="D676" s="16">
        <v>2.0</v>
      </c>
      <c r="E676" s="17" t="s">
        <v>16</v>
      </c>
      <c r="F676" s="17" t="s">
        <v>28</v>
      </c>
      <c r="G676" s="16">
        <v>6.7</v>
      </c>
      <c r="H676" s="16">
        <v>6.33</v>
      </c>
      <c r="I676" s="19">
        <v>13.03</v>
      </c>
      <c r="J676" s="33"/>
      <c r="K676" s="33"/>
    </row>
    <row r="677">
      <c r="A677" s="20">
        <v>2014.0</v>
      </c>
      <c r="B677" s="21">
        <v>8.0</v>
      </c>
      <c r="C677" s="21">
        <v>4.0</v>
      </c>
      <c r="D677" s="21">
        <v>2.0</v>
      </c>
      <c r="E677" s="22" t="s">
        <v>16</v>
      </c>
      <c r="F677" s="22" t="s">
        <v>30</v>
      </c>
      <c r="G677" s="21">
        <v>9.63</v>
      </c>
      <c r="H677" s="21">
        <v>6.83</v>
      </c>
      <c r="I677" s="23">
        <v>16.46</v>
      </c>
      <c r="J677" s="33"/>
      <c r="K677" s="33"/>
    </row>
    <row r="678">
      <c r="A678" s="15">
        <v>2014.0</v>
      </c>
      <c r="B678" s="16">
        <v>8.0</v>
      </c>
      <c r="C678" s="16">
        <v>4.0</v>
      </c>
      <c r="D678" s="16">
        <v>3.0</v>
      </c>
      <c r="E678" s="17" t="s">
        <v>16</v>
      </c>
      <c r="F678" s="17" t="s">
        <v>37</v>
      </c>
      <c r="G678" s="16">
        <v>7.0</v>
      </c>
      <c r="H678" s="16">
        <v>4.83</v>
      </c>
      <c r="I678" s="19">
        <v>11.83</v>
      </c>
      <c r="J678" s="33"/>
      <c r="K678" s="33"/>
    </row>
    <row r="679">
      <c r="A679" s="20">
        <v>2014.0</v>
      </c>
      <c r="B679" s="21">
        <v>8.0</v>
      </c>
      <c r="C679" s="21">
        <v>4.0</v>
      </c>
      <c r="D679" s="21">
        <v>3.0</v>
      </c>
      <c r="E679" s="22" t="s">
        <v>16</v>
      </c>
      <c r="F679" s="22" t="s">
        <v>26</v>
      </c>
      <c r="G679" s="21">
        <v>9.93</v>
      </c>
      <c r="H679" s="21">
        <v>9.8</v>
      </c>
      <c r="I679" s="23">
        <v>19.73</v>
      </c>
      <c r="J679" s="33"/>
      <c r="K679" s="33"/>
    </row>
    <row r="680">
      <c r="A680" s="15">
        <v>2014.0</v>
      </c>
      <c r="B680" s="16">
        <v>8.0</v>
      </c>
      <c r="C680" s="16">
        <v>4.0</v>
      </c>
      <c r="D680" s="16">
        <v>3.0</v>
      </c>
      <c r="E680" s="17" t="s">
        <v>16</v>
      </c>
      <c r="F680" s="17" t="s">
        <v>42</v>
      </c>
      <c r="G680" s="16">
        <v>9.07</v>
      </c>
      <c r="H680" s="16">
        <v>8.77</v>
      </c>
      <c r="I680" s="19">
        <v>17.84</v>
      </c>
      <c r="J680" s="33"/>
      <c r="K680" s="33"/>
    </row>
    <row r="681">
      <c r="A681" s="20">
        <v>2014.0</v>
      </c>
      <c r="B681" s="21">
        <v>8.0</v>
      </c>
      <c r="C681" s="21">
        <v>4.0</v>
      </c>
      <c r="D681" s="21">
        <v>4.0</v>
      </c>
      <c r="E681" s="22" t="s">
        <v>16</v>
      </c>
      <c r="F681" s="22" t="s">
        <v>62</v>
      </c>
      <c r="G681" s="21">
        <v>8.17</v>
      </c>
      <c r="H681" s="21">
        <v>6.27</v>
      </c>
      <c r="I681" s="23">
        <v>14.44</v>
      </c>
      <c r="J681" s="33"/>
      <c r="K681" s="33"/>
    </row>
    <row r="682">
      <c r="A682" s="15">
        <v>2014.0</v>
      </c>
      <c r="B682" s="16">
        <v>8.0</v>
      </c>
      <c r="C682" s="16">
        <v>4.0</v>
      </c>
      <c r="D682" s="16">
        <v>4.0</v>
      </c>
      <c r="E682" s="17" t="s">
        <v>16</v>
      </c>
      <c r="F682" s="17" t="s">
        <v>57</v>
      </c>
      <c r="G682" s="16">
        <v>7.07</v>
      </c>
      <c r="H682" s="16">
        <v>6.83</v>
      </c>
      <c r="I682" s="19">
        <v>13.9</v>
      </c>
      <c r="J682" s="33"/>
      <c r="K682" s="33"/>
    </row>
    <row r="683">
      <c r="A683" s="20">
        <v>2014.0</v>
      </c>
      <c r="B683" s="21">
        <v>8.0</v>
      </c>
      <c r="C683" s="21">
        <v>4.0</v>
      </c>
      <c r="D683" s="21">
        <v>4.0</v>
      </c>
      <c r="E683" s="22" t="s">
        <v>16</v>
      </c>
      <c r="F683" s="22" t="s">
        <v>39</v>
      </c>
      <c r="G683" s="21">
        <v>8.27</v>
      </c>
      <c r="H683" s="21">
        <v>6.3</v>
      </c>
      <c r="I683" s="23">
        <v>14.57</v>
      </c>
      <c r="J683" s="33"/>
      <c r="K683" s="33"/>
    </row>
    <row r="684">
      <c r="A684" s="15">
        <v>2014.0</v>
      </c>
      <c r="B684" s="16">
        <v>8.0</v>
      </c>
      <c r="C684" s="16">
        <v>5.0</v>
      </c>
      <c r="D684" s="16">
        <v>1.0</v>
      </c>
      <c r="E684" s="17" t="s">
        <v>16</v>
      </c>
      <c r="F684" s="17" t="s">
        <v>27</v>
      </c>
      <c r="G684" s="16">
        <v>8.07</v>
      </c>
      <c r="H684" s="16">
        <v>7.0</v>
      </c>
      <c r="I684" s="19">
        <v>15.07</v>
      </c>
      <c r="J684" s="33"/>
      <c r="K684" s="33"/>
    </row>
    <row r="685">
      <c r="A685" s="20">
        <v>2014.0</v>
      </c>
      <c r="B685" s="21">
        <v>8.0</v>
      </c>
      <c r="C685" s="21">
        <v>5.0</v>
      </c>
      <c r="D685" s="21">
        <v>1.0</v>
      </c>
      <c r="E685" s="22" t="s">
        <v>16</v>
      </c>
      <c r="F685" s="22" t="s">
        <v>28</v>
      </c>
      <c r="G685" s="21">
        <v>8.17</v>
      </c>
      <c r="H685" s="21">
        <v>7.57</v>
      </c>
      <c r="I685" s="23">
        <v>15.74</v>
      </c>
      <c r="J685" s="33"/>
      <c r="K685" s="33"/>
    </row>
    <row r="686">
      <c r="A686" s="15">
        <v>2014.0</v>
      </c>
      <c r="B686" s="16">
        <v>8.0</v>
      </c>
      <c r="C686" s="16">
        <v>5.0</v>
      </c>
      <c r="D686" s="16">
        <v>2.0</v>
      </c>
      <c r="E686" s="17" t="s">
        <v>16</v>
      </c>
      <c r="F686" s="17" t="s">
        <v>55</v>
      </c>
      <c r="G686" s="16">
        <v>8.77</v>
      </c>
      <c r="H686" s="16">
        <v>1.5</v>
      </c>
      <c r="I686" s="19">
        <v>10.27</v>
      </c>
      <c r="J686" s="33"/>
      <c r="K686" s="33"/>
    </row>
    <row r="687">
      <c r="A687" s="20">
        <v>2014.0</v>
      </c>
      <c r="B687" s="21">
        <v>8.0</v>
      </c>
      <c r="C687" s="21">
        <v>5.0</v>
      </c>
      <c r="D687" s="21">
        <v>2.0</v>
      </c>
      <c r="E687" s="22" t="s">
        <v>16</v>
      </c>
      <c r="F687" s="22" t="s">
        <v>47</v>
      </c>
      <c r="G687" s="21">
        <v>8.5</v>
      </c>
      <c r="H687" s="21">
        <v>7.0</v>
      </c>
      <c r="I687" s="23">
        <v>15.5</v>
      </c>
      <c r="J687" s="33"/>
      <c r="K687" s="33"/>
    </row>
    <row r="688">
      <c r="A688" s="15">
        <v>2014.0</v>
      </c>
      <c r="B688" s="16">
        <v>8.0</v>
      </c>
      <c r="C688" s="16">
        <v>5.0</v>
      </c>
      <c r="D688" s="16">
        <v>3.0</v>
      </c>
      <c r="E688" s="17" t="s">
        <v>16</v>
      </c>
      <c r="F688" s="17" t="s">
        <v>42</v>
      </c>
      <c r="G688" s="16">
        <v>9.07</v>
      </c>
      <c r="H688" s="16">
        <v>8.93</v>
      </c>
      <c r="I688" s="19">
        <v>18.0</v>
      </c>
      <c r="J688" s="33"/>
      <c r="K688" s="33"/>
    </row>
    <row r="689">
      <c r="A689" s="20">
        <v>2014.0</v>
      </c>
      <c r="B689" s="21">
        <v>8.0</v>
      </c>
      <c r="C689" s="21">
        <v>5.0</v>
      </c>
      <c r="D689" s="21">
        <v>3.0</v>
      </c>
      <c r="E689" s="22" t="s">
        <v>16</v>
      </c>
      <c r="F689" s="22" t="s">
        <v>57</v>
      </c>
      <c r="G689" s="21">
        <v>6.67</v>
      </c>
      <c r="H689" s="21">
        <v>5.67</v>
      </c>
      <c r="I689" s="23">
        <v>12.34</v>
      </c>
      <c r="J689" s="33"/>
      <c r="K689" s="33"/>
    </row>
    <row r="690">
      <c r="A690" s="15">
        <v>2014.0</v>
      </c>
      <c r="B690" s="16">
        <v>8.0</v>
      </c>
      <c r="C690" s="16">
        <v>5.0</v>
      </c>
      <c r="D690" s="16">
        <v>4.0</v>
      </c>
      <c r="E690" s="17" t="s">
        <v>16</v>
      </c>
      <c r="F690" s="17" t="s">
        <v>62</v>
      </c>
      <c r="G690" s="16">
        <v>7.93</v>
      </c>
      <c r="H690" s="16">
        <v>7.9</v>
      </c>
      <c r="I690" s="19">
        <v>15.83</v>
      </c>
      <c r="J690" s="33"/>
      <c r="K690" s="33"/>
    </row>
    <row r="691">
      <c r="A691" s="20">
        <v>2014.0</v>
      </c>
      <c r="B691" s="21">
        <v>8.0</v>
      </c>
      <c r="C691" s="21">
        <v>5.0</v>
      </c>
      <c r="D691" s="21">
        <v>4.0</v>
      </c>
      <c r="E691" s="22" t="s">
        <v>16</v>
      </c>
      <c r="F691" s="22" t="s">
        <v>37</v>
      </c>
      <c r="G691" s="21">
        <v>8.6</v>
      </c>
      <c r="H691" s="21">
        <v>7.27</v>
      </c>
      <c r="I691" s="23">
        <v>15.87</v>
      </c>
      <c r="J691" s="33"/>
      <c r="K691" s="33"/>
    </row>
    <row r="692">
      <c r="A692" s="15">
        <v>2014.0</v>
      </c>
      <c r="B692" s="16">
        <v>8.0</v>
      </c>
      <c r="C692" s="16">
        <v>6.0</v>
      </c>
      <c r="D692" s="16">
        <v>1.0</v>
      </c>
      <c r="E692" s="17" t="s">
        <v>16</v>
      </c>
      <c r="F692" s="17" t="s">
        <v>41</v>
      </c>
      <c r="G692" s="16">
        <v>8.7</v>
      </c>
      <c r="H692" s="16">
        <v>4.83</v>
      </c>
      <c r="I692" s="19">
        <v>13.53</v>
      </c>
      <c r="J692" s="33"/>
      <c r="K692" s="33"/>
    </row>
    <row r="693">
      <c r="A693" s="20">
        <v>2014.0</v>
      </c>
      <c r="B693" s="21">
        <v>8.0</v>
      </c>
      <c r="C693" s="21">
        <v>6.0</v>
      </c>
      <c r="D693" s="21">
        <v>1.0</v>
      </c>
      <c r="E693" s="22" t="s">
        <v>16</v>
      </c>
      <c r="F693" s="22" t="s">
        <v>28</v>
      </c>
      <c r="G693" s="21">
        <v>8.17</v>
      </c>
      <c r="H693" s="21">
        <v>7.7</v>
      </c>
      <c r="I693" s="23">
        <v>15.87</v>
      </c>
      <c r="J693" s="33"/>
      <c r="K693" s="33"/>
    </row>
    <row r="694">
      <c r="A694" s="15">
        <v>2014.0</v>
      </c>
      <c r="B694" s="16">
        <v>8.0</v>
      </c>
      <c r="C694" s="16">
        <v>6.0</v>
      </c>
      <c r="D694" s="16">
        <v>2.0</v>
      </c>
      <c r="E694" s="17" t="s">
        <v>16</v>
      </c>
      <c r="F694" s="17" t="s">
        <v>30</v>
      </c>
      <c r="G694" s="16">
        <v>8.27</v>
      </c>
      <c r="H694" s="16">
        <v>6.5</v>
      </c>
      <c r="I694" s="19">
        <v>14.77</v>
      </c>
      <c r="J694" s="33"/>
      <c r="K694" s="33"/>
    </row>
    <row r="695">
      <c r="A695" s="20">
        <v>2014.0</v>
      </c>
      <c r="B695" s="21">
        <v>8.0</v>
      </c>
      <c r="C695" s="21">
        <v>6.0</v>
      </c>
      <c r="D695" s="21">
        <v>2.0</v>
      </c>
      <c r="E695" s="22" t="s">
        <v>16</v>
      </c>
      <c r="F695" s="22" t="s">
        <v>47</v>
      </c>
      <c r="G695" s="21">
        <v>9.43</v>
      </c>
      <c r="H695" s="21">
        <v>8.0</v>
      </c>
      <c r="I695" s="23">
        <v>17.43</v>
      </c>
      <c r="J695" s="33"/>
      <c r="K695" s="33"/>
    </row>
    <row r="696">
      <c r="A696" s="15">
        <v>2014.0</v>
      </c>
      <c r="B696" s="16">
        <v>8.0</v>
      </c>
      <c r="C696" s="16">
        <v>6.0</v>
      </c>
      <c r="D696" s="16">
        <v>3.0</v>
      </c>
      <c r="E696" s="17" t="s">
        <v>16</v>
      </c>
      <c r="F696" s="17" t="s">
        <v>26</v>
      </c>
      <c r="G696" s="16">
        <v>9.17</v>
      </c>
      <c r="H696" s="16">
        <v>8.2</v>
      </c>
      <c r="I696" s="19">
        <v>17.37</v>
      </c>
      <c r="J696" s="33"/>
      <c r="K696" s="33"/>
    </row>
    <row r="697">
      <c r="A697" s="20">
        <v>2014.0</v>
      </c>
      <c r="B697" s="21">
        <v>8.0</v>
      </c>
      <c r="C697" s="21">
        <v>6.0</v>
      </c>
      <c r="D697" s="21">
        <v>3.0</v>
      </c>
      <c r="E697" s="22" t="s">
        <v>16</v>
      </c>
      <c r="F697" s="22" t="s">
        <v>42</v>
      </c>
      <c r="G697" s="21">
        <v>7.83</v>
      </c>
      <c r="H697" s="21">
        <v>1.43</v>
      </c>
      <c r="I697" s="23">
        <v>9.26</v>
      </c>
      <c r="J697" s="33"/>
      <c r="K697" s="33"/>
    </row>
    <row r="698">
      <c r="A698" s="15">
        <v>2014.0</v>
      </c>
      <c r="B698" s="16">
        <v>8.0</v>
      </c>
      <c r="C698" s="16">
        <v>6.0</v>
      </c>
      <c r="D698" s="16">
        <v>4.0</v>
      </c>
      <c r="E698" s="17" t="s">
        <v>16</v>
      </c>
      <c r="F698" s="17" t="s">
        <v>39</v>
      </c>
      <c r="G698" s="16">
        <v>6.1</v>
      </c>
      <c r="H698" s="16">
        <v>5.23</v>
      </c>
      <c r="I698" s="19">
        <v>11.33</v>
      </c>
      <c r="J698" s="33"/>
      <c r="K698" s="33"/>
    </row>
    <row r="699">
      <c r="A699" s="20">
        <v>2014.0</v>
      </c>
      <c r="B699" s="21">
        <v>8.0</v>
      </c>
      <c r="C699" s="21">
        <v>6.0</v>
      </c>
      <c r="D699" s="21">
        <v>4.0</v>
      </c>
      <c r="E699" s="22" t="s">
        <v>16</v>
      </c>
      <c r="F699" s="22" t="s">
        <v>37</v>
      </c>
      <c r="G699" s="21">
        <v>9.37</v>
      </c>
      <c r="H699" s="21">
        <v>6.5</v>
      </c>
      <c r="I699" s="23">
        <v>15.87</v>
      </c>
      <c r="J699" s="33"/>
      <c r="K699" s="33"/>
    </row>
    <row r="700">
      <c r="A700" s="15">
        <v>2014.0</v>
      </c>
      <c r="B700" s="16">
        <v>8.0</v>
      </c>
      <c r="C700" s="16">
        <v>7.0</v>
      </c>
      <c r="D700" s="16">
        <v>1.0</v>
      </c>
      <c r="E700" s="17" t="s">
        <v>16</v>
      </c>
      <c r="F700" s="17" t="s">
        <v>28</v>
      </c>
      <c r="G700" s="16">
        <v>7.27</v>
      </c>
      <c r="H700" s="16">
        <v>6.83</v>
      </c>
      <c r="I700" s="19">
        <v>14.1</v>
      </c>
      <c r="J700" s="33"/>
      <c r="K700" s="33"/>
    </row>
    <row r="701">
      <c r="A701" s="20">
        <v>2014.0</v>
      </c>
      <c r="B701" s="21">
        <v>8.0</v>
      </c>
      <c r="C701" s="21">
        <v>7.0</v>
      </c>
      <c r="D701" s="21">
        <v>1.0</v>
      </c>
      <c r="E701" s="22" t="s">
        <v>16</v>
      </c>
      <c r="F701" s="22" t="s">
        <v>47</v>
      </c>
      <c r="G701" s="21">
        <v>6.67</v>
      </c>
      <c r="H701" s="21">
        <v>6.63</v>
      </c>
      <c r="I701" s="23">
        <v>13.3</v>
      </c>
      <c r="J701" s="33"/>
      <c r="K701" s="33"/>
    </row>
    <row r="702">
      <c r="A702" s="15">
        <v>2014.0</v>
      </c>
      <c r="B702" s="16">
        <v>8.0</v>
      </c>
      <c r="C702" s="16">
        <v>7.0</v>
      </c>
      <c r="D702" s="16">
        <v>2.0</v>
      </c>
      <c r="E702" s="17" t="s">
        <v>16</v>
      </c>
      <c r="F702" s="17" t="s">
        <v>26</v>
      </c>
      <c r="G702" s="16">
        <v>7.6</v>
      </c>
      <c r="H702" s="16">
        <v>7.5</v>
      </c>
      <c r="I702" s="19">
        <v>15.1</v>
      </c>
      <c r="J702" s="33"/>
      <c r="K702" s="33"/>
    </row>
    <row r="703">
      <c r="A703" s="20">
        <v>2014.0</v>
      </c>
      <c r="B703" s="21">
        <v>8.0</v>
      </c>
      <c r="C703" s="21">
        <v>7.0</v>
      </c>
      <c r="D703" s="21">
        <v>2.0</v>
      </c>
      <c r="E703" s="22" t="s">
        <v>16</v>
      </c>
      <c r="F703" s="22" t="s">
        <v>37</v>
      </c>
      <c r="G703" s="21">
        <v>8.43</v>
      </c>
      <c r="H703" s="21">
        <v>5.67</v>
      </c>
      <c r="I703" s="23">
        <v>14.1</v>
      </c>
      <c r="J703" s="33"/>
      <c r="K703" s="33"/>
    </row>
    <row r="704">
      <c r="A704" s="15">
        <v>2014.0</v>
      </c>
      <c r="B704" s="16">
        <v>8.0</v>
      </c>
      <c r="C704" s="16">
        <v>8.0</v>
      </c>
      <c r="D704" s="16">
        <v>1.0</v>
      </c>
      <c r="E704" s="17" t="s">
        <v>16</v>
      </c>
      <c r="F704" s="17" t="s">
        <v>28</v>
      </c>
      <c r="G704" s="16">
        <v>9.33</v>
      </c>
      <c r="H704" s="16">
        <v>7.17</v>
      </c>
      <c r="I704" s="19">
        <v>16.5</v>
      </c>
      <c r="J704" s="33"/>
      <c r="K704" s="33"/>
    </row>
    <row r="705">
      <c r="A705" s="20">
        <v>2014.0</v>
      </c>
      <c r="B705" s="21">
        <v>8.0</v>
      </c>
      <c r="C705" s="21">
        <v>8.0</v>
      </c>
      <c r="D705" s="21">
        <v>1.0</v>
      </c>
      <c r="E705" s="22" t="s">
        <v>16</v>
      </c>
      <c r="F705" s="22" t="s">
        <v>26</v>
      </c>
      <c r="G705" s="21">
        <v>8.6</v>
      </c>
      <c r="H705" s="21">
        <v>7.27</v>
      </c>
      <c r="I705" s="23">
        <v>15.87</v>
      </c>
      <c r="J705" s="33"/>
      <c r="K705" s="33"/>
    </row>
    <row r="706">
      <c r="A706" s="15">
        <v>2014.0</v>
      </c>
      <c r="B706" s="16">
        <v>9.0</v>
      </c>
      <c r="C706" s="16">
        <v>1.0</v>
      </c>
      <c r="D706" s="16">
        <v>1.0</v>
      </c>
      <c r="E706" s="17" t="s">
        <v>16</v>
      </c>
      <c r="F706" s="17" t="s">
        <v>62</v>
      </c>
      <c r="G706" s="16">
        <v>8.13</v>
      </c>
      <c r="H706" s="16">
        <v>7.03</v>
      </c>
      <c r="I706" s="19">
        <v>15.16</v>
      </c>
      <c r="J706" s="33"/>
      <c r="K706" s="33"/>
    </row>
    <row r="707">
      <c r="A707" s="20">
        <v>2014.0</v>
      </c>
      <c r="B707" s="21">
        <v>9.0</v>
      </c>
      <c r="C707" s="21">
        <v>1.0</v>
      </c>
      <c r="D707" s="21">
        <v>1.0</v>
      </c>
      <c r="E707" s="22" t="s">
        <v>16</v>
      </c>
      <c r="F707" s="22" t="s">
        <v>123</v>
      </c>
      <c r="G707" s="21">
        <v>7.27</v>
      </c>
      <c r="H707" s="21">
        <v>6.83</v>
      </c>
      <c r="I707" s="23">
        <v>14.1</v>
      </c>
      <c r="J707" s="33"/>
      <c r="K707" s="33"/>
    </row>
    <row r="708">
      <c r="A708" s="15">
        <v>2014.0</v>
      </c>
      <c r="B708" s="16">
        <v>9.0</v>
      </c>
      <c r="C708" s="16">
        <v>1.0</v>
      </c>
      <c r="D708" s="16">
        <v>1.0</v>
      </c>
      <c r="E708" s="17" t="s">
        <v>16</v>
      </c>
      <c r="F708" s="17" t="s">
        <v>122</v>
      </c>
      <c r="G708" s="16">
        <v>8.17</v>
      </c>
      <c r="H708" s="16">
        <v>6.8</v>
      </c>
      <c r="I708" s="19">
        <v>14.97</v>
      </c>
      <c r="J708" s="33"/>
      <c r="K708" s="33"/>
    </row>
    <row r="709">
      <c r="A709" s="20">
        <v>2014.0</v>
      </c>
      <c r="B709" s="21">
        <v>9.0</v>
      </c>
      <c r="C709" s="21">
        <v>1.0</v>
      </c>
      <c r="D709" s="21">
        <v>2.0</v>
      </c>
      <c r="E709" s="22" t="s">
        <v>16</v>
      </c>
      <c r="F709" s="22" t="s">
        <v>27</v>
      </c>
      <c r="G709" s="21">
        <v>8.5</v>
      </c>
      <c r="H709" s="21">
        <v>7.83</v>
      </c>
      <c r="I709" s="23">
        <v>16.33</v>
      </c>
      <c r="J709" s="33"/>
      <c r="K709" s="33"/>
    </row>
    <row r="710">
      <c r="A710" s="15">
        <v>2014.0</v>
      </c>
      <c r="B710" s="16">
        <v>9.0</v>
      </c>
      <c r="C710" s="16">
        <v>1.0</v>
      </c>
      <c r="D710" s="16">
        <v>2.0</v>
      </c>
      <c r="E710" s="17" t="s">
        <v>16</v>
      </c>
      <c r="F710" s="17" t="s">
        <v>38</v>
      </c>
      <c r="G710" s="16">
        <v>8.67</v>
      </c>
      <c r="H710" s="16">
        <v>3.13</v>
      </c>
      <c r="I710" s="19">
        <v>11.8</v>
      </c>
      <c r="J710" s="33"/>
      <c r="K710" s="33"/>
    </row>
    <row r="711">
      <c r="A711" s="20">
        <v>2014.0</v>
      </c>
      <c r="B711" s="21">
        <v>9.0</v>
      </c>
      <c r="C711" s="21">
        <v>1.0</v>
      </c>
      <c r="D711" s="21">
        <v>2.0</v>
      </c>
      <c r="E711" s="22" t="s">
        <v>16</v>
      </c>
      <c r="F711" s="22" t="s">
        <v>91</v>
      </c>
      <c r="G711" s="21">
        <v>5.43</v>
      </c>
      <c r="H711" s="21">
        <v>4.5</v>
      </c>
      <c r="I711" s="23">
        <v>9.93</v>
      </c>
      <c r="J711" s="33"/>
      <c r="K711" s="33"/>
    </row>
    <row r="712">
      <c r="A712" s="15">
        <v>2014.0</v>
      </c>
      <c r="B712" s="16">
        <v>9.0</v>
      </c>
      <c r="C712" s="16">
        <v>1.0</v>
      </c>
      <c r="D712" s="16">
        <v>3.0</v>
      </c>
      <c r="E712" s="17" t="s">
        <v>16</v>
      </c>
      <c r="F712" s="17" t="s">
        <v>41</v>
      </c>
      <c r="G712" s="16">
        <v>7.67</v>
      </c>
      <c r="H712" s="16">
        <v>5.33</v>
      </c>
      <c r="I712" s="19">
        <v>13.0</v>
      </c>
      <c r="J712" s="33"/>
      <c r="K712" s="33"/>
    </row>
    <row r="713">
      <c r="A713" s="20">
        <v>2014.0</v>
      </c>
      <c r="B713" s="21">
        <v>9.0</v>
      </c>
      <c r="C713" s="21">
        <v>1.0</v>
      </c>
      <c r="D713" s="21">
        <v>3.0</v>
      </c>
      <c r="E713" s="22" t="s">
        <v>16</v>
      </c>
      <c r="F713" s="22" t="s">
        <v>33</v>
      </c>
      <c r="G713" s="21">
        <v>6.77</v>
      </c>
      <c r="H713" s="21">
        <v>6.17</v>
      </c>
      <c r="I713" s="23">
        <v>12.94</v>
      </c>
      <c r="J713" s="33"/>
      <c r="K713" s="33"/>
    </row>
    <row r="714">
      <c r="A714" s="15">
        <v>2014.0</v>
      </c>
      <c r="B714" s="16">
        <v>9.0</v>
      </c>
      <c r="C714" s="16">
        <v>1.0</v>
      </c>
      <c r="D714" s="16">
        <v>3.0</v>
      </c>
      <c r="E714" s="17" t="s">
        <v>16</v>
      </c>
      <c r="F714" s="17" t="s">
        <v>50</v>
      </c>
      <c r="G714" s="16">
        <v>8.4</v>
      </c>
      <c r="H714" s="16">
        <v>8.33</v>
      </c>
      <c r="I714" s="19">
        <v>16.73</v>
      </c>
      <c r="J714" s="33"/>
      <c r="K714" s="33"/>
    </row>
    <row r="715">
      <c r="A715" s="20">
        <v>2014.0</v>
      </c>
      <c r="B715" s="21">
        <v>9.0</v>
      </c>
      <c r="C715" s="21">
        <v>1.0</v>
      </c>
      <c r="D715" s="21">
        <v>4.0</v>
      </c>
      <c r="E715" s="22" t="s">
        <v>16</v>
      </c>
      <c r="F715" s="22" t="s">
        <v>39</v>
      </c>
      <c r="G715" s="21">
        <v>8.83</v>
      </c>
      <c r="H715" s="21">
        <v>6.67</v>
      </c>
      <c r="I715" s="23">
        <v>15.5</v>
      </c>
      <c r="J715" s="33"/>
      <c r="K715" s="33"/>
    </row>
    <row r="716">
      <c r="A716" s="15">
        <v>2014.0</v>
      </c>
      <c r="B716" s="16">
        <v>9.0</v>
      </c>
      <c r="C716" s="16">
        <v>1.0</v>
      </c>
      <c r="D716" s="16">
        <v>4.0</v>
      </c>
      <c r="E716" s="17" t="s">
        <v>16</v>
      </c>
      <c r="F716" s="17" t="s">
        <v>60</v>
      </c>
      <c r="G716" s="16">
        <v>5.17</v>
      </c>
      <c r="H716" s="16">
        <v>0.0</v>
      </c>
      <c r="I716" s="19">
        <v>5.17</v>
      </c>
      <c r="J716" s="33"/>
      <c r="K716" s="33"/>
    </row>
    <row r="717">
      <c r="A717" s="20">
        <v>2014.0</v>
      </c>
      <c r="B717" s="21">
        <v>9.0</v>
      </c>
      <c r="C717" s="21">
        <v>1.0</v>
      </c>
      <c r="D717" s="21">
        <v>4.0</v>
      </c>
      <c r="E717" s="22" t="s">
        <v>16</v>
      </c>
      <c r="F717" s="22" t="s">
        <v>131</v>
      </c>
      <c r="G717" s="21">
        <v>6.83</v>
      </c>
      <c r="H717" s="21">
        <v>4.0</v>
      </c>
      <c r="I717" s="23">
        <v>10.83</v>
      </c>
      <c r="J717" s="33"/>
      <c r="K717" s="33"/>
    </row>
    <row r="718">
      <c r="A718" s="15">
        <v>2014.0</v>
      </c>
      <c r="B718" s="16">
        <v>9.0</v>
      </c>
      <c r="C718" s="16">
        <v>1.0</v>
      </c>
      <c r="D718" s="16">
        <v>5.0</v>
      </c>
      <c r="E718" s="17" t="s">
        <v>16</v>
      </c>
      <c r="F718" s="17" t="s">
        <v>37</v>
      </c>
      <c r="G718" s="16">
        <v>9.0</v>
      </c>
      <c r="H718" s="16">
        <v>5.5</v>
      </c>
      <c r="I718" s="19">
        <v>14.5</v>
      </c>
      <c r="J718" s="33"/>
      <c r="K718" s="33"/>
    </row>
    <row r="719">
      <c r="A719" s="20">
        <v>2014.0</v>
      </c>
      <c r="B719" s="21">
        <v>9.0</v>
      </c>
      <c r="C719" s="21">
        <v>1.0</v>
      </c>
      <c r="D719" s="21">
        <v>5.0</v>
      </c>
      <c r="E719" s="22" t="s">
        <v>16</v>
      </c>
      <c r="F719" s="22" t="s">
        <v>34</v>
      </c>
      <c r="G719" s="21">
        <v>8.0</v>
      </c>
      <c r="H719" s="21">
        <v>6.67</v>
      </c>
      <c r="I719" s="23">
        <v>14.67</v>
      </c>
      <c r="J719" s="33"/>
      <c r="K719" s="33"/>
    </row>
    <row r="720">
      <c r="A720" s="15">
        <v>2014.0</v>
      </c>
      <c r="B720" s="16">
        <v>9.0</v>
      </c>
      <c r="C720" s="16">
        <v>1.0</v>
      </c>
      <c r="D720" s="16">
        <v>5.0</v>
      </c>
      <c r="E720" s="17" t="s">
        <v>16</v>
      </c>
      <c r="F720" s="17" t="s">
        <v>44</v>
      </c>
      <c r="G720" s="16">
        <v>7.0</v>
      </c>
      <c r="H720" s="16">
        <v>4.5</v>
      </c>
      <c r="I720" s="19">
        <v>11.5</v>
      </c>
      <c r="J720" s="33"/>
      <c r="K720" s="33"/>
    </row>
    <row r="721">
      <c r="A721" s="20">
        <v>2014.0</v>
      </c>
      <c r="B721" s="21">
        <v>9.0</v>
      </c>
      <c r="C721" s="21">
        <v>1.0</v>
      </c>
      <c r="D721" s="21">
        <v>6.0</v>
      </c>
      <c r="E721" s="22" t="s">
        <v>16</v>
      </c>
      <c r="F721" s="22" t="s">
        <v>30</v>
      </c>
      <c r="G721" s="21">
        <v>7.77</v>
      </c>
      <c r="H721" s="21">
        <v>7.4</v>
      </c>
      <c r="I721" s="23">
        <v>15.17</v>
      </c>
      <c r="J721" s="33"/>
      <c r="K721" s="33"/>
    </row>
    <row r="722">
      <c r="A722" s="15">
        <v>2014.0</v>
      </c>
      <c r="B722" s="16">
        <v>9.0</v>
      </c>
      <c r="C722" s="16">
        <v>1.0</v>
      </c>
      <c r="D722" s="16">
        <v>6.0</v>
      </c>
      <c r="E722" s="17" t="s">
        <v>16</v>
      </c>
      <c r="F722" s="17" t="s">
        <v>120</v>
      </c>
      <c r="G722" s="16">
        <v>7.0</v>
      </c>
      <c r="H722" s="16">
        <v>6.43</v>
      </c>
      <c r="I722" s="19">
        <v>13.43</v>
      </c>
      <c r="J722" s="33"/>
      <c r="K722" s="33"/>
    </row>
    <row r="723">
      <c r="A723" s="20">
        <v>2014.0</v>
      </c>
      <c r="B723" s="21">
        <v>9.0</v>
      </c>
      <c r="C723" s="21">
        <v>1.0</v>
      </c>
      <c r="D723" s="21">
        <v>6.0</v>
      </c>
      <c r="E723" s="22" t="s">
        <v>16</v>
      </c>
      <c r="F723" s="22" t="s">
        <v>100</v>
      </c>
      <c r="G723" s="21">
        <v>7.93</v>
      </c>
      <c r="H723" s="21">
        <v>6.63</v>
      </c>
      <c r="I723" s="23">
        <v>14.56</v>
      </c>
      <c r="J723" s="33"/>
      <c r="K723" s="33"/>
    </row>
    <row r="724">
      <c r="A724" s="15">
        <v>2014.0</v>
      </c>
      <c r="B724" s="16">
        <v>9.0</v>
      </c>
      <c r="C724" s="16">
        <v>1.0</v>
      </c>
      <c r="D724" s="16">
        <v>7.0</v>
      </c>
      <c r="E724" s="17" t="s">
        <v>16</v>
      </c>
      <c r="F724" s="17" t="s">
        <v>42</v>
      </c>
      <c r="G724" s="16">
        <v>9.03</v>
      </c>
      <c r="H724" s="16">
        <v>6.87</v>
      </c>
      <c r="I724" s="19">
        <v>15.9</v>
      </c>
      <c r="J724" s="33"/>
      <c r="K724" s="33"/>
    </row>
    <row r="725">
      <c r="A725" s="20">
        <v>2014.0</v>
      </c>
      <c r="B725" s="21">
        <v>9.0</v>
      </c>
      <c r="C725" s="21">
        <v>1.0</v>
      </c>
      <c r="D725" s="21">
        <v>7.0</v>
      </c>
      <c r="E725" s="22" t="s">
        <v>16</v>
      </c>
      <c r="F725" s="22" t="s">
        <v>125</v>
      </c>
      <c r="G725" s="21">
        <v>7.33</v>
      </c>
      <c r="H725" s="21">
        <v>6.43</v>
      </c>
      <c r="I725" s="23">
        <v>13.76</v>
      </c>
      <c r="J725" s="33"/>
      <c r="K725" s="33"/>
    </row>
    <row r="726">
      <c r="A726" s="15">
        <v>2014.0</v>
      </c>
      <c r="B726" s="16">
        <v>9.0</v>
      </c>
      <c r="C726" s="16">
        <v>1.0</v>
      </c>
      <c r="D726" s="16">
        <v>7.0</v>
      </c>
      <c r="E726" s="17" t="s">
        <v>16</v>
      </c>
      <c r="F726" s="17" t="s">
        <v>107</v>
      </c>
      <c r="G726" s="16">
        <v>4.43</v>
      </c>
      <c r="H726" s="16">
        <v>4.0</v>
      </c>
      <c r="I726" s="19">
        <v>8.43</v>
      </c>
      <c r="J726" s="33"/>
      <c r="K726" s="33"/>
    </row>
    <row r="727">
      <c r="A727" s="20">
        <v>2014.0</v>
      </c>
      <c r="B727" s="21">
        <v>9.0</v>
      </c>
      <c r="C727" s="21">
        <v>1.0</v>
      </c>
      <c r="D727" s="21">
        <v>8.0</v>
      </c>
      <c r="E727" s="22" t="s">
        <v>16</v>
      </c>
      <c r="F727" s="22" t="s">
        <v>26</v>
      </c>
      <c r="G727" s="21">
        <v>8.83</v>
      </c>
      <c r="H727" s="21">
        <v>3.9</v>
      </c>
      <c r="I727" s="23">
        <v>12.73</v>
      </c>
      <c r="J727" s="33"/>
      <c r="K727" s="33"/>
    </row>
    <row r="728">
      <c r="A728" s="15">
        <v>2014.0</v>
      </c>
      <c r="B728" s="16">
        <v>9.0</v>
      </c>
      <c r="C728" s="16">
        <v>1.0</v>
      </c>
      <c r="D728" s="16">
        <v>8.0</v>
      </c>
      <c r="E728" s="17" t="s">
        <v>16</v>
      </c>
      <c r="F728" s="17" t="s">
        <v>31</v>
      </c>
      <c r="G728" s="16">
        <v>8.5</v>
      </c>
      <c r="H728" s="16">
        <v>8.27</v>
      </c>
      <c r="I728" s="19">
        <v>16.77</v>
      </c>
      <c r="J728" s="33"/>
      <c r="K728" s="33"/>
    </row>
    <row r="729">
      <c r="A729" s="20">
        <v>2014.0</v>
      </c>
      <c r="B729" s="21">
        <v>9.0</v>
      </c>
      <c r="C729" s="21">
        <v>1.0</v>
      </c>
      <c r="D729" s="21">
        <v>8.0</v>
      </c>
      <c r="E729" s="22" t="s">
        <v>16</v>
      </c>
      <c r="F729" s="22" t="s">
        <v>35</v>
      </c>
      <c r="G729" s="21">
        <v>7.93</v>
      </c>
      <c r="H729" s="21">
        <v>6.07</v>
      </c>
      <c r="I729" s="23">
        <v>14.0</v>
      </c>
      <c r="J729" s="33"/>
      <c r="K729" s="33"/>
    </row>
    <row r="730">
      <c r="A730" s="15">
        <v>2014.0</v>
      </c>
      <c r="B730" s="16">
        <v>9.0</v>
      </c>
      <c r="C730" s="16">
        <v>1.0</v>
      </c>
      <c r="D730" s="16">
        <v>9.0</v>
      </c>
      <c r="E730" s="17" t="s">
        <v>16</v>
      </c>
      <c r="F730" s="17" t="s">
        <v>32</v>
      </c>
      <c r="G730" s="16">
        <v>7.7</v>
      </c>
      <c r="H730" s="16">
        <v>6.33</v>
      </c>
      <c r="I730" s="19">
        <v>14.03</v>
      </c>
      <c r="J730" s="33"/>
      <c r="K730" s="33"/>
    </row>
    <row r="731">
      <c r="A731" s="20">
        <v>2014.0</v>
      </c>
      <c r="B731" s="21">
        <v>9.0</v>
      </c>
      <c r="C731" s="21">
        <v>1.0</v>
      </c>
      <c r="D731" s="21">
        <v>9.0</v>
      </c>
      <c r="E731" s="22" t="s">
        <v>16</v>
      </c>
      <c r="F731" s="22" t="s">
        <v>55</v>
      </c>
      <c r="G731" s="21">
        <v>7.83</v>
      </c>
      <c r="H731" s="21">
        <v>7.33</v>
      </c>
      <c r="I731" s="23">
        <v>15.16</v>
      </c>
      <c r="J731" s="33"/>
      <c r="K731" s="33"/>
    </row>
    <row r="732">
      <c r="A732" s="15">
        <v>2014.0</v>
      </c>
      <c r="B732" s="16">
        <v>9.0</v>
      </c>
      <c r="C732" s="16">
        <v>1.0</v>
      </c>
      <c r="D732" s="16">
        <v>9.0</v>
      </c>
      <c r="E732" s="17" t="s">
        <v>16</v>
      </c>
      <c r="F732" s="17" t="s">
        <v>126</v>
      </c>
      <c r="G732" s="16">
        <v>6.67</v>
      </c>
      <c r="H732" s="16">
        <v>4.23</v>
      </c>
      <c r="I732" s="19">
        <v>10.9</v>
      </c>
      <c r="J732" s="33"/>
      <c r="K732" s="33"/>
    </row>
    <row r="733">
      <c r="A733" s="20">
        <v>2014.0</v>
      </c>
      <c r="B733" s="21">
        <v>9.0</v>
      </c>
      <c r="C733" s="21">
        <v>1.0</v>
      </c>
      <c r="D733" s="21">
        <v>10.0</v>
      </c>
      <c r="E733" s="22" t="s">
        <v>16</v>
      </c>
      <c r="F733" s="22" t="s">
        <v>56</v>
      </c>
      <c r="G733" s="21">
        <v>7.13</v>
      </c>
      <c r="H733" s="21">
        <v>4.93</v>
      </c>
      <c r="I733" s="23">
        <v>12.06</v>
      </c>
      <c r="J733" s="33"/>
      <c r="K733" s="33"/>
    </row>
    <row r="734">
      <c r="A734" s="15">
        <v>2014.0</v>
      </c>
      <c r="B734" s="16">
        <v>9.0</v>
      </c>
      <c r="C734" s="16">
        <v>1.0</v>
      </c>
      <c r="D734" s="16">
        <v>10.0</v>
      </c>
      <c r="E734" s="17" t="s">
        <v>16</v>
      </c>
      <c r="F734" s="17" t="s">
        <v>47</v>
      </c>
      <c r="G734" s="16">
        <v>7.33</v>
      </c>
      <c r="H734" s="16">
        <v>7.27</v>
      </c>
      <c r="I734" s="19">
        <v>14.6</v>
      </c>
      <c r="J734" s="33"/>
      <c r="K734" s="33"/>
    </row>
    <row r="735">
      <c r="A735" s="20">
        <v>2014.0</v>
      </c>
      <c r="B735" s="21">
        <v>9.0</v>
      </c>
      <c r="C735" s="21">
        <v>1.0</v>
      </c>
      <c r="D735" s="21">
        <v>10.0</v>
      </c>
      <c r="E735" s="22" t="s">
        <v>16</v>
      </c>
      <c r="F735" s="22" t="s">
        <v>76</v>
      </c>
      <c r="G735" s="21">
        <v>8.17</v>
      </c>
      <c r="H735" s="21">
        <v>5.67</v>
      </c>
      <c r="I735" s="23">
        <v>13.84</v>
      </c>
      <c r="J735" s="33"/>
      <c r="K735" s="33"/>
    </row>
    <row r="736">
      <c r="A736" s="15">
        <v>2014.0</v>
      </c>
      <c r="B736" s="16">
        <v>9.0</v>
      </c>
      <c r="C736" s="16">
        <v>1.0</v>
      </c>
      <c r="D736" s="16">
        <v>11.0</v>
      </c>
      <c r="E736" s="17" t="s">
        <v>16</v>
      </c>
      <c r="F736" s="17" t="s">
        <v>28</v>
      </c>
      <c r="G736" s="16">
        <v>7.33</v>
      </c>
      <c r="H736" s="16">
        <v>5.1</v>
      </c>
      <c r="I736" s="19">
        <v>12.43</v>
      </c>
      <c r="J736" s="33"/>
      <c r="K736" s="33"/>
    </row>
    <row r="737">
      <c r="A737" s="20">
        <v>2014.0</v>
      </c>
      <c r="B737" s="21">
        <v>9.0</v>
      </c>
      <c r="C737" s="21">
        <v>1.0</v>
      </c>
      <c r="D737" s="21">
        <v>11.0</v>
      </c>
      <c r="E737" s="22" t="s">
        <v>16</v>
      </c>
      <c r="F737" s="22" t="s">
        <v>59</v>
      </c>
      <c r="G737" s="21">
        <v>6.83</v>
      </c>
      <c r="H737" s="21">
        <v>5.17</v>
      </c>
      <c r="I737" s="23">
        <v>12.0</v>
      </c>
      <c r="J737" s="33"/>
      <c r="K737" s="33"/>
    </row>
    <row r="738">
      <c r="A738" s="15">
        <v>2014.0</v>
      </c>
      <c r="B738" s="16">
        <v>9.0</v>
      </c>
      <c r="C738" s="16">
        <v>1.0</v>
      </c>
      <c r="D738" s="16">
        <v>11.0</v>
      </c>
      <c r="E738" s="17" t="s">
        <v>16</v>
      </c>
      <c r="F738" s="17" t="s">
        <v>124</v>
      </c>
      <c r="G738" s="16">
        <v>7.77</v>
      </c>
      <c r="H738" s="16">
        <v>3.37</v>
      </c>
      <c r="I738" s="19">
        <v>11.14</v>
      </c>
      <c r="J738" s="33"/>
      <c r="K738" s="33"/>
    </row>
    <row r="739">
      <c r="A739" s="20">
        <v>2014.0</v>
      </c>
      <c r="B739" s="21">
        <v>9.0</v>
      </c>
      <c r="C739" s="21">
        <v>1.0</v>
      </c>
      <c r="D739" s="21">
        <v>12.0</v>
      </c>
      <c r="E739" s="22" t="s">
        <v>16</v>
      </c>
      <c r="F739" s="22" t="s">
        <v>57</v>
      </c>
      <c r="G739" s="21">
        <v>7.0</v>
      </c>
      <c r="H739" s="21">
        <v>3.43</v>
      </c>
      <c r="I739" s="23">
        <v>10.43</v>
      </c>
      <c r="J739" s="33"/>
      <c r="K739" s="33"/>
    </row>
    <row r="740">
      <c r="A740" s="15">
        <v>2014.0</v>
      </c>
      <c r="B740" s="16">
        <v>9.0</v>
      </c>
      <c r="C740" s="16">
        <v>1.0</v>
      </c>
      <c r="D740" s="16">
        <v>12.0</v>
      </c>
      <c r="E740" s="17" t="s">
        <v>16</v>
      </c>
      <c r="F740" s="17" t="s">
        <v>45</v>
      </c>
      <c r="G740" s="16">
        <v>7.9</v>
      </c>
      <c r="H740" s="16">
        <v>7.33</v>
      </c>
      <c r="I740" s="19">
        <v>15.23</v>
      </c>
      <c r="J740" s="33"/>
      <c r="K740" s="33"/>
    </row>
    <row r="741">
      <c r="A741" s="20">
        <v>2014.0</v>
      </c>
      <c r="B741" s="21">
        <v>9.0</v>
      </c>
      <c r="C741" s="21">
        <v>1.0</v>
      </c>
      <c r="D741" s="21">
        <v>12.0</v>
      </c>
      <c r="E741" s="22" t="s">
        <v>16</v>
      </c>
      <c r="F741" s="22" t="s">
        <v>29</v>
      </c>
      <c r="G741" s="21">
        <v>6.0</v>
      </c>
      <c r="H741" s="21">
        <v>6.0</v>
      </c>
      <c r="I741" s="23">
        <v>12.0</v>
      </c>
      <c r="J741" s="33"/>
      <c r="K741" s="33"/>
    </row>
    <row r="742">
      <c r="A742" s="15">
        <v>2014.0</v>
      </c>
      <c r="B742" s="16">
        <v>9.0</v>
      </c>
      <c r="C742" s="16">
        <v>2.0</v>
      </c>
      <c r="D742" s="16">
        <v>1.0</v>
      </c>
      <c r="E742" s="17" t="s">
        <v>16</v>
      </c>
      <c r="F742" s="17" t="s">
        <v>37</v>
      </c>
      <c r="G742" s="16">
        <v>8.27</v>
      </c>
      <c r="H742" s="16">
        <v>8.0</v>
      </c>
      <c r="I742" s="19">
        <v>16.27</v>
      </c>
      <c r="J742" s="33"/>
      <c r="K742" s="33"/>
    </row>
    <row r="743">
      <c r="A743" s="20">
        <v>2014.0</v>
      </c>
      <c r="B743" s="21">
        <v>9.0</v>
      </c>
      <c r="C743" s="21">
        <v>2.0</v>
      </c>
      <c r="D743" s="21">
        <v>1.0</v>
      </c>
      <c r="E743" s="22" t="s">
        <v>16</v>
      </c>
      <c r="F743" s="22" t="s">
        <v>100</v>
      </c>
      <c r="G743" s="21">
        <v>6.67</v>
      </c>
      <c r="H743" s="21">
        <v>5.17</v>
      </c>
      <c r="I743" s="23">
        <v>11.84</v>
      </c>
      <c r="J743" s="33"/>
      <c r="K743" s="33"/>
    </row>
    <row r="744">
      <c r="A744" s="15">
        <v>2014.0</v>
      </c>
      <c r="B744" s="16">
        <v>9.0</v>
      </c>
      <c r="C744" s="16">
        <v>2.0</v>
      </c>
      <c r="D744" s="16">
        <v>2.0</v>
      </c>
      <c r="E744" s="17" t="s">
        <v>16</v>
      </c>
      <c r="F744" s="17" t="s">
        <v>41</v>
      </c>
      <c r="G744" s="16">
        <v>9.2</v>
      </c>
      <c r="H744" s="16">
        <v>7.5</v>
      </c>
      <c r="I744" s="19">
        <v>16.7</v>
      </c>
      <c r="J744" s="33"/>
      <c r="K744" s="33"/>
    </row>
    <row r="745">
      <c r="A745" s="20">
        <v>2014.0</v>
      </c>
      <c r="B745" s="21">
        <v>9.0</v>
      </c>
      <c r="C745" s="21">
        <v>2.0</v>
      </c>
      <c r="D745" s="21">
        <v>2.0</v>
      </c>
      <c r="E745" s="22" t="s">
        <v>16</v>
      </c>
      <c r="F745" s="22" t="s">
        <v>44</v>
      </c>
      <c r="G745" s="21">
        <v>5.93</v>
      </c>
      <c r="H745" s="21">
        <v>3.5</v>
      </c>
      <c r="I745" s="23">
        <v>9.43</v>
      </c>
      <c r="J745" s="33"/>
      <c r="K745" s="33"/>
    </row>
    <row r="746">
      <c r="A746" s="15">
        <v>2014.0</v>
      </c>
      <c r="B746" s="16">
        <v>9.0</v>
      </c>
      <c r="C746" s="16">
        <v>2.0</v>
      </c>
      <c r="D746" s="16">
        <v>3.0</v>
      </c>
      <c r="E746" s="17" t="s">
        <v>16</v>
      </c>
      <c r="F746" s="17" t="s">
        <v>26</v>
      </c>
      <c r="G746" s="16">
        <v>8.33</v>
      </c>
      <c r="H746" s="16">
        <v>7.5</v>
      </c>
      <c r="I746" s="19">
        <v>15.83</v>
      </c>
      <c r="J746" s="33"/>
      <c r="K746" s="33"/>
    </row>
    <row r="747">
      <c r="A747" s="20">
        <v>2014.0</v>
      </c>
      <c r="B747" s="21">
        <v>9.0</v>
      </c>
      <c r="C747" s="21">
        <v>2.0</v>
      </c>
      <c r="D747" s="21">
        <v>3.0</v>
      </c>
      <c r="E747" s="22" t="s">
        <v>16</v>
      </c>
      <c r="F747" s="22" t="s">
        <v>131</v>
      </c>
      <c r="G747" s="21">
        <v>7.97</v>
      </c>
      <c r="H747" s="21">
        <v>6.0</v>
      </c>
      <c r="I747" s="23">
        <v>13.97</v>
      </c>
      <c r="J747" s="33"/>
      <c r="K747" s="33"/>
    </row>
    <row r="748">
      <c r="A748" s="15">
        <v>2014.0</v>
      </c>
      <c r="B748" s="16">
        <v>9.0</v>
      </c>
      <c r="C748" s="16">
        <v>2.0</v>
      </c>
      <c r="D748" s="16">
        <v>4.0</v>
      </c>
      <c r="E748" s="17" t="s">
        <v>16</v>
      </c>
      <c r="F748" s="17" t="s">
        <v>32</v>
      </c>
      <c r="G748" s="16">
        <v>7.33</v>
      </c>
      <c r="H748" s="16">
        <v>6.77</v>
      </c>
      <c r="I748" s="19">
        <v>14.1</v>
      </c>
      <c r="J748" s="33"/>
      <c r="K748" s="33"/>
    </row>
    <row r="749">
      <c r="A749" s="20">
        <v>2014.0</v>
      </c>
      <c r="B749" s="21">
        <v>9.0</v>
      </c>
      <c r="C749" s="21">
        <v>2.0</v>
      </c>
      <c r="D749" s="21">
        <v>4.0</v>
      </c>
      <c r="E749" s="22" t="s">
        <v>16</v>
      </c>
      <c r="F749" s="22" t="s">
        <v>91</v>
      </c>
      <c r="G749" s="21">
        <v>5.67</v>
      </c>
      <c r="H749" s="21">
        <v>4.3</v>
      </c>
      <c r="I749" s="23">
        <v>9.97</v>
      </c>
      <c r="J749" s="33"/>
      <c r="K749" s="33"/>
    </row>
    <row r="750">
      <c r="A750" s="15">
        <v>2014.0</v>
      </c>
      <c r="B750" s="16">
        <v>9.0</v>
      </c>
      <c r="C750" s="16">
        <v>2.0</v>
      </c>
      <c r="D750" s="16">
        <v>5.0</v>
      </c>
      <c r="E750" s="17" t="s">
        <v>16</v>
      </c>
      <c r="F750" s="17" t="s">
        <v>56</v>
      </c>
      <c r="G750" s="16">
        <v>6.33</v>
      </c>
      <c r="H750" s="16">
        <v>5.67</v>
      </c>
      <c r="I750" s="19">
        <v>12.0</v>
      </c>
      <c r="J750" s="33"/>
      <c r="K750" s="33"/>
    </row>
    <row r="751">
      <c r="A751" s="20">
        <v>2014.0</v>
      </c>
      <c r="B751" s="21">
        <v>9.0</v>
      </c>
      <c r="C751" s="21">
        <v>2.0</v>
      </c>
      <c r="D751" s="21">
        <v>5.0</v>
      </c>
      <c r="E751" s="22" t="s">
        <v>16</v>
      </c>
      <c r="F751" s="22" t="s">
        <v>122</v>
      </c>
      <c r="G751" s="21">
        <v>8.57</v>
      </c>
      <c r="H751" s="21">
        <v>7.17</v>
      </c>
      <c r="I751" s="23">
        <v>15.74</v>
      </c>
      <c r="J751" s="33"/>
      <c r="K751" s="33"/>
    </row>
    <row r="752">
      <c r="A752" s="15">
        <v>2014.0</v>
      </c>
      <c r="B752" s="16">
        <v>9.0</v>
      </c>
      <c r="C752" s="16">
        <v>2.0</v>
      </c>
      <c r="D752" s="16">
        <v>6.0</v>
      </c>
      <c r="E752" s="17" t="s">
        <v>16</v>
      </c>
      <c r="F752" s="17" t="s">
        <v>57</v>
      </c>
      <c r="G752" s="16">
        <v>7.9</v>
      </c>
      <c r="H752" s="16">
        <v>7.17</v>
      </c>
      <c r="I752" s="19">
        <v>15.07</v>
      </c>
      <c r="J752" s="33"/>
      <c r="K752" s="33"/>
    </row>
    <row r="753">
      <c r="A753" s="20">
        <v>2014.0</v>
      </c>
      <c r="B753" s="21">
        <v>9.0</v>
      </c>
      <c r="C753" s="21">
        <v>2.0</v>
      </c>
      <c r="D753" s="21">
        <v>6.0</v>
      </c>
      <c r="E753" s="22" t="s">
        <v>16</v>
      </c>
      <c r="F753" s="22" t="s">
        <v>107</v>
      </c>
      <c r="G753" s="21">
        <v>4.67</v>
      </c>
      <c r="H753" s="21">
        <v>4.53</v>
      </c>
      <c r="I753" s="23">
        <v>9.2</v>
      </c>
      <c r="J753" s="33"/>
      <c r="K753" s="33"/>
    </row>
    <row r="754">
      <c r="A754" s="15">
        <v>2014.0</v>
      </c>
      <c r="B754" s="16">
        <v>9.0</v>
      </c>
      <c r="C754" s="16">
        <v>2.0</v>
      </c>
      <c r="D754" s="16">
        <v>7.0</v>
      </c>
      <c r="E754" s="17" t="s">
        <v>16</v>
      </c>
      <c r="F754" s="17" t="s">
        <v>59</v>
      </c>
      <c r="G754" s="16">
        <v>8.13</v>
      </c>
      <c r="H754" s="16">
        <v>7.77</v>
      </c>
      <c r="I754" s="19">
        <v>15.9</v>
      </c>
      <c r="J754" s="33"/>
      <c r="K754" s="33"/>
    </row>
    <row r="755">
      <c r="A755" s="20">
        <v>2014.0</v>
      </c>
      <c r="B755" s="21">
        <v>9.0</v>
      </c>
      <c r="C755" s="21">
        <v>2.0</v>
      </c>
      <c r="D755" s="21">
        <v>7.0</v>
      </c>
      <c r="E755" s="22" t="s">
        <v>16</v>
      </c>
      <c r="F755" s="22" t="s">
        <v>35</v>
      </c>
      <c r="G755" s="21">
        <v>8.2</v>
      </c>
      <c r="H755" s="21">
        <v>7.93</v>
      </c>
      <c r="I755" s="23">
        <v>16.13</v>
      </c>
      <c r="J755" s="33"/>
      <c r="K755" s="33"/>
    </row>
    <row r="756">
      <c r="A756" s="15">
        <v>2014.0</v>
      </c>
      <c r="B756" s="16">
        <v>9.0</v>
      </c>
      <c r="C756" s="16">
        <v>2.0</v>
      </c>
      <c r="D756" s="16">
        <v>8.0</v>
      </c>
      <c r="E756" s="17" t="s">
        <v>16</v>
      </c>
      <c r="F756" s="17" t="s">
        <v>125</v>
      </c>
      <c r="G756" s="16">
        <v>5.77</v>
      </c>
      <c r="H756" s="16">
        <v>5.0</v>
      </c>
      <c r="I756" s="19">
        <v>10.77</v>
      </c>
      <c r="J756" s="33"/>
      <c r="K756" s="33"/>
    </row>
    <row r="757">
      <c r="A757" s="20">
        <v>2014.0</v>
      </c>
      <c r="B757" s="21">
        <v>9.0</v>
      </c>
      <c r="C757" s="21">
        <v>2.0</v>
      </c>
      <c r="D757" s="21">
        <v>8.0</v>
      </c>
      <c r="E757" s="22" t="s">
        <v>16</v>
      </c>
      <c r="F757" s="22" t="s">
        <v>126</v>
      </c>
      <c r="G757" s="21">
        <v>7.93</v>
      </c>
      <c r="H757" s="21">
        <v>6.0</v>
      </c>
      <c r="I757" s="23">
        <v>13.93</v>
      </c>
      <c r="J757" s="33"/>
      <c r="K757" s="33"/>
    </row>
    <row r="758">
      <c r="A758" s="15">
        <v>2014.0</v>
      </c>
      <c r="B758" s="16">
        <v>9.0</v>
      </c>
      <c r="C758" s="16">
        <v>2.0</v>
      </c>
      <c r="D758" s="16">
        <v>9.0</v>
      </c>
      <c r="E758" s="17" t="s">
        <v>16</v>
      </c>
      <c r="F758" s="17" t="s">
        <v>123</v>
      </c>
      <c r="G758" s="16">
        <v>7.83</v>
      </c>
      <c r="H758" s="16">
        <v>6.2</v>
      </c>
      <c r="I758" s="19">
        <v>14.03</v>
      </c>
      <c r="J758" s="33"/>
      <c r="K758" s="33"/>
    </row>
    <row r="759">
      <c r="A759" s="20">
        <v>2014.0</v>
      </c>
      <c r="B759" s="21">
        <v>9.0</v>
      </c>
      <c r="C759" s="21">
        <v>2.0</v>
      </c>
      <c r="D759" s="21">
        <v>9.0</v>
      </c>
      <c r="E759" s="22" t="s">
        <v>16</v>
      </c>
      <c r="F759" s="22" t="s">
        <v>76</v>
      </c>
      <c r="G759" s="21">
        <v>7.0</v>
      </c>
      <c r="H759" s="21">
        <v>6.6</v>
      </c>
      <c r="I759" s="23">
        <v>13.6</v>
      </c>
      <c r="J759" s="33"/>
      <c r="K759" s="33"/>
    </row>
    <row r="760">
      <c r="A760" s="15">
        <v>2014.0</v>
      </c>
      <c r="B760" s="16">
        <v>9.0</v>
      </c>
      <c r="C760" s="16">
        <v>2.0</v>
      </c>
      <c r="D760" s="16">
        <v>10.0</v>
      </c>
      <c r="E760" s="17" t="s">
        <v>16</v>
      </c>
      <c r="F760" s="17" t="s">
        <v>38</v>
      </c>
      <c r="G760" s="16">
        <v>7.0</v>
      </c>
      <c r="H760" s="16">
        <v>5.6</v>
      </c>
      <c r="I760" s="19">
        <v>12.6</v>
      </c>
      <c r="J760" s="33"/>
      <c r="K760" s="33"/>
    </row>
    <row r="761">
      <c r="A761" s="20">
        <v>2014.0</v>
      </c>
      <c r="B761" s="21">
        <v>9.0</v>
      </c>
      <c r="C761" s="21">
        <v>2.0</v>
      </c>
      <c r="D761" s="21">
        <v>10.0</v>
      </c>
      <c r="E761" s="22" t="s">
        <v>16</v>
      </c>
      <c r="F761" s="22" t="s">
        <v>124</v>
      </c>
      <c r="G761" s="21">
        <v>5.83</v>
      </c>
      <c r="H761" s="21">
        <v>4.67</v>
      </c>
      <c r="I761" s="23">
        <v>10.5</v>
      </c>
      <c r="J761" s="33"/>
      <c r="K761" s="33"/>
    </row>
    <row r="762">
      <c r="A762" s="15">
        <v>2014.0</v>
      </c>
      <c r="B762" s="16">
        <v>9.0</v>
      </c>
      <c r="C762" s="16">
        <v>2.0</v>
      </c>
      <c r="D762" s="16">
        <v>11.0</v>
      </c>
      <c r="E762" s="17" t="s">
        <v>16</v>
      </c>
      <c r="F762" s="17" t="s">
        <v>33</v>
      </c>
      <c r="G762" s="16">
        <v>8.5</v>
      </c>
      <c r="H762" s="16">
        <v>7.5</v>
      </c>
      <c r="I762" s="19">
        <v>16.0</v>
      </c>
      <c r="J762" s="33"/>
      <c r="K762" s="33"/>
    </row>
    <row r="763">
      <c r="A763" s="20">
        <v>2014.0</v>
      </c>
      <c r="B763" s="21">
        <v>9.0</v>
      </c>
      <c r="C763" s="21">
        <v>2.0</v>
      </c>
      <c r="D763" s="21">
        <v>11.0</v>
      </c>
      <c r="E763" s="22" t="s">
        <v>16</v>
      </c>
      <c r="F763" s="22" t="s">
        <v>29</v>
      </c>
      <c r="G763" s="21">
        <v>8.1</v>
      </c>
      <c r="H763" s="21">
        <v>7.67</v>
      </c>
      <c r="I763" s="23">
        <v>15.77</v>
      </c>
      <c r="J763" s="33"/>
      <c r="K763" s="33"/>
    </row>
    <row r="764">
      <c r="A764" s="15">
        <v>2014.0</v>
      </c>
      <c r="B764" s="16">
        <v>9.0</v>
      </c>
      <c r="C764" s="16">
        <v>2.0</v>
      </c>
      <c r="D764" s="16">
        <v>12.0</v>
      </c>
      <c r="E764" s="17" t="s">
        <v>16</v>
      </c>
      <c r="F764" s="17" t="s">
        <v>60</v>
      </c>
      <c r="G764" s="16">
        <v>6.5</v>
      </c>
      <c r="H764" s="16">
        <v>6.5</v>
      </c>
      <c r="I764" s="19">
        <v>13.0</v>
      </c>
      <c r="J764" s="33"/>
      <c r="K764" s="33"/>
    </row>
    <row r="765">
      <c r="A765" s="20">
        <v>2014.0</v>
      </c>
      <c r="B765" s="21">
        <v>9.0</v>
      </c>
      <c r="C765" s="21">
        <v>2.0</v>
      </c>
      <c r="D765" s="21">
        <v>12.0</v>
      </c>
      <c r="E765" s="22" t="s">
        <v>16</v>
      </c>
      <c r="F765" s="22" t="s">
        <v>120</v>
      </c>
      <c r="G765" s="21">
        <v>5.6</v>
      </c>
      <c r="H765" s="21">
        <v>5.5</v>
      </c>
      <c r="I765" s="23">
        <v>11.1</v>
      </c>
      <c r="J765" s="33"/>
      <c r="K765" s="33"/>
    </row>
    <row r="766">
      <c r="A766" s="15">
        <v>2014.0</v>
      </c>
      <c r="B766" s="16">
        <v>9.0</v>
      </c>
      <c r="C766" s="16">
        <v>3.0</v>
      </c>
      <c r="D766" s="16">
        <v>1.0</v>
      </c>
      <c r="E766" s="17" t="s">
        <v>16</v>
      </c>
      <c r="F766" s="17" t="s">
        <v>41</v>
      </c>
      <c r="G766" s="16">
        <v>9.27</v>
      </c>
      <c r="H766" s="16">
        <v>8.0</v>
      </c>
      <c r="I766" s="19">
        <v>17.27</v>
      </c>
      <c r="J766" s="33"/>
      <c r="K766" s="33"/>
    </row>
    <row r="767">
      <c r="A767" s="20">
        <v>2014.0</v>
      </c>
      <c r="B767" s="21">
        <v>9.0</v>
      </c>
      <c r="C767" s="21">
        <v>3.0</v>
      </c>
      <c r="D767" s="21">
        <v>1.0</v>
      </c>
      <c r="E767" s="22" t="s">
        <v>16</v>
      </c>
      <c r="F767" s="22" t="s">
        <v>126</v>
      </c>
      <c r="G767" s="21">
        <v>8.6</v>
      </c>
      <c r="H767" s="21">
        <v>7.93</v>
      </c>
      <c r="I767" s="23">
        <v>16.53</v>
      </c>
      <c r="J767" s="33"/>
      <c r="K767" s="33"/>
    </row>
    <row r="768">
      <c r="A768" s="15">
        <v>2014.0</v>
      </c>
      <c r="B768" s="16">
        <v>9.0</v>
      </c>
      <c r="C768" s="16">
        <v>3.0</v>
      </c>
      <c r="D768" s="16">
        <v>2.0</v>
      </c>
      <c r="E768" s="17" t="s">
        <v>16</v>
      </c>
      <c r="F768" s="17" t="s">
        <v>32</v>
      </c>
      <c r="G768" s="16">
        <v>8.27</v>
      </c>
      <c r="H768" s="16">
        <v>7.4</v>
      </c>
      <c r="I768" s="19">
        <v>15.67</v>
      </c>
      <c r="J768" s="33"/>
      <c r="K768" s="33"/>
    </row>
    <row r="769">
      <c r="A769" s="20">
        <v>2014.0</v>
      </c>
      <c r="B769" s="21">
        <v>9.0</v>
      </c>
      <c r="C769" s="21">
        <v>3.0</v>
      </c>
      <c r="D769" s="21">
        <v>2.0</v>
      </c>
      <c r="E769" s="22" t="s">
        <v>16</v>
      </c>
      <c r="F769" s="22" t="s">
        <v>123</v>
      </c>
      <c r="G769" s="21">
        <v>6.83</v>
      </c>
      <c r="H769" s="21">
        <v>5.4</v>
      </c>
      <c r="I769" s="23">
        <v>12.23</v>
      </c>
      <c r="J769" s="33"/>
      <c r="K769" s="33"/>
    </row>
    <row r="770">
      <c r="A770" s="15">
        <v>2014.0</v>
      </c>
      <c r="B770" s="16">
        <v>9.0</v>
      </c>
      <c r="C770" s="16">
        <v>3.0</v>
      </c>
      <c r="D770" s="16">
        <v>3.0</v>
      </c>
      <c r="E770" s="17" t="s">
        <v>16</v>
      </c>
      <c r="F770" s="17" t="s">
        <v>27</v>
      </c>
      <c r="G770" s="16">
        <v>3.17</v>
      </c>
      <c r="H770" s="16">
        <v>2.43</v>
      </c>
      <c r="I770" s="19">
        <v>5.6</v>
      </c>
      <c r="J770" s="33"/>
      <c r="K770" s="33"/>
    </row>
    <row r="771">
      <c r="A771" s="20">
        <v>2014.0</v>
      </c>
      <c r="B771" s="21">
        <v>9.0</v>
      </c>
      <c r="C771" s="21">
        <v>3.0</v>
      </c>
      <c r="D771" s="21">
        <v>3.0</v>
      </c>
      <c r="E771" s="22" t="s">
        <v>16</v>
      </c>
      <c r="F771" s="22" t="s">
        <v>34</v>
      </c>
      <c r="G771" s="21">
        <v>5.67</v>
      </c>
      <c r="H771" s="21">
        <v>4.33</v>
      </c>
      <c r="I771" s="23">
        <v>10.0</v>
      </c>
      <c r="J771" s="33"/>
      <c r="K771" s="33"/>
    </row>
    <row r="772">
      <c r="A772" s="15">
        <v>2014.0</v>
      </c>
      <c r="B772" s="16">
        <v>9.0</v>
      </c>
      <c r="C772" s="16">
        <v>3.0</v>
      </c>
      <c r="D772" s="16">
        <v>4.0</v>
      </c>
      <c r="E772" s="17" t="s">
        <v>16</v>
      </c>
      <c r="F772" s="17" t="s">
        <v>26</v>
      </c>
      <c r="G772" s="16">
        <v>8.17</v>
      </c>
      <c r="H772" s="16">
        <v>7.0</v>
      </c>
      <c r="I772" s="19">
        <v>15.17</v>
      </c>
      <c r="J772" s="33"/>
      <c r="K772" s="33"/>
    </row>
    <row r="773">
      <c r="A773" s="20">
        <v>2014.0</v>
      </c>
      <c r="B773" s="21">
        <v>9.0</v>
      </c>
      <c r="C773" s="21">
        <v>3.0</v>
      </c>
      <c r="D773" s="21">
        <v>4.0</v>
      </c>
      <c r="E773" s="22" t="s">
        <v>16</v>
      </c>
      <c r="F773" s="22" t="s">
        <v>38</v>
      </c>
      <c r="G773" s="21">
        <v>7.0</v>
      </c>
      <c r="H773" s="21">
        <v>4.17</v>
      </c>
      <c r="I773" s="23">
        <v>11.17</v>
      </c>
      <c r="J773" s="33"/>
      <c r="K773" s="33"/>
    </row>
    <row r="774">
      <c r="A774" s="15">
        <v>2014.0</v>
      </c>
      <c r="B774" s="16">
        <v>9.0</v>
      </c>
      <c r="C774" s="16">
        <v>3.0</v>
      </c>
      <c r="D774" s="16">
        <v>5.0</v>
      </c>
      <c r="E774" s="17" t="s">
        <v>16</v>
      </c>
      <c r="F774" s="17" t="s">
        <v>45</v>
      </c>
      <c r="G774" s="16">
        <v>6.33</v>
      </c>
      <c r="H774" s="16">
        <v>4.57</v>
      </c>
      <c r="I774" s="19">
        <v>10.9</v>
      </c>
      <c r="J774" s="33"/>
      <c r="K774" s="33"/>
    </row>
    <row r="775">
      <c r="A775" s="20">
        <v>2014.0</v>
      </c>
      <c r="B775" s="21">
        <v>9.0</v>
      </c>
      <c r="C775" s="21">
        <v>3.0</v>
      </c>
      <c r="D775" s="21">
        <v>5.0</v>
      </c>
      <c r="E775" s="22" t="s">
        <v>16</v>
      </c>
      <c r="F775" s="22" t="s">
        <v>47</v>
      </c>
      <c r="G775" s="21">
        <v>6.17</v>
      </c>
      <c r="H775" s="21">
        <v>4.6</v>
      </c>
      <c r="I775" s="23">
        <v>10.77</v>
      </c>
      <c r="J775" s="33"/>
      <c r="K775" s="33"/>
    </row>
    <row r="776">
      <c r="A776" s="15">
        <v>2014.0</v>
      </c>
      <c r="B776" s="16">
        <v>9.0</v>
      </c>
      <c r="C776" s="16">
        <v>3.0</v>
      </c>
      <c r="D776" s="16">
        <v>6.0</v>
      </c>
      <c r="E776" s="17" t="s">
        <v>16</v>
      </c>
      <c r="F776" s="17" t="s">
        <v>30</v>
      </c>
      <c r="G776" s="16">
        <v>5.07</v>
      </c>
      <c r="H776" s="16">
        <v>4.33</v>
      </c>
      <c r="I776" s="19">
        <v>9.4</v>
      </c>
      <c r="J776" s="33"/>
      <c r="K776" s="33"/>
    </row>
    <row r="777">
      <c r="A777" s="20">
        <v>2014.0</v>
      </c>
      <c r="B777" s="21">
        <v>9.0</v>
      </c>
      <c r="C777" s="21">
        <v>3.0</v>
      </c>
      <c r="D777" s="21">
        <v>6.0</v>
      </c>
      <c r="E777" s="22" t="s">
        <v>16</v>
      </c>
      <c r="F777" s="22" t="s">
        <v>50</v>
      </c>
      <c r="G777" s="21">
        <v>4.0</v>
      </c>
      <c r="H777" s="21">
        <v>3.5</v>
      </c>
      <c r="I777" s="23">
        <v>7.5</v>
      </c>
      <c r="J777" s="33"/>
      <c r="K777" s="33"/>
    </row>
    <row r="778">
      <c r="A778" s="15">
        <v>2014.0</v>
      </c>
      <c r="B778" s="16">
        <v>9.0</v>
      </c>
      <c r="C778" s="16">
        <v>3.0</v>
      </c>
      <c r="D778" s="16">
        <v>7.0</v>
      </c>
      <c r="E778" s="17" t="s">
        <v>16</v>
      </c>
      <c r="F778" s="17" t="s">
        <v>37</v>
      </c>
      <c r="G778" s="16">
        <v>8.0</v>
      </c>
      <c r="H778" s="16">
        <v>5.27</v>
      </c>
      <c r="I778" s="19">
        <v>13.27</v>
      </c>
      <c r="J778" s="33"/>
      <c r="K778" s="33"/>
    </row>
    <row r="779">
      <c r="A779" s="20">
        <v>2014.0</v>
      </c>
      <c r="B779" s="21">
        <v>9.0</v>
      </c>
      <c r="C779" s="21">
        <v>3.0</v>
      </c>
      <c r="D779" s="21">
        <v>7.0</v>
      </c>
      <c r="E779" s="22" t="s">
        <v>16</v>
      </c>
      <c r="F779" s="22" t="s">
        <v>122</v>
      </c>
      <c r="G779" s="21">
        <v>6.5</v>
      </c>
      <c r="H779" s="21">
        <v>6.43</v>
      </c>
      <c r="I779" s="23">
        <v>12.93</v>
      </c>
      <c r="J779" s="33"/>
      <c r="K779" s="33"/>
    </row>
    <row r="780">
      <c r="A780" s="15">
        <v>2014.0</v>
      </c>
      <c r="B780" s="16">
        <v>9.0</v>
      </c>
      <c r="C780" s="16">
        <v>3.0</v>
      </c>
      <c r="D780" s="16">
        <v>8.0</v>
      </c>
      <c r="E780" s="17" t="s">
        <v>16</v>
      </c>
      <c r="F780" s="17" t="s">
        <v>57</v>
      </c>
      <c r="G780" s="16">
        <v>7.5</v>
      </c>
      <c r="H780" s="16">
        <v>6.83</v>
      </c>
      <c r="I780" s="19">
        <v>14.33</v>
      </c>
      <c r="J780" s="33"/>
      <c r="K780" s="33"/>
    </row>
    <row r="781">
      <c r="A781" s="20">
        <v>2014.0</v>
      </c>
      <c r="B781" s="21">
        <v>9.0</v>
      </c>
      <c r="C781" s="21">
        <v>3.0</v>
      </c>
      <c r="D781" s="21">
        <v>8.0</v>
      </c>
      <c r="E781" s="22" t="s">
        <v>16</v>
      </c>
      <c r="F781" s="22" t="s">
        <v>55</v>
      </c>
      <c r="G781" s="21">
        <v>8.0</v>
      </c>
      <c r="H781" s="21">
        <v>7.23</v>
      </c>
      <c r="I781" s="23">
        <v>15.23</v>
      </c>
      <c r="J781" s="33"/>
      <c r="K781" s="33"/>
    </row>
    <row r="782">
      <c r="A782" s="15">
        <v>2014.0</v>
      </c>
      <c r="B782" s="16">
        <v>9.0</v>
      </c>
      <c r="C782" s="16">
        <v>3.0</v>
      </c>
      <c r="D782" s="16">
        <v>9.0</v>
      </c>
      <c r="E782" s="17" t="s">
        <v>16</v>
      </c>
      <c r="F782" s="17" t="s">
        <v>42</v>
      </c>
      <c r="G782" s="16">
        <v>7.33</v>
      </c>
      <c r="H782" s="16">
        <v>6.17</v>
      </c>
      <c r="I782" s="19">
        <v>13.5</v>
      </c>
      <c r="J782" s="33"/>
      <c r="K782" s="33"/>
    </row>
    <row r="783">
      <c r="A783" s="20">
        <v>2014.0</v>
      </c>
      <c r="B783" s="21">
        <v>9.0</v>
      </c>
      <c r="C783" s="21">
        <v>3.0</v>
      </c>
      <c r="D783" s="21">
        <v>9.0</v>
      </c>
      <c r="E783" s="22" t="s">
        <v>16</v>
      </c>
      <c r="F783" s="22" t="s">
        <v>33</v>
      </c>
      <c r="G783" s="21">
        <v>9.6</v>
      </c>
      <c r="H783" s="21">
        <v>6.5</v>
      </c>
      <c r="I783" s="23">
        <v>16.1</v>
      </c>
      <c r="J783" s="33"/>
      <c r="K783" s="33"/>
    </row>
    <row r="784">
      <c r="A784" s="15">
        <v>2014.0</v>
      </c>
      <c r="B784" s="16">
        <v>9.0</v>
      </c>
      <c r="C784" s="16">
        <v>3.0</v>
      </c>
      <c r="D784" s="16">
        <v>10.0</v>
      </c>
      <c r="E784" s="17" t="s">
        <v>16</v>
      </c>
      <c r="F784" s="17" t="s">
        <v>62</v>
      </c>
      <c r="G784" s="16">
        <v>8.27</v>
      </c>
      <c r="H784" s="16">
        <v>6.87</v>
      </c>
      <c r="I784" s="19">
        <v>15.14</v>
      </c>
      <c r="J784" s="33"/>
      <c r="K784" s="33"/>
    </row>
    <row r="785">
      <c r="A785" s="20">
        <v>2014.0</v>
      </c>
      <c r="B785" s="21">
        <v>9.0</v>
      </c>
      <c r="C785" s="21">
        <v>3.0</v>
      </c>
      <c r="D785" s="21">
        <v>10.0</v>
      </c>
      <c r="E785" s="22" t="s">
        <v>16</v>
      </c>
      <c r="F785" s="22" t="s">
        <v>60</v>
      </c>
      <c r="G785" s="21">
        <v>7.33</v>
      </c>
      <c r="H785" s="21">
        <v>3.93</v>
      </c>
      <c r="I785" s="23">
        <v>11.26</v>
      </c>
      <c r="J785" s="33"/>
      <c r="K785" s="33"/>
    </row>
    <row r="786">
      <c r="A786" s="15">
        <v>2014.0</v>
      </c>
      <c r="B786" s="16">
        <v>9.0</v>
      </c>
      <c r="C786" s="16">
        <v>3.0</v>
      </c>
      <c r="D786" s="16">
        <v>11.0</v>
      </c>
      <c r="E786" s="17" t="s">
        <v>16</v>
      </c>
      <c r="F786" s="17" t="s">
        <v>28</v>
      </c>
      <c r="G786" s="16">
        <v>8.53</v>
      </c>
      <c r="H786" s="16">
        <v>8.5</v>
      </c>
      <c r="I786" s="19">
        <v>17.03</v>
      </c>
      <c r="J786" s="33"/>
      <c r="K786" s="33"/>
    </row>
    <row r="787">
      <c r="A787" s="20">
        <v>2014.0</v>
      </c>
      <c r="B787" s="21">
        <v>9.0</v>
      </c>
      <c r="C787" s="21">
        <v>3.0</v>
      </c>
      <c r="D787" s="21">
        <v>11.0</v>
      </c>
      <c r="E787" s="22" t="s">
        <v>16</v>
      </c>
      <c r="F787" s="22" t="s">
        <v>31</v>
      </c>
      <c r="G787" s="21">
        <v>6.53</v>
      </c>
      <c r="H787" s="21">
        <v>3.5</v>
      </c>
      <c r="I787" s="23">
        <v>10.03</v>
      </c>
      <c r="J787" s="33"/>
      <c r="K787" s="33"/>
    </row>
    <row r="788">
      <c r="A788" s="15">
        <v>2014.0</v>
      </c>
      <c r="B788" s="16">
        <v>9.0</v>
      </c>
      <c r="C788" s="16">
        <v>3.0</v>
      </c>
      <c r="D788" s="16">
        <v>12.0</v>
      </c>
      <c r="E788" s="17" t="s">
        <v>16</v>
      </c>
      <c r="F788" s="17" t="s">
        <v>39</v>
      </c>
      <c r="G788" s="16">
        <v>6.73</v>
      </c>
      <c r="H788" s="16">
        <v>6.13</v>
      </c>
      <c r="I788" s="19">
        <v>12.86</v>
      </c>
      <c r="J788" s="33"/>
      <c r="K788" s="33"/>
    </row>
    <row r="789">
      <c r="A789" s="20">
        <v>2014.0</v>
      </c>
      <c r="B789" s="21">
        <v>9.0</v>
      </c>
      <c r="C789" s="21">
        <v>3.0</v>
      </c>
      <c r="D789" s="21">
        <v>12.0</v>
      </c>
      <c r="E789" s="22" t="s">
        <v>16</v>
      </c>
      <c r="F789" s="22" t="s">
        <v>35</v>
      </c>
      <c r="G789" s="21">
        <v>7.7</v>
      </c>
      <c r="H789" s="21">
        <v>7.0</v>
      </c>
      <c r="I789" s="23">
        <v>14.7</v>
      </c>
      <c r="J789" s="33"/>
      <c r="K789" s="33"/>
    </row>
    <row r="790">
      <c r="A790" s="15">
        <v>2014.0</v>
      </c>
      <c r="B790" s="16">
        <v>9.0</v>
      </c>
      <c r="C790" s="16">
        <v>4.0</v>
      </c>
      <c r="D790" s="16">
        <v>1.0</v>
      </c>
      <c r="E790" s="17" t="s">
        <v>16</v>
      </c>
      <c r="F790" s="17" t="s">
        <v>41</v>
      </c>
      <c r="G790" s="16">
        <v>7.07</v>
      </c>
      <c r="H790" s="16">
        <v>6.17</v>
      </c>
      <c r="I790" s="19">
        <v>13.24</v>
      </c>
      <c r="J790" s="33"/>
      <c r="K790" s="33"/>
    </row>
    <row r="791">
      <c r="A791" s="20">
        <v>2014.0</v>
      </c>
      <c r="B791" s="21">
        <v>9.0</v>
      </c>
      <c r="C791" s="21">
        <v>4.0</v>
      </c>
      <c r="D791" s="21">
        <v>1.0</v>
      </c>
      <c r="E791" s="22" t="s">
        <v>16</v>
      </c>
      <c r="F791" s="22" t="s">
        <v>34</v>
      </c>
      <c r="G791" s="21">
        <v>7.83</v>
      </c>
      <c r="H791" s="21">
        <v>2.33</v>
      </c>
      <c r="I791" s="23">
        <v>10.16</v>
      </c>
      <c r="J791" s="33"/>
      <c r="K791" s="33"/>
    </row>
    <row r="792">
      <c r="A792" s="15">
        <v>2014.0</v>
      </c>
      <c r="B792" s="16">
        <v>9.0</v>
      </c>
      <c r="C792" s="16">
        <v>4.0</v>
      </c>
      <c r="D792" s="16">
        <v>1.0</v>
      </c>
      <c r="E792" s="17" t="s">
        <v>16</v>
      </c>
      <c r="F792" s="17" t="s">
        <v>32</v>
      </c>
      <c r="G792" s="16">
        <v>8.67</v>
      </c>
      <c r="H792" s="16">
        <v>7.83</v>
      </c>
      <c r="I792" s="19">
        <v>16.5</v>
      </c>
      <c r="J792" s="33"/>
      <c r="K792" s="33"/>
    </row>
    <row r="793">
      <c r="A793" s="20">
        <v>2014.0</v>
      </c>
      <c r="B793" s="21">
        <v>9.0</v>
      </c>
      <c r="C793" s="21">
        <v>4.0</v>
      </c>
      <c r="D793" s="21">
        <v>2.0</v>
      </c>
      <c r="E793" s="22" t="s">
        <v>16</v>
      </c>
      <c r="F793" s="22" t="s">
        <v>26</v>
      </c>
      <c r="G793" s="21">
        <v>3.0</v>
      </c>
      <c r="H793" s="21">
        <v>2.87</v>
      </c>
      <c r="I793" s="23">
        <v>5.87</v>
      </c>
      <c r="J793" s="33"/>
      <c r="K793" s="33"/>
    </row>
    <row r="794">
      <c r="A794" s="15">
        <v>2014.0</v>
      </c>
      <c r="B794" s="16">
        <v>9.0</v>
      </c>
      <c r="C794" s="16">
        <v>4.0</v>
      </c>
      <c r="D794" s="16">
        <v>2.0</v>
      </c>
      <c r="E794" s="17" t="s">
        <v>16</v>
      </c>
      <c r="F794" s="17" t="s">
        <v>45</v>
      </c>
      <c r="G794" s="16">
        <v>5.43</v>
      </c>
      <c r="H794" s="16">
        <v>4.5</v>
      </c>
      <c r="I794" s="19">
        <v>9.93</v>
      </c>
      <c r="J794" s="33"/>
      <c r="K794" s="33"/>
    </row>
    <row r="795">
      <c r="A795" s="20">
        <v>2014.0</v>
      </c>
      <c r="B795" s="21">
        <v>9.0</v>
      </c>
      <c r="C795" s="21">
        <v>4.0</v>
      </c>
      <c r="D795" s="21">
        <v>2.0</v>
      </c>
      <c r="E795" s="22" t="s">
        <v>16</v>
      </c>
      <c r="F795" s="22" t="s">
        <v>30</v>
      </c>
      <c r="G795" s="21">
        <v>9.0</v>
      </c>
      <c r="H795" s="21">
        <v>7.17</v>
      </c>
      <c r="I795" s="23">
        <v>16.17</v>
      </c>
      <c r="J795" s="33"/>
      <c r="K795" s="33"/>
    </row>
    <row r="796">
      <c r="A796" s="15">
        <v>2014.0</v>
      </c>
      <c r="B796" s="16">
        <v>9.0</v>
      </c>
      <c r="C796" s="16">
        <v>4.0</v>
      </c>
      <c r="D796" s="16">
        <v>3.0</v>
      </c>
      <c r="E796" s="17" t="s">
        <v>16</v>
      </c>
      <c r="F796" s="17" t="s">
        <v>37</v>
      </c>
      <c r="G796" s="16">
        <v>3.6</v>
      </c>
      <c r="H796" s="16">
        <v>3.0</v>
      </c>
      <c r="I796" s="19">
        <v>6.6</v>
      </c>
      <c r="J796" s="33"/>
      <c r="K796" s="33"/>
    </row>
    <row r="797">
      <c r="A797" s="20">
        <v>2014.0</v>
      </c>
      <c r="B797" s="21">
        <v>9.0</v>
      </c>
      <c r="C797" s="21">
        <v>4.0</v>
      </c>
      <c r="D797" s="21">
        <v>3.0</v>
      </c>
      <c r="E797" s="22" t="s">
        <v>16</v>
      </c>
      <c r="F797" s="22" t="s">
        <v>55</v>
      </c>
      <c r="G797" s="21">
        <v>6.5</v>
      </c>
      <c r="H797" s="21">
        <v>6.33</v>
      </c>
      <c r="I797" s="23">
        <v>12.83</v>
      </c>
      <c r="J797" s="33"/>
      <c r="K797" s="33"/>
    </row>
    <row r="798">
      <c r="A798" s="15">
        <v>2014.0</v>
      </c>
      <c r="B798" s="16">
        <v>9.0</v>
      </c>
      <c r="C798" s="16">
        <v>4.0</v>
      </c>
      <c r="D798" s="16">
        <v>3.0</v>
      </c>
      <c r="E798" s="17" t="s">
        <v>16</v>
      </c>
      <c r="F798" s="17" t="s">
        <v>33</v>
      </c>
      <c r="G798" s="16">
        <v>6.67</v>
      </c>
      <c r="H798" s="16">
        <v>5.33</v>
      </c>
      <c r="I798" s="19">
        <v>12.0</v>
      </c>
      <c r="J798" s="33"/>
      <c r="K798" s="33"/>
    </row>
    <row r="799">
      <c r="A799" s="20">
        <v>2014.0</v>
      </c>
      <c r="B799" s="21">
        <v>9.0</v>
      </c>
      <c r="C799" s="21">
        <v>4.0</v>
      </c>
      <c r="D799" s="21">
        <v>4.0</v>
      </c>
      <c r="E799" s="22" t="s">
        <v>16</v>
      </c>
      <c r="F799" s="22" t="s">
        <v>62</v>
      </c>
      <c r="G799" s="21">
        <v>7.1</v>
      </c>
      <c r="H799" s="21">
        <v>3.5</v>
      </c>
      <c r="I799" s="23">
        <v>10.6</v>
      </c>
      <c r="J799" s="33"/>
      <c r="K799" s="33"/>
    </row>
    <row r="800">
      <c r="A800" s="15">
        <v>2014.0</v>
      </c>
      <c r="B800" s="16">
        <v>9.0</v>
      </c>
      <c r="C800" s="16">
        <v>4.0</v>
      </c>
      <c r="D800" s="16">
        <v>4.0</v>
      </c>
      <c r="E800" s="17" t="s">
        <v>16</v>
      </c>
      <c r="F800" s="17" t="s">
        <v>28</v>
      </c>
      <c r="G800" s="16">
        <v>9.17</v>
      </c>
      <c r="H800" s="16">
        <v>6.5</v>
      </c>
      <c r="I800" s="19">
        <v>15.67</v>
      </c>
      <c r="J800" s="33"/>
      <c r="K800" s="33"/>
    </row>
    <row r="801">
      <c r="A801" s="20">
        <v>2014.0</v>
      </c>
      <c r="B801" s="21">
        <v>9.0</v>
      </c>
      <c r="C801" s="21">
        <v>4.0</v>
      </c>
      <c r="D801" s="21">
        <v>4.0</v>
      </c>
      <c r="E801" s="22" t="s">
        <v>16</v>
      </c>
      <c r="F801" s="22" t="s">
        <v>35</v>
      </c>
      <c r="G801" s="21">
        <v>3.4</v>
      </c>
      <c r="H801" s="21">
        <v>1.77</v>
      </c>
      <c r="I801" s="23">
        <v>5.17</v>
      </c>
      <c r="J801" s="33"/>
      <c r="K801" s="33"/>
    </row>
    <row r="802">
      <c r="A802" s="15">
        <v>2014.0</v>
      </c>
      <c r="B802" s="16">
        <v>9.0</v>
      </c>
      <c r="C802" s="16">
        <v>5.0</v>
      </c>
      <c r="D802" s="16">
        <v>1.0</v>
      </c>
      <c r="E802" s="17" t="s">
        <v>16</v>
      </c>
      <c r="F802" s="17" t="s">
        <v>41</v>
      </c>
      <c r="G802" s="16">
        <v>6.73</v>
      </c>
      <c r="H802" s="16">
        <v>6.43</v>
      </c>
      <c r="I802" s="19">
        <v>13.16</v>
      </c>
      <c r="J802" s="33"/>
      <c r="K802" s="33"/>
    </row>
    <row r="803">
      <c r="A803" s="20">
        <v>2014.0</v>
      </c>
      <c r="B803" s="21">
        <v>9.0</v>
      </c>
      <c r="C803" s="21">
        <v>5.0</v>
      </c>
      <c r="D803" s="21">
        <v>1.0</v>
      </c>
      <c r="E803" s="22" t="s">
        <v>16</v>
      </c>
      <c r="F803" s="22" t="s">
        <v>26</v>
      </c>
      <c r="G803" s="21">
        <v>10.0</v>
      </c>
      <c r="H803" s="21">
        <v>9.9</v>
      </c>
      <c r="I803" s="23">
        <v>19.9</v>
      </c>
      <c r="J803" s="33"/>
      <c r="K803" s="33"/>
    </row>
    <row r="804">
      <c r="A804" s="15">
        <v>2014.0</v>
      </c>
      <c r="B804" s="16">
        <v>9.0</v>
      </c>
      <c r="C804" s="16">
        <v>5.0</v>
      </c>
      <c r="D804" s="16">
        <v>2.0</v>
      </c>
      <c r="E804" s="17" t="s">
        <v>16</v>
      </c>
      <c r="F804" s="17" t="s">
        <v>45</v>
      </c>
      <c r="G804" s="16">
        <v>4.17</v>
      </c>
      <c r="H804" s="16">
        <v>3.17</v>
      </c>
      <c r="I804" s="19">
        <v>7.34</v>
      </c>
      <c r="J804" s="33"/>
      <c r="K804" s="33"/>
    </row>
    <row r="805">
      <c r="A805" s="20">
        <v>2014.0</v>
      </c>
      <c r="B805" s="21">
        <v>9.0</v>
      </c>
      <c r="C805" s="21">
        <v>5.0</v>
      </c>
      <c r="D805" s="21">
        <v>2.0</v>
      </c>
      <c r="E805" s="22" t="s">
        <v>16</v>
      </c>
      <c r="F805" s="22" t="s">
        <v>34</v>
      </c>
      <c r="G805" s="21">
        <v>5.33</v>
      </c>
      <c r="H805" s="21">
        <v>1.6</v>
      </c>
      <c r="I805" s="23">
        <v>6.93</v>
      </c>
      <c r="J805" s="33"/>
      <c r="K805" s="33"/>
    </row>
    <row r="806">
      <c r="A806" s="15">
        <v>2014.0</v>
      </c>
      <c r="B806" s="16">
        <v>9.0</v>
      </c>
      <c r="C806" s="16">
        <v>5.0</v>
      </c>
      <c r="D806" s="16">
        <v>3.0</v>
      </c>
      <c r="E806" s="17" t="s">
        <v>16</v>
      </c>
      <c r="F806" s="17" t="s">
        <v>33</v>
      </c>
      <c r="G806" s="16">
        <v>3.0</v>
      </c>
      <c r="H806" s="16">
        <v>2.33</v>
      </c>
      <c r="I806" s="19">
        <v>5.33</v>
      </c>
      <c r="J806" s="33"/>
      <c r="K806" s="33"/>
    </row>
    <row r="807">
      <c r="A807" s="20">
        <v>2014.0</v>
      </c>
      <c r="B807" s="21">
        <v>9.0</v>
      </c>
      <c r="C807" s="21">
        <v>5.0</v>
      </c>
      <c r="D807" s="21">
        <v>3.0</v>
      </c>
      <c r="E807" s="22" t="s">
        <v>16</v>
      </c>
      <c r="F807" s="22" t="s">
        <v>35</v>
      </c>
      <c r="G807" s="21">
        <v>5.83</v>
      </c>
      <c r="H807" s="21">
        <v>3.4</v>
      </c>
      <c r="I807" s="23">
        <v>9.23</v>
      </c>
      <c r="J807" s="33"/>
      <c r="K807" s="33"/>
    </row>
    <row r="808">
      <c r="A808" s="15">
        <v>2014.0</v>
      </c>
      <c r="B808" s="16">
        <v>9.0</v>
      </c>
      <c r="C808" s="16">
        <v>5.0</v>
      </c>
      <c r="D808" s="16">
        <v>4.0</v>
      </c>
      <c r="E808" s="17" t="s">
        <v>16</v>
      </c>
      <c r="F808" s="17" t="s">
        <v>62</v>
      </c>
      <c r="G808" s="16">
        <v>3.0</v>
      </c>
      <c r="H808" s="16">
        <v>2.87</v>
      </c>
      <c r="I808" s="19">
        <v>5.87</v>
      </c>
      <c r="J808" s="33"/>
      <c r="K808" s="33"/>
    </row>
    <row r="809">
      <c r="A809" s="20">
        <v>2014.0</v>
      </c>
      <c r="B809" s="21">
        <v>9.0</v>
      </c>
      <c r="C809" s="21">
        <v>5.0</v>
      </c>
      <c r="D809" s="21">
        <v>4.0</v>
      </c>
      <c r="E809" s="22" t="s">
        <v>16</v>
      </c>
      <c r="F809" s="22" t="s">
        <v>37</v>
      </c>
      <c r="G809" s="21">
        <v>9.07</v>
      </c>
      <c r="H809" s="21">
        <v>6.17</v>
      </c>
      <c r="I809" s="23">
        <v>15.24</v>
      </c>
      <c r="J809" s="33"/>
      <c r="K809" s="33"/>
    </row>
    <row r="810">
      <c r="A810" s="15">
        <v>2014.0</v>
      </c>
      <c r="B810" s="16">
        <v>9.0</v>
      </c>
      <c r="C810" s="16">
        <v>6.0</v>
      </c>
      <c r="D810" s="16">
        <v>1.0</v>
      </c>
      <c r="E810" s="17" t="s">
        <v>16</v>
      </c>
      <c r="F810" s="17" t="s">
        <v>32</v>
      </c>
      <c r="G810" s="16">
        <v>6.0</v>
      </c>
      <c r="H810" s="16">
        <v>3.17</v>
      </c>
      <c r="I810" s="19">
        <v>9.17</v>
      </c>
      <c r="J810" s="33"/>
      <c r="K810" s="33"/>
    </row>
    <row r="811">
      <c r="A811" s="20">
        <v>2014.0</v>
      </c>
      <c r="B811" s="21">
        <v>9.0</v>
      </c>
      <c r="C811" s="21">
        <v>6.0</v>
      </c>
      <c r="D811" s="21">
        <v>1.0</v>
      </c>
      <c r="E811" s="22" t="s">
        <v>16</v>
      </c>
      <c r="F811" s="22" t="s">
        <v>26</v>
      </c>
      <c r="G811" s="21">
        <v>9.0</v>
      </c>
      <c r="H811" s="21">
        <v>7.0</v>
      </c>
      <c r="I811" s="23">
        <v>16.0</v>
      </c>
      <c r="J811" s="33"/>
      <c r="K811" s="33"/>
    </row>
    <row r="812">
      <c r="A812" s="15">
        <v>2014.0</v>
      </c>
      <c r="B812" s="16">
        <v>9.0</v>
      </c>
      <c r="C812" s="16">
        <v>6.0</v>
      </c>
      <c r="D812" s="16">
        <v>2.0</v>
      </c>
      <c r="E812" s="17" t="s">
        <v>16</v>
      </c>
      <c r="F812" s="17" t="s">
        <v>30</v>
      </c>
      <c r="G812" s="16">
        <v>4.73</v>
      </c>
      <c r="H812" s="16">
        <v>4.17</v>
      </c>
      <c r="I812" s="19">
        <v>8.9</v>
      </c>
      <c r="J812" s="33"/>
      <c r="K812" s="33"/>
    </row>
    <row r="813">
      <c r="A813" s="20">
        <v>2014.0</v>
      </c>
      <c r="B813" s="21">
        <v>9.0</v>
      </c>
      <c r="C813" s="21">
        <v>6.0</v>
      </c>
      <c r="D813" s="21">
        <v>2.0</v>
      </c>
      <c r="E813" s="22" t="s">
        <v>16</v>
      </c>
      <c r="F813" s="22" t="s">
        <v>45</v>
      </c>
      <c r="G813" s="21">
        <v>7.0</v>
      </c>
      <c r="H813" s="21">
        <v>5.83</v>
      </c>
      <c r="I813" s="23">
        <v>12.83</v>
      </c>
      <c r="J813" s="33"/>
      <c r="K813" s="33"/>
    </row>
    <row r="814">
      <c r="A814" s="15">
        <v>2014.0</v>
      </c>
      <c r="B814" s="16">
        <v>9.0</v>
      </c>
      <c r="C814" s="16">
        <v>6.0</v>
      </c>
      <c r="D814" s="16">
        <v>3.0</v>
      </c>
      <c r="E814" s="17" t="s">
        <v>16</v>
      </c>
      <c r="F814" s="17" t="s">
        <v>55</v>
      </c>
      <c r="G814" s="16">
        <v>4.33</v>
      </c>
      <c r="H814" s="16">
        <v>3.93</v>
      </c>
      <c r="I814" s="19">
        <v>8.26</v>
      </c>
      <c r="J814" s="33"/>
      <c r="K814" s="33"/>
    </row>
    <row r="815">
      <c r="A815" s="20">
        <v>2014.0</v>
      </c>
      <c r="B815" s="21">
        <v>9.0</v>
      </c>
      <c r="C815" s="21">
        <v>6.0</v>
      </c>
      <c r="D815" s="21">
        <v>3.0</v>
      </c>
      <c r="E815" s="22" t="s">
        <v>16</v>
      </c>
      <c r="F815" s="22" t="s">
        <v>35</v>
      </c>
      <c r="G815" s="21">
        <v>5.5</v>
      </c>
      <c r="H815" s="21">
        <v>5.0</v>
      </c>
      <c r="I815" s="23">
        <v>10.5</v>
      </c>
      <c r="J815" s="33"/>
      <c r="K815" s="33"/>
    </row>
    <row r="816">
      <c r="A816" s="15">
        <v>2014.0</v>
      </c>
      <c r="B816" s="16">
        <v>9.0</v>
      </c>
      <c r="C816" s="16">
        <v>6.0</v>
      </c>
      <c r="D816" s="16">
        <v>4.0</v>
      </c>
      <c r="E816" s="17" t="s">
        <v>16</v>
      </c>
      <c r="F816" s="17" t="s">
        <v>28</v>
      </c>
      <c r="G816" s="16">
        <v>7.33</v>
      </c>
      <c r="H816" s="16">
        <v>5.17</v>
      </c>
      <c r="I816" s="19">
        <v>12.5</v>
      </c>
      <c r="J816" s="33"/>
      <c r="K816" s="33"/>
    </row>
    <row r="817">
      <c r="A817" s="20">
        <v>2014.0</v>
      </c>
      <c r="B817" s="21">
        <v>9.0</v>
      </c>
      <c r="C817" s="21">
        <v>6.0</v>
      </c>
      <c r="D817" s="21">
        <v>4.0</v>
      </c>
      <c r="E817" s="22" t="s">
        <v>16</v>
      </c>
      <c r="F817" s="22" t="s">
        <v>37</v>
      </c>
      <c r="G817" s="21">
        <v>6.5</v>
      </c>
      <c r="H817" s="21">
        <v>4.0</v>
      </c>
      <c r="I817" s="23">
        <v>10.5</v>
      </c>
      <c r="J817" s="33"/>
      <c r="K817" s="33"/>
    </row>
    <row r="818">
      <c r="A818" s="15">
        <v>2014.0</v>
      </c>
      <c r="B818" s="16">
        <v>9.0</v>
      </c>
      <c r="C818" s="16">
        <v>7.0</v>
      </c>
      <c r="D818" s="16">
        <v>1.0</v>
      </c>
      <c r="E818" s="17" t="s">
        <v>16</v>
      </c>
      <c r="F818" s="17" t="s">
        <v>26</v>
      </c>
      <c r="G818" s="16">
        <v>8.17</v>
      </c>
      <c r="H818" s="16">
        <v>7.33</v>
      </c>
      <c r="I818" s="19">
        <v>15.5</v>
      </c>
      <c r="J818" s="33"/>
      <c r="K818" s="33"/>
    </row>
    <row r="819">
      <c r="A819" s="20">
        <v>2014.0</v>
      </c>
      <c r="B819" s="21">
        <v>9.0</v>
      </c>
      <c r="C819" s="21">
        <v>7.0</v>
      </c>
      <c r="D819" s="21">
        <v>1.0</v>
      </c>
      <c r="E819" s="22" t="s">
        <v>16</v>
      </c>
      <c r="F819" s="22" t="s">
        <v>45</v>
      </c>
      <c r="G819" s="21">
        <v>6.83</v>
      </c>
      <c r="H819" s="21">
        <v>1.77</v>
      </c>
      <c r="I819" s="23">
        <v>8.6</v>
      </c>
      <c r="J819" s="33"/>
      <c r="K819" s="33"/>
    </row>
    <row r="820">
      <c r="A820" s="15">
        <v>2014.0</v>
      </c>
      <c r="B820" s="16">
        <v>9.0</v>
      </c>
      <c r="C820" s="16">
        <v>7.0</v>
      </c>
      <c r="D820" s="16">
        <v>2.0</v>
      </c>
      <c r="E820" s="17" t="s">
        <v>16</v>
      </c>
      <c r="F820" s="17" t="s">
        <v>35</v>
      </c>
      <c r="G820" s="16">
        <v>8.67</v>
      </c>
      <c r="H820" s="16">
        <v>8.0</v>
      </c>
      <c r="I820" s="19">
        <v>16.67</v>
      </c>
      <c r="J820" s="33"/>
      <c r="K820" s="33"/>
    </row>
    <row r="821">
      <c r="A821" s="20">
        <v>2014.0</v>
      </c>
      <c r="B821" s="21">
        <v>9.0</v>
      </c>
      <c r="C821" s="21">
        <v>7.0</v>
      </c>
      <c r="D821" s="21">
        <v>2.0</v>
      </c>
      <c r="E821" s="22" t="s">
        <v>16</v>
      </c>
      <c r="F821" s="22" t="s">
        <v>28</v>
      </c>
      <c r="G821" s="21">
        <v>6.17</v>
      </c>
      <c r="H821" s="21">
        <v>2.67</v>
      </c>
      <c r="I821" s="23">
        <v>8.84</v>
      </c>
      <c r="J821" s="33"/>
      <c r="K821" s="33"/>
    </row>
    <row r="822">
      <c r="A822" s="15">
        <v>2014.0</v>
      </c>
      <c r="B822" s="16">
        <v>9.0</v>
      </c>
      <c r="C822" s="16">
        <v>8.0</v>
      </c>
      <c r="D822" s="16">
        <v>1.0</v>
      </c>
      <c r="E822" s="17" t="s">
        <v>16</v>
      </c>
      <c r="F822" s="17" t="s">
        <v>26</v>
      </c>
      <c r="G822" s="16">
        <v>8.83</v>
      </c>
      <c r="H822" s="16">
        <v>7.17</v>
      </c>
      <c r="I822" s="19">
        <v>16.0</v>
      </c>
      <c r="J822" s="33"/>
      <c r="K822" s="33"/>
    </row>
    <row r="823">
      <c r="A823" s="20">
        <v>2014.0</v>
      </c>
      <c r="B823" s="21">
        <v>9.0</v>
      </c>
      <c r="C823" s="21">
        <v>8.0</v>
      </c>
      <c r="D823" s="21">
        <v>1.0</v>
      </c>
      <c r="E823" s="22" t="s">
        <v>16</v>
      </c>
      <c r="F823" s="22" t="s">
        <v>35</v>
      </c>
      <c r="G823" s="21">
        <v>2.57</v>
      </c>
      <c r="H823" s="21">
        <v>2.0</v>
      </c>
      <c r="I823" s="23">
        <v>4.57</v>
      </c>
      <c r="J823" s="33"/>
      <c r="K823" s="33"/>
    </row>
    <row r="824">
      <c r="A824" s="15">
        <v>2014.0</v>
      </c>
      <c r="B824" s="16">
        <v>10.0</v>
      </c>
      <c r="C824" s="16">
        <v>1.0</v>
      </c>
      <c r="D824" s="16">
        <v>1.0</v>
      </c>
      <c r="E824" s="17" t="s">
        <v>16</v>
      </c>
      <c r="F824" s="17" t="s">
        <v>62</v>
      </c>
      <c r="G824" s="16">
        <v>6.83</v>
      </c>
      <c r="H824" s="16">
        <v>5.27</v>
      </c>
      <c r="I824" s="19">
        <v>12.1</v>
      </c>
      <c r="J824" s="33"/>
      <c r="K824" s="33"/>
    </row>
    <row r="825">
      <c r="A825" s="20">
        <v>2014.0</v>
      </c>
      <c r="B825" s="21">
        <v>10.0</v>
      </c>
      <c r="C825" s="21">
        <v>1.0</v>
      </c>
      <c r="D825" s="21">
        <v>1.0</v>
      </c>
      <c r="E825" s="22" t="s">
        <v>16</v>
      </c>
      <c r="F825" s="22" t="s">
        <v>123</v>
      </c>
      <c r="G825" s="21">
        <v>6.0</v>
      </c>
      <c r="H825" s="21">
        <v>2.97</v>
      </c>
      <c r="I825" s="23">
        <v>8.97</v>
      </c>
      <c r="J825" s="33"/>
      <c r="K825" s="33"/>
    </row>
    <row r="826">
      <c r="A826" s="15">
        <v>2014.0</v>
      </c>
      <c r="B826" s="16">
        <v>10.0</v>
      </c>
      <c r="C826" s="16">
        <v>1.0</v>
      </c>
      <c r="D826" s="16">
        <v>1.0</v>
      </c>
      <c r="E826" s="17" t="s">
        <v>16</v>
      </c>
      <c r="F826" s="17" t="s">
        <v>122</v>
      </c>
      <c r="G826" s="16">
        <v>5.1</v>
      </c>
      <c r="H826" s="16">
        <v>2.27</v>
      </c>
      <c r="I826" s="19">
        <v>7.37</v>
      </c>
      <c r="J826" s="33"/>
      <c r="K826" s="33"/>
    </row>
    <row r="827">
      <c r="A827" s="20">
        <v>2014.0</v>
      </c>
      <c r="B827" s="21">
        <v>10.0</v>
      </c>
      <c r="C827" s="21">
        <v>1.0</v>
      </c>
      <c r="D827" s="21">
        <v>2.0</v>
      </c>
      <c r="E827" s="22" t="s">
        <v>16</v>
      </c>
      <c r="F827" s="22" t="s">
        <v>26</v>
      </c>
      <c r="G827" s="21">
        <v>5.77</v>
      </c>
      <c r="H827" s="21">
        <v>5.33</v>
      </c>
      <c r="I827" s="23">
        <v>11.1</v>
      </c>
      <c r="J827" s="33"/>
      <c r="K827" s="33"/>
    </row>
    <row r="828">
      <c r="A828" s="15">
        <v>2014.0</v>
      </c>
      <c r="B828" s="16">
        <v>10.0</v>
      </c>
      <c r="C828" s="16">
        <v>1.0</v>
      </c>
      <c r="D828" s="16">
        <v>2.0</v>
      </c>
      <c r="E828" s="17" t="s">
        <v>16</v>
      </c>
      <c r="F828" s="17" t="s">
        <v>35</v>
      </c>
      <c r="G828" s="16">
        <v>8.1</v>
      </c>
      <c r="H828" s="16">
        <v>7.83</v>
      </c>
      <c r="I828" s="19">
        <v>15.93</v>
      </c>
      <c r="J828" s="33"/>
      <c r="K828" s="33"/>
    </row>
    <row r="829">
      <c r="A829" s="20">
        <v>2014.0</v>
      </c>
      <c r="B829" s="21">
        <v>10.0</v>
      </c>
      <c r="C829" s="21">
        <v>1.0</v>
      </c>
      <c r="D829" s="21">
        <v>2.0</v>
      </c>
      <c r="E829" s="22" t="s">
        <v>16</v>
      </c>
      <c r="F829" s="22" t="s">
        <v>91</v>
      </c>
      <c r="G829" s="21">
        <v>7.1</v>
      </c>
      <c r="H829" s="21">
        <v>5.5</v>
      </c>
      <c r="I829" s="23">
        <v>12.6</v>
      </c>
      <c r="J829" s="33"/>
      <c r="K829" s="33"/>
    </row>
    <row r="830">
      <c r="A830" s="15">
        <v>2014.0</v>
      </c>
      <c r="B830" s="16">
        <v>10.0</v>
      </c>
      <c r="C830" s="16">
        <v>1.0</v>
      </c>
      <c r="D830" s="16">
        <v>3.0</v>
      </c>
      <c r="E830" s="17" t="s">
        <v>16</v>
      </c>
      <c r="F830" s="17" t="s">
        <v>39</v>
      </c>
      <c r="G830" s="16">
        <v>8.5</v>
      </c>
      <c r="H830" s="16">
        <v>7.33</v>
      </c>
      <c r="I830" s="19">
        <v>15.83</v>
      </c>
      <c r="J830" s="33"/>
      <c r="K830" s="33"/>
    </row>
    <row r="831">
      <c r="A831" s="20">
        <v>2014.0</v>
      </c>
      <c r="B831" s="21">
        <v>10.0</v>
      </c>
      <c r="C831" s="21">
        <v>1.0</v>
      </c>
      <c r="D831" s="21">
        <v>3.0</v>
      </c>
      <c r="E831" s="22" t="s">
        <v>16</v>
      </c>
      <c r="F831" s="22" t="s">
        <v>125</v>
      </c>
      <c r="G831" s="21">
        <v>5.07</v>
      </c>
      <c r="H831" s="21">
        <v>4.17</v>
      </c>
      <c r="I831" s="23">
        <v>9.24</v>
      </c>
      <c r="J831" s="33"/>
      <c r="K831" s="33"/>
    </row>
    <row r="832">
      <c r="A832" s="15">
        <v>2014.0</v>
      </c>
      <c r="B832" s="16">
        <v>10.0</v>
      </c>
      <c r="C832" s="16">
        <v>1.0</v>
      </c>
      <c r="D832" s="16">
        <v>3.0</v>
      </c>
      <c r="E832" s="17" t="s">
        <v>16</v>
      </c>
      <c r="F832" s="17" t="s">
        <v>50</v>
      </c>
      <c r="G832" s="16">
        <v>5.0</v>
      </c>
      <c r="H832" s="16">
        <v>3.47</v>
      </c>
      <c r="I832" s="19">
        <v>8.47</v>
      </c>
      <c r="J832" s="33"/>
      <c r="K832" s="33"/>
    </row>
    <row r="833">
      <c r="A833" s="20">
        <v>2014.0</v>
      </c>
      <c r="B833" s="21">
        <v>10.0</v>
      </c>
      <c r="C833" s="21">
        <v>1.0</v>
      </c>
      <c r="D833" s="21">
        <v>4.0</v>
      </c>
      <c r="E833" s="22" t="s">
        <v>16</v>
      </c>
      <c r="F833" s="22" t="s">
        <v>41</v>
      </c>
      <c r="G833" s="21">
        <v>6.83</v>
      </c>
      <c r="H833" s="21">
        <v>3.83</v>
      </c>
      <c r="I833" s="23">
        <v>10.66</v>
      </c>
      <c r="J833" s="33"/>
      <c r="K833" s="33"/>
    </row>
    <row r="834">
      <c r="A834" s="15">
        <v>2014.0</v>
      </c>
      <c r="B834" s="16">
        <v>10.0</v>
      </c>
      <c r="C834" s="16">
        <v>1.0</v>
      </c>
      <c r="D834" s="16">
        <v>4.0</v>
      </c>
      <c r="E834" s="17" t="s">
        <v>16</v>
      </c>
      <c r="F834" s="17" t="s">
        <v>38</v>
      </c>
      <c r="G834" s="16">
        <v>8.17</v>
      </c>
      <c r="H834" s="16">
        <v>7.93</v>
      </c>
      <c r="I834" s="19">
        <v>16.1</v>
      </c>
      <c r="J834" s="33"/>
      <c r="K834" s="33"/>
    </row>
    <row r="835">
      <c r="A835" s="20">
        <v>2014.0</v>
      </c>
      <c r="B835" s="21">
        <v>10.0</v>
      </c>
      <c r="C835" s="21">
        <v>1.0</v>
      </c>
      <c r="D835" s="21">
        <v>4.0</v>
      </c>
      <c r="E835" s="22" t="s">
        <v>16</v>
      </c>
      <c r="F835" s="22" t="s">
        <v>131</v>
      </c>
      <c r="G835" s="21">
        <v>4.83</v>
      </c>
      <c r="H835" s="21">
        <v>0.0</v>
      </c>
      <c r="I835" s="23">
        <v>4.83</v>
      </c>
      <c r="J835" s="33"/>
      <c r="K835" s="33"/>
    </row>
    <row r="836">
      <c r="A836" s="15">
        <v>2014.0</v>
      </c>
      <c r="B836" s="16">
        <v>10.0</v>
      </c>
      <c r="C836" s="16">
        <v>1.0</v>
      </c>
      <c r="D836" s="16">
        <v>5.0</v>
      </c>
      <c r="E836" s="17" t="s">
        <v>16</v>
      </c>
      <c r="F836" s="17" t="s">
        <v>37</v>
      </c>
      <c r="G836" s="16">
        <v>9.67</v>
      </c>
      <c r="H836" s="16">
        <v>7.33</v>
      </c>
      <c r="I836" s="19">
        <v>17.0</v>
      </c>
      <c r="J836" s="33"/>
      <c r="K836" s="33"/>
    </row>
    <row r="837">
      <c r="A837" s="20">
        <v>2014.0</v>
      </c>
      <c r="B837" s="21">
        <v>10.0</v>
      </c>
      <c r="C837" s="21">
        <v>1.0</v>
      </c>
      <c r="D837" s="21">
        <v>5.0</v>
      </c>
      <c r="E837" s="22" t="s">
        <v>16</v>
      </c>
      <c r="F837" s="22" t="s">
        <v>34</v>
      </c>
      <c r="G837" s="21">
        <v>9.57</v>
      </c>
      <c r="H837" s="21">
        <v>6.5</v>
      </c>
      <c r="I837" s="23">
        <v>16.07</v>
      </c>
      <c r="J837" s="33"/>
      <c r="K837" s="33"/>
    </row>
    <row r="838">
      <c r="A838" s="15">
        <v>2014.0</v>
      </c>
      <c r="B838" s="16">
        <v>10.0</v>
      </c>
      <c r="C838" s="16">
        <v>1.0</v>
      </c>
      <c r="D838" s="16">
        <v>5.0</v>
      </c>
      <c r="E838" s="17" t="s">
        <v>16</v>
      </c>
      <c r="F838" s="17" t="s">
        <v>134</v>
      </c>
      <c r="G838" s="16">
        <v>4.0</v>
      </c>
      <c r="H838" s="16">
        <v>3.5</v>
      </c>
      <c r="I838" s="19">
        <v>7.5</v>
      </c>
      <c r="J838" s="33"/>
      <c r="K838" s="33"/>
    </row>
    <row r="839">
      <c r="A839" s="20">
        <v>2014.0</v>
      </c>
      <c r="B839" s="21">
        <v>10.0</v>
      </c>
      <c r="C839" s="21">
        <v>1.0</v>
      </c>
      <c r="D839" s="21">
        <v>6.0</v>
      </c>
      <c r="E839" s="22" t="s">
        <v>16</v>
      </c>
      <c r="F839" s="22" t="s">
        <v>30</v>
      </c>
      <c r="G839" s="21">
        <v>7.17</v>
      </c>
      <c r="H839" s="21">
        <v>7.1</v>
      </c>
      <c r="I839" s="23">
        <v>14.27</v>
      </c>
      <c r="J839" s="33"/>
      <c r="K839" s="33"/>
    </row>
    <row r="840">
      <c r="A840" s="15">
        <v>2014.0</v>
      </c>
      <c r="B840" s="16">
        <v>10.0</v>
      </c>
      <c r="C840" s="16">
        <v>1.0</v>
      </c>
      <c r="D840" s="16">
        <v>6.0</v>
      </c>
      <c r="E840" s="17" t="s">
        <v>16</v>
      </c>
      <c r="F840" s="17" t="s">
        <v>60</v>
      </c>
      <c r="G840" s="16">
        <v>6.83</v>
      </c>
      <c r="H840" s="16">
        <v>5.9</v>
      </c>
      <c r="I840" s="19">
        <v>12.73</v>
      </c>
      <c r="J840" s="33"/>
      <c r="K840" s="33"/>
    </row>
    <row r="841">
      <c r="A841" s="20">
        <v>2014.0</v>
      </c>
      <c r="B841" s="21">
        <v>10.0</v>
      </c>
      <c r="C841" s="21">
        <v>1.0</v>
      </c>
      <c r="D841" s="21">
        <v>6.0</v>
      </c>
      <c r="E841" s="22" t="s">
        <v>16</v>
      </c>
      <c r="F841" s="22" t="s">
        <v>75</v>
      </c>
      <c r="G841" s="21">
        <v>4.5</v>
      </c>
      <c r="H841" s="21">
        <v>3.93</v>
      </c>
      <c r="I841" s="23">
        <v>8.43</v>
      </c>
      <c r="J841" s="33"/>
      <c r="K841" s="33"/>
    </row>
    <row r="842">
      <c r="A842" s="15">
        <v>2014.0</v>
      </c>
      <c r="B842" s="16">
        <v>10.0</v>
      </c>
      <c r="C842" s="16">
        <v>1.0</v>
      </c>
      <c r="D842" s="16">
        <v>7.0</v>
      </c>
      <c r="E842" s="17" t="s">
        <v>16</v>
      </c>
      <c r="F842" s="17" t="s">
        <v>27</v>
      </c>
      <c r="G842" s="16">
        <v>7.53</v>
      </c>
      <c r="H842" s="16">
        <v>3.03</v>
      </c>
      <c r="I842" s="19">
        <v>10.56</v>
      </c>
      <c r="J842" s="33"/>
      <c r="K842" s="33"/>
    </row>
    <row r="843">
      <c r="A843" s="20">
        <v>2014.0</v>
      </c>
      <c r="B843" s="21">
        <v>10.0</v>
      </c>
      <c r="C843" s="21">
        <v>1.0</v>
      </c>
      <c r="D843" s="21">
        <v>7.0</v>
      </c>
      <c r="E843" s="22" t="s">
        <v>16</v>
      </c>
      <c r="F843" s="22" t="s">
        <v>33</v>
      </c>
      <c r="G843" s="21">
        <v>8.5</v>
      </c>
      <c r="H843" s="21">
        <v>5.83</v>
      </c>
      <c r="I843" s="23">
        <v>14.33</v>
      </c>
      <c r="J843" s="33"/>
      <c r="K843" s="33"/>
    </row>
    <row r="844">
      <c r="A844" s="15">
        <v>2014.0</v>
      </c>
      <c r="B844" s="16">
        <v>10.0</v>
      </c>
      <c r="C844" s="16">
        <v>1.0</v>
      </c>
      <c r="D844" s="16">
        <v>7.0</v>
      </c>
      <c r="E844" s="17" t="s">
        <v>16</v>
      </c>
      <c r="F844" s="17" t="s">
        <v>107</v>
      </c>
      <c r="G844" s="16">
        <v>4.9</v>
      </c>
      <c r="H844" s="16">
        <v>3.83</v>
      </c>
      <c r="I844" s="19">
        <v>8.73</v>
      </c>
      <c r="J844" s="33"/>
      <c r="K844" s="33"/>
    </row>
    <row r="845">
      <c r="A845" s="20">
        <v>2014.0</v>
      </c>
      <c r="B845" s="21">
        <v>10.0</v>
      </c>
      <c r="C845" s="21">
        <v>1.0</v>
      </c>
      <c r="D845" s="21">
        <v>8.0</v>
      </c>
      <c r="E845" s="22" t="s">
        <v>16</v>
      </c>
      <c r="F845" s="22" t="s">
        <v>42</v>
      </c>
      <c r="G845" s="21">
        <v>6.5</v>
      </c>
      <c r="H845" s="21">
        <v>6.33</v>
      </c>
      <c r="I845" s="23">
        <v>12.83</v>
      </c>
      <c r="J845" s="33"/>
      <c r="K845" s="33"/>
    </row>
    <row r="846">
      <c r="A846" s="15">
        <v>2014.0</v>
      </c>
      <c r="B846" s="16">
        <v>10.0</v>
      </c>
      <c r="C846" s="16">
        <v>1.0</v>
      </c>
      <c r="D846" s="16">
        <v>8.0</v>
      </c>
      <c r="E846" s="17" t="s">
        <v>16</v>
      </c>
      <c r="F846" s="17" t="s">
        <v>31</v>
      </c>
      <c r="G846" s="16">
        <v>6.33</v>
      </c>
      <c r="H846" s="16">
        <v>3.23</v>
      </c>
      <c r="I846" s="19">
        <v>9.56</v>
      </c>
      <c r="J846" s="33"/>
      <c r="K846" s="33"/>
    </row>
    <row r="847">
      <c r="A847" s="20">
        <v>2014.0</v>
      </c>
      <c r="B847" s="21">
        <v>10.0</v>
      </c>
      <c r="C847" s="21">
        <v>1.0</v>
      </c>
      <c r="D847" s="21">
        <v>8.0</v>
      </c>
      <c r="E847" s="22" t="s">
        <v>16</v>
      </c>
      <c r="F847" s="22" t="s">
        <v>76</v>
      </c>
      <c r="G847" s="21">
        <v>5.5</v>
      </c>
      <c r="H847" s="21">
        <v>5.1</v>
      </c>
      <c r="I847" s="23">
        <v>10.6</v>
      </c>
      <c r="J847" s="33"/>
      <c r="K847" s="33"/>
    </row>
    <row r="848">
      <c r="A848" s="15">
        <v>2014.0</v>
      </c>
      <c r="B848" s="16">
        <v>10.0</v>
      </c>
      <c r="C848" s="16">
        <v>1.0</v>
      </c>
      <c r="D848" s="16">
        <v>9.0</v>
      </c>
      <c r="E848" s="17" t="s">
        <v>16</v>
      </c>
      <c r="F848" s="17" t="s">
        <v>28</v>
      </c>
      <c r="G848" s="16">
        <v>9.27</v>
      </c>
      <c r="H848" s="16">
        <v>7.33</v>
      </c>
      <c r="I848" s="19">
        <v>16.6</v>
      </c>
      <c r="J848" s="33"/>
      <c r="K848" s="33"/>
    </row>
    <row r="849">
      <c r="A849" s="20">
        <v>2014.0</v>
      </c>
      <c r="B849" s="21">
        <v>10.0</v>
      </c>
      <c r="C849" s="21">
        <v>1.0</v>
      </c>
      <c r="D849" s="21">
        <v>9.0</v>
      </c>
      <c r="E849" s="22" t="s">
        <v>16</v>
      </c>
      <c r="F849" s="22" t="s">
        <v>47</v>
      </c>
      <c r="G849" s="21">
        <v>3.83</v>
      </c>
      <c r="H849" s="21">
        <v>3.77</v>
      </c>
      <c r="I849" s="23">
        <v>7.6</v>
      </c>
      <c r="J849" s="33"/>
      <c r="K849" s="33"/>
    </row>
    <row r="850">
      <c r="A850" s="15">
        <v>2014.0</v>
      </c>
      <c r="B850" s="16">
        <v>10.0</v>
      </c>
      <c r="C850" s="16">
        <v>1.0</v>
      </c>
      <c r="D850" s="16">
        <v>9.0</v>
      </c>
      <c r="E850" s="17" t="s">
        <v>16</v>
      </c>
      <c r="F850" s="17" t="s">
        <v>124</v>
      </c>
      <c r="G850" s="16">
        <v>6.73</v>
      </c>
      <c r="H850" s="16">
        <v>6.1</v>
      </c>
      <c r="I850" s="19">
        <v>12.83</v>
      </c>
      <c r="J850" s="33"/>
      <c r="K850" s="33"/>
    </row>
    <row r="851">
      <c r="A851" s="20">
        <v>2014.0</v>
      </c>
      <c r="B851" s="21">
        <v>10.0</v>
      </c>
      <c r="C851" s="21">
        <v>1.0</v>
      </c>
      <c r="D851" s="21">
        <v>10.0</v>
      </c>
      <c r="E851" s="22" t="s">
        <v>16</v>
      </c>
      <c r="F851" s="22" t="s">
        <v>32</v>
      </c>
      <c r="G851" s="21">
        <v>4.27</v>
      </c>
      <c r="H851" s="21">
        <v>3.1</v>
      </c>
      <c r="I851" s="23">
        <v>7.37</v>
      </c>
      <c r="J851" s="33"/>
      <c r="K851" s="33"/>
    </row>
    <row r="852">
      <c r="A852" s="15">
        <v>2014.0</v>
      </c>
      <c r="B852" s="16">
        <v>10.0</v>
      </c>
      <c r="C852" s="16">
        <v>1.0</v>
      </c>
      <c r="D852" s="16">
        <v>10.0</v>
      </c>
      <c r="E852" s="17" t="s">
        <v>16</v>
      </c>
      <c r="F852" s="17" t="s">
        <v>55</v>
      </c>
      <c r="G852" s="16">
        <v>5.37</v>
      </c>
      <c r="H852" s="16">
        <v>5.23</v>
      </c>
      <c r="I852" s="19">
        <v>10.6</v>
      </c>
      <c r="J852" s="33"/>
      <c r="K852" s="33"/>
    </row>
    <row r="853">
      <c r="A853" s="20">
        <v>2014.0</v>
      </c>
      <c r="B853" s="21">
        <v>10.0</v>
      </c>
      <c r="C853" s="21">
        <v>1.0</v>
      </c>
      <c r="D853" s="21">
        <v>10.0</v>
      </c>
      <c r="E853" s="22" t="s">
        <v>16</v>
      </c>
      <c r="F853" s="22" t="s">
        <v>29</v>
      </c>
      <c r="G853" s="21">
        <v>6.23</v>
      </c>
      <c r="H853" s="21">
        <v>4.27</v>
      </c>
      <c r="I853" s="23">
        <v>10.5</v>
      </c>
      <c r="J853" s="33"/>
      <c r="K853" s="33"/>
    </row>
    <row r="854">
      <c r="A854" s="15">
        <v>2014.0</v>
      </c>
      <c r="B854" s="16">
        <v>10.0</v>
      </c>
      <c r="C854" s="16">
        <v>1.0</v>
      </c>
      <c r="D854" s="16">
        <v>11.0</v>
      </c>
      <c r="E854" s="17" t="s">
        <v>16</v>
      </c>
      <c r="F854" s="17" t="s">
        <v>45</v>
      </c>
      <c r="G854" s="16">
        <v>7.9</v>
      </c>
      <c r="H854" s="16">
        <v>7.23</v>
      </c>
      <c r="I854" s="19">
        <v>15.13</v>
      </c>
      <c r="J854" s="33"/>
      <c r="K854" s="33"/>
    </row>
    <row r="855">
      <c r="A855" s="20">
        <v>2014.0</v>
      </c>
      <c r="B855" s="21">
        <v>10.0</v>
      </c>
      <c r="C855" s="21">
        <v>1.0</v>
      </c>
      <c r="D855" s="21">
        <v>11.0</v>
      </c>
      <c r="E855" s="22" t="s">
        <v>16</v>
      </c>
      <c r="F855" s="22" t="s">
        <v>59</v>
      </c>
      <c r="G855" s="21">
        <v>7.33</v>
      </c>
      <c r="H855" s="21">
        <v>6.67</v>
      </c>
      <c r="I855" s="23">
        <v>14.0</v>
      </c>
      <c r="J855" s="33"/>
      <c r="K855" s="33"/>
    </row>
    <row r="856">
      <c r="A856" s="15">
        <v>2014.0</v>
      </c>
      <c r="B856" s="16">
        <v>10.0</v>
      </c>
      <c r="C856" s="16">
        <v>1.0</v>
      </c>
      <c r="D856" s="16">
        <v>11.0</v>
      </c>
      <c r="E856" s="17" t="s">
        <v>16</v>
      </c>
      <c r="F856" s="17" t="s">
        <v>126</v>
      </c>
      <c r="G856" s="16">
        <v>5.6</v>
      </c>
      <c r="H856" s="16">
        <v>5.0</v>
      </c>
      <c r="I856" s="19">
        <v>10.6</v>
      </c>
      <c r="J856" s="33"/>
      <c r="K856" s="33"/>
    </row>
    <row r="857">
      <c r="A857" s="20">
        <v>2014.0</v>
      </c>
      <c r="B857" s="21">
        <v>10.0</v>
      </c>
      <c r="C857" s="21">
        <v>1.0</v>
      </c>
      <c r="D857" s="21">
        <v>12.0</v>
      </c>
      <c r="E857" s="22" t="s">
        <v>16</v>
      </c>
      <c r="F857" s="22" t="s">
        <v>57</v>
      </c>
      <c r="G857" s="21">
        <v>8.83</v>
      </c>
      <c r="H857" s="21">
        <v>7.33</v>
      </c>
      <c r="I857" s="23">
        <v>16.16</v>
      </c>
      <c r="J857" s="33"/>
      <c r="K857" s="33"/>
    </row>
    <row r="858">
      <c r="A858" s="15">
        <v>2014.0</v>
      </c>
      <c r="B858" s="16">
        <v>10.0</v>
      </c>
      <c r="C858" s="16">
        <v>1.0</v>
      </c>
      <c r="D858" s="16">
        <v>12.0</v>
      </c>
      <c r="E858" s="17" t="s">
        <v>16</v>
      </c>
      <c r="F858" s="17" t="s">
        <v>56</v>
      </c>
      <c r="G858" s="16">
        <v>7.0</v>
      </c>
      <c r="H858" s="16">
        <v>3.27</v>
      </c>
      <c r="I858" s="19">
        <v>10.27</v>
      </c>
      <c r="J858" s="33"/>
      <c r="K858" s="33"/>
    </row>
    <row r="859">
      <c r="A859" s="20">
        <v>2014.0</v>
      </c>
      <c r="B859" s="21">
        <v>10.0</v>
      </c>
      <c r="C859" s="21">
        <v>1.0</v>
      </c>
      <c r="D859" s="21">
        <v>12.0</v>
      </c>
      <c r="E859" s="22" t="s">
        <v>16</v>
      </c>
      <c r="F859" s="22" t="s">
        <v>120</v>
      </c>
      <c r="G859" s="21">
        <v>7.03</v>
      </c>
      <c r="H859" s="21">
        <v>5.9</v>
      </c>
      <c r="I859" s="23">
        <v>12.93</v>
      </c>
      <c r="J859" s="33"/>
      <c r="K859" s="33"/>
    </row>
    <row r="860">
      <c r="A860" s="15">
        <v>2014.0</v>
      </c>
      <c r="B860" s="16">
        <v>10.0</v>
      </c>
      <c r="C860" s="16">
        <v>2.0</v>
      </c>
      <c r="D860" s="16">
        <v>1.0</v>
      </c>
      <c r="E860" s="17" t="s">
        <v>16</v>
      </c>
      <c r="F860" s="17" t="s">
        <v>41</v>
      </c>
      <c r="G860" s="16">
        <v>9.43</v>
      </c>
      <c r="H860" s="16">
        <v>8.5</v>
      </c>
      <c r="I860" s="19">
        <v>17.93</v>
      </c>
      <c r="J860" s="33"/>
      <c r="K860" s="33"/>
    </row>
    <row r="861">
      <c r="A861" s="20">
        <v>2014.0</v>
      </c>
      <c r="B861" s="21">
        <v>10.0</v>
      </c>
      <c r="C861" s="21">
        <v>2.0</v>
      </c>
      <c r="D861" s="21">
        <v>1.0</v>
      </c>
      <c r="E861" s="22" t="s">
        <v>16</v>
      </c>
      <c r="F861" s="22" t="s">
        <v>75</v>
      </c>
      <c r="G861" s="21">
        <v>6.0</v>
      </c>
      <c r="H861" s="21">
        <v>1.43</v>
      </c>
      <c r="I861" s="23">
        <v>7.43</v>
      </c>
      <c r="J861" s="33"/>
      <c r="K861" s="33"/>
    </row>
    <row r="862">
      <c r="A862" s="15">
        <v>2014.0</v>
      </c>
      <c r="B862" s="16">
        <v>10.0</v>
      </c>
      <c r="C862" s="16">
        <v>2.0</v>
      </c>
      <c r="D862" s="16">
        <v>2.0</v>
      </c>
      <c r="E862" s="17" t="s">
        <v>16</v>
      </c>
      <c r="F862" s="17" t="s">
        <v>26</v>
      </c>
      <c r="G862" s="16">
        <v>8.0</v>
      </c>
      <c r="H862" s="16">
        <v>3.67</v>
      </c>
      <c r="I862" s="19">
        <v>11.67</v>
      </c>
      <c r="J862" s="33"/>
      <c r="K862" s="33"/>
    </row>
    <row r="863">
      <c r="A863" s="20">
        <v>2014.0</v>
      </c>
      <c r="B863" s="21">
        <v>10.0</v>
      </c>
      <c r="C863" s="21">
        <v>2.0</v>
      </c>
      <c r="D863" s="21">
        <v>2.0</v>
      </c>
      <c r="E863" s="22" t="s">
        <v>16</v>
      </c>
      <c r="F863" s="22" t="s">
        <v>134</v>
      </c>
      <c r="G863" s="21">
        <v>5.83</v>
      </c>
      <c r="H863" s="21">
        <v>3.83</v>
      </c>
      <c r="I863" s="23">
        <v>9.66</v>
      </c>
      <c r="J863" s="33"/>
      <c r="K863" s="33"/>
    </row>
    <row r="864">
      <c r="A864" s="15">
        <v>2014.0</v>
      </c>
      <c r="B864" s="16">
        <v>10.0</v>
      </c>
      <c r="C864" s="16">
        <v>2.0</v>
      </c>
      <c r="D864" s="16">
        <v>3.0</v>
      </c>
      <c r="E864" s="17" t="s">
        <v>16</v>
      </c>
      <c r="F864" s="17" t="s">
        <v>27</v>
      </c>
      <c r="G864" s="16">
        <v>3.63</v>
      </c>
      <c r="H864" s="16">
        <v>2.17</v>
      </c>
      <c r="I864" s="19">
        <v>5.8</v>
      </c>
      <c r="J864" s="33"/>
      <c r="K864" s="33"/>
    </row>
    <row r="865">
      <c r="A865" s="20">
        <v>2014.0</v>
      </c>
      <c r="B865" s="21">
        <v>10.0</v>
      </c>
      <c r="C865" s="21">
        <v>2.0</v>
      </c>
      <c r="D865" s="21">
        <v>3.0</v>
      </c>
      <c r="E865" s="22" t="s">
        <v>16</v>
      </c>
      <c r="F865" s="22" t="s">
        <v>131</v>
      </c>
      <c r="G865" s="21">
        <v>3.5</v>
      </c>
      <c r="H865" s="21">
        <v>1.77</v>
      </c>
      <c r="I865" s="23">
        <v>5.27</v>
      </c>
      <c r="J865" s="33"/>
      <c r="K865" s="33"/>
    </row>
    <row r="866">
      <c r="A866" s="15">
        <v>2014.0</v>
      </c>
      <c r="B866" s="16">
        <v>10.0</v>
      </c>
      <c r="C866" s="16">
        <v>2.0</v>
      </c>
      <c r="D866" s="16">
        <v>4.0</v>
      </c>
      <c r="E866" s="17" t="s">
        <v>16</v>
      </c>
      <c r="F866" s="17" t="s">
        <v>32</v>
      </c>
      <c r="G866" s="16">
        <v>5.6</v>
      </c>
      <c r="H866" s="16">
        <v>5.17</v>
      </c>
      <c r="I866" s="19">
        <v>10.77</v>
      </c>
      <c r="J866" s="33"/>
      <c r="K866" s="33"/>
    </row>
    <row r="867">
      <c r="A867" s="20">
        <v>2014.0</v>
      </c>
      <c r="B867" s="21">
        <v>10.0</v>
      </c>
      <c r="C867" s="21">
        <v>2.0</v>
      </c>
      <c r="D867" s="21">
        <v>4.0</v>
      </c>
      <c r="E867" s="22" t="s">
        <v>16</v>
      </c>
      <c r="F867" s="22" t="s">
        <v>50</v>
      </c>
      <c r="G867" s="21">
        <v>6.33</v>
      </c>
      <c r="H867" s="21">
        <v>2.5</v>
      </c>
      <c r="I867" s="23">
        <v>8.83</v>
      </c>
      <c r="J867" s="33"/>
      <c r="K867" s="33"/>
    </row>
    <row r="868">
      <c r="A868" s="15">
        <v>2014.0</v>
      </c>
      <c r="B868" s="16">
        <v>10.0</v>
      </c>
      <c r="C868" s="16">
        <v>2.0</v>
      </c>
      <c r="D868" s="16">
        <v>5.0</v>
      </c>
      <c r="E868" s="17" t="s">
        <v>16</v>
      </c>
      <c r="F868" s="17" t="s">
        <v>56</v>
      </c>
      <c r="G868" s="16">
        <v>7.1</v>
      </c>
      <c r="H868" s="16">
        <v>6.33</v>
      </c>
      <c r="I868" s="19">
        <v>13.43</v>
      </c>
      <c r="J868" s="33"/>
      <c r="K868" s="33"/>
    </row>
    <row r="869">
      <c r="A869" s="20">
        <v>2014.0</v>
      </c>
      <c r="B869" s="21">
        <v>10.0</v>
      </c>
      <c r="C869" s="21">
        <v>2.0</v>
      </c>
      <c r="D869" s="21">
        <v>5.0</v>
      </c>
      <c r="E869" s="22" t="s">
        <v>16</v>
      </c>
      <c r="F869" s="22" t="s">
        <v>91</v>
      </c>
      <c r="G869" s="21">
        <v>7.0</v>
      </c>
      <c r="H869" s="21">
        <v>6.87</v>
      </c>
      <c r="I869" s="23">
        <v>13.87</v>
      </c>
      <c r="J869" s="33"/>
      <c r="K869" s="33"/>
    </row>
    <row r="870">
      <c r="A870" s="15">
        <v>2014.0</v>
      </c>
      <c r="B870" s="16">
        <v>10.0</v>
      </c>
      <c r="C870" s="16">
        <v>2.0</v>
      </c>
      <c r="D870" s="16">
        <v>6.0</v>
      </c>
      <c r="E870" s="17" t="s">
        <v>16</v>
      </c>
      <c r="F870" s="17" t="s">
        <v>59</v>
      </c>
      <c r="G870" s="16">
        <v>4.57</v>
      </c>
      <c r="H870" s="16">
        <v>4.17</v>
      </c>
      <c r="I870" s="19">
        <v>8.74</v>
      </c>
      <c r="J870" s="33"/>
      <c r="K870" s="33"/>
    </row>
    <row r="871">
      <c r="A871" s="20">
        <v>2014.0</v>
      </c>
      <c r="B871" s="21">
        <v>10.0</v>
      </c>
      <c r="C871" s="21">
        <v>2.0</v>
      </c>
      <c r="D871" s="21">
        <v>6.0</v>
      </c>
      <c r="E871" s="22" t="s">
        <v>16</v>
      </c>
      <c r="F871" s="22" t="s">
        <v>122</v>
      </c>
      <c r="G871" s="21">
        <v>1.4</v>
      </c>
      <c r="H871" s="21">
        <v>1.27</v>
      </c>
      <c r="I871" s="23">
        <v>2.67</v>
      </c>
      <c r="J871" s="33"/>
      <c r="K871" s="33"/>
    </row>
    <row r="872">
      <c r="A872" s="15">
        <v>2014.0</v>
      </c>
      <c r="B872" s="16">
        <v>10.0</v>
      </c>
      <c r="C872" s="16">
        <v>2.0</v>
      </c>
      <c r="D872" s="16">
        <v>7.0</v>
      </c>
      <c r="E872" s="17" t="s">
        <v>16</v>
      </c>
      <c r="F872" s="17" t="s">
        <v>47</v>
      </c>
      <c r="G872" s="16">
        <v>1.0</v>
      </c>
      <c r="H872" s="16">
        <v>0.7</v>
      </c>
      <c r="I872" s="19">
        <v>1.7</v>
      </c>
      <c r="J872" s="33"/>
      <c r="K872" s="33"/>
    </row>
    <row r="873">
      <c r="A873" s="20">
        <v>2014.0</v>
      </c>
      <c r="B873" s="21">
        <v>10.0</v>
      </c>
      <c r="C873" s="21">
        <v>2.0</v>
      </c>
      <c r="D873" s="21">
        <v>7.0</v>
      </c>
      <c r="E873" s="22" t="s">
        <v>16</v>
      </c>
      <c r="F873" s="22" t="s">
        <v>107</v>
      </c>
      <c r="G873" s="21">
        <v>5.5</v>
      </c>
      <c r="H873" s="21">
        <v>3.67</v>
      </c>
      <c r="I873" s="23">
        <v>9.17</v>
      </c>
      <c r="J873" s="33"/>
      <c r="K873" s="33"/>
    </row>
    <row r="874">
      <c r="A874" s="15">
        <v>2014.0</v>
      </c>
      <c r="B874" s="16">
        <v>10.0</v>
      </c>
      <c r="C874" s="16">
        <v>2.0</v>
      </c>
      <c r="D874" s="16">
        <v>8.0</v>
      </c>
      <c r="E874" s="17" t="s">
        <v>16</v>
      </c>
      <c r="F874" s="17" t="s">
        <v>31</v>
      </c>
      <c r="G874" s="16">
        <v>5.0</v>
      </c>
      <c r="H874" s="16">
        <v>2.83</v>
      </c>
      <c r="I874" s="19">
        <v>7.83</v>
      </c>
      <c r="J874" s="33"/>
      <c r="K874" s="33"/>
    </row>
    <row r="875">
      <c r="A875" s="20">
        <v>2014.0</v>
      </c>
      <c r="B875" s="21">
        <v>10.0</v>
      </c>
      <c r="C875" s="21">
        <v>2.0</v>
      </c>
      <c r="D875" s="21">
        <v>8.0</v>
      </c>
      <c r="E875" s="22" t="s">
        <v>16</v>
      </c>
      <c r="F875" s="22" t="s">
        <v>76</v>
      </c>
      <c r="G875" s="21">
        <v>5.0</v>
      </c>
      <c r="H875" s="21">
        <v>3.23</v>
      </c>
      <c r="I875" s="23">
        <v>8.23</v>
      </c>
      <c r="J875" s="33"/>
      <c r="K875" s="33"/>
    </row>
    <row r="876">
      <c r="A876" s="15">
        <v>2014.0</v>
      </c>
      <c r="B876" s="16">
        <v>10.0</v>
      </c>
      <c r="C876" s="16">
        <v>2.0</v>
      </c>
      <c r="D876" s="16">
        <v>9.0</v>
      </c>
      <c r="E876" s="17" t="s">
        <v>16</v>
      </c>
      <c r="F876" s="17" t="s">
        <v>123</v>
      </c>
      <c r="G876" s="16">
        <v>5.0</v>
      </c>
      <c r="H876" s="16">
        <v>4.33</v>
      </c>
      <c r="I876" s="19">
        <v>9.33</v>
      </c>
      <c r="J876" s="33"/>
      <c r="K876" s="33"/>
    </row>
    <row r="877">
      <c r="A877" s="20">
        <v>2014.0</v>
      </c>
      <c r="B877" s="21">
        <v>10.0</v>
      </c>
      <c r="C877" s="21">
        <v>2.0</v>
      </c>
      <c r="D877" s="21">
        <v>9.0</v>
      </c>
      <c r="E877" s="22" t="s">
        <v>16</v>
      </c>
      <c r="F877" s="22" t="s">
        <v>124</v>
      </c>
      <c r="G877" s="21">
        <v>3.7</v>
      </c>
      <c r="H877" s="21">
        <v>2.17</v>
      </c>
      <c r="I877" s="23">
        <v>5.87</v>
      </c>
      <c r="J877" s="33"/>
      <c r="K877" s="33"/>
    </row>
    <row r="878">
      <c r="A878" s="15">
        <v>2014.0</v>
      </c>
      <c r="B878" s="16">
        <v>10.0</v>
      </c>
      <c r="C878" s="16">
        <v>2.0</v>
      </c>
      <c r="D878" s="16">
        <v>10.0</v>
      </c>
      <c r="E878" s="17" t="s">
        <v>16</v>
      </c>
      <c r="F878" s="17" t="s">
        <v>125</v>
      </c>
      <c r="G878" s="16">
        <v>0.0</v>
      </c>
      <c r="H878" s="16">
        <v>0.0</v>
      </c>
      <c r="I878" s="19">
        <v>0.0</v>
      </c>
      <c r="J878" s="33"/>
      <c r="K878" s="33"/>
    </row>
    <row r="879">
      <c r="A879" s="20">
        <v>2014.0</v>
      </c>
      <c r="B879" s="21">
        <v>10.0</v>
      </c>
      <c r="C879" s="21">
        <v>2.0</v>
      </c>
      <c r="D879" s="21">
        <v>10.0</v>
      </c>
      <c r="E879" s="22" t="s">
        <v>16</v>
      </c>
      <c r="F879" s="22" t="s">
        <v>29</v>
      </c>
      <c r="G879" s="21">
        <v>5.0</v>
      </c>
      <c r="H879" s="21">
        <v>5.0</v>
      </c>
      <c r="I879" s="23">
        <v>10.0</v>
      </c>
      <c r="J879" s="33"/>
      <c r="K879" s="33"/>
    </row>
    <row r="880">
      <c r="A880" s="15">
        <v>2014.0</v>
      </c>
      <c r="B880" s="16">
        <v>10.0</v>
      </c>
      <c r="C880" s="16">
        <v>2.0</v>
      </c>
      <c r="D880" s="16">
        <v>11.0</v>
      </c>
      <c r="E880" s="17" t="s">
        <v>16</v>
      </c>
      <c r="F880" s="17" t="s">
        <v>34</v>
      </c>
      <c r="G880" s="16">
        <v>5.67</v>
      </c>
      <c r="H880" s="16">
        <v>5.33</v>
      </c>
      <c r="I880" s="19">
        <v>11.0</v>
      </c>
      <c r="J880" s="33"/>
      <c r="K880" s="33"/>
    </row>
    <row r="881">
      <c r="A881" s="20">
        <v>2014.0</v>
      </c>
      <c r="B881" s="21">
        <v>10.0</v>
      </c>
      <c r="C881" s="21">
        <v>2.0</v>
      </c>
      <c r="D881" s="21">
        <v>11.0</v>
      </c>
      <c r="E881" s="22" t="s">
        <v>16</v>
      </c>
      <c r="F881" s="22" t="s">
        <v>126</v>
      </c>
      <c r="G881" s="21">
        <v>8.87</v>
      </c>
      <c r="H881" s="21">
        <v>4.33</v>
      </c>
      <c r="I881" s="23">
        <v>13.2</v>
      </c>
      <c r="J881" s="33"/>
      <c r="K881" s="33"/>
    </row>
    <row r="882">
      <c r="A882" s="15">
        <v>2014.0</v>
      </c>
      <c r="B882" s="16">
        <v>10.0</v>
      </c>
      <c r="C882" s="16">
        <v>2.0</v>
      </c>
      <c r="D882" s="16">
        <v>12.0</v>
      </c>
      <c r="E882" s="17" t="s">
        <v>16</v>
      </c>
      <c r="F882" s="17" t="s">
        <v>60</v>
      </c>
      <c r="G882" s="16">
        <v>7.33</v>
      </c>
      <c r="H882" s="16">
        <v>5.17</v>
      </c>
      <c r="I882" s="19">
        <v>12.5</v>
      </c>
      <c r="J882" s="33"/>
      <c r="K882" s="33"/>
    </row>
    <row r="883">
      <c r="A883" s="20">
        <v>2014.0</v>
      </c>
      <c r="B883" s="21">
        <v>10.0</v>
      </c>
      <c r="C883" s="21">
        <v>2.0</v>
      </c>
      <c r="D883" s="21">
        <v>12.0</v>
      </c>
      <c r="E883" s="22" t="s">
        <v>16</v>
      </c>
      <c r="F883" s="22" t="s">
        <v>120</v>
      </c>
      <c r="G883" s="21">
        <v>3.77</v>
      </c>
      <c r="H883" s="21">
        <v>3.13</v>
      </c>
      <c r="I883" s="23">
        <v>6.9</v>
      </c>
      <c r="J883" s="33"/>
      <c r="K883" s="33"/>
    </row>
    <row r="884">
      <c r="A884" s="15">
        <v>2014.0</v>
      </c>
      <c r="B884" s="16">
        <v>10.0</v>
      </c>
      <c r="C884" s="16">
        <v>3.0</v>
      </c>
      <c r="D884" s="16">
        <v>1.0</v>
      </c>
      <c r="E884" s="17" t="s">
        <v>16</v>
      </c>
      <c r="F884" s="17" t="s">
        <v>39</v>
      </c>
      <c r="G884" s="16">
        <v>4.1</v>
      </c>
      <c r="H884" s="16">
        <v>3.83</v>
      </c>
      <c r="I884" s="19">
        <v>7.93</v>
      </c>
      <c r="J884" s="33"/>
      <c r="K884" s="33"/>
    </row>
    <row r="885">
      <c r="A885" s="20">
        <v>2014.0</v>
      </c>
      <c r="B885" s="21">
        <v>10.0</v>
      </c>
      <c r="C885" s="21">
        <v>3.0</v>
      </c>
      <c r="D885" s="21">
        <v>1.0</v>
      </c>
      <c r="E885" s="22" t="s">
        <v>16</v>
      </c>
      <c r="F885" s="22" t="s">
        <v>29</v>
      </c>
      <c r="G885" s="21">
        <v>6.33</v>
      </c>
      <c r="H885" s="21">
        <v>5.33</v>
      </c>
      <c r="I885" s="23">
        <v>11.66</v>
      </c>
      <c r="J885" s="33"/>
      <c r="K885" s="33"/>
    </row>
    <row r="886">
      <c r="A886" s="15">
        <v>2014.0</v>
      </c>
      <c r="B886" s="16">
        <v>10.0</v>
      </c>
      <c r="C886" s="16">
        <v>3.0</v>
      </c>
      <c r="D886" s="16">
        <v>2.0</v>
      </c>
      <c r="E886" s="17" t="s">
        <v>16</v>
      </c>
      <c r="F886" s="17" t="s">
        <v>28</v>
      </c>
      <c r="G886" s="16">
        <v>9.5</v>
      </c>
      <c r="H886" s="16">
        <v>6.33</v>
      </c>
      <c r="I886" s="19">
        <v>15.83</v>
      </c>
      <c r="J886" s="33"/>
      <c r="K886" s="33"/>
    </row>
    <row r="887">
      <c r="A887" s="20">
        <v>2014.0</v>
      </c>
      <c r="B887" s="21">
        <v>10.0</v>
      </c>
      <c r="C887" s="21">
        <v>3.0</v>
      </c>
      <c r="D887" s="21">
        <v>2.0</v>
      </c>
      <c r="E887" s="22" t="s">
        <v>16</v>
      </c>
      <c r="F887" s="22" t="s">
        <v>123</v>
      </c>
      <c r="G887" s="21">
        <v>5.83</v>
      </c>
      <c r="H887" s="21">
        <v>3.0</v>
      </c>
      <c r="I887" s="23">
        <v>8.83</v>
      </c>
      <c r="J887" s="33"/>
      <c r="K887" s="33"/>
    </row>
    <row r="888">
      <c r="A888" s="15">
        <v>2014.0</v>
      </c>
      <c r="B888" s="16">
        <v>10.0</v>
      </c>
      <c r="C888" s="16">
        <v>3.0</v>
      </c>
      <c r="D888" s="16">
        <v>3.0</v>
      </c>
      <c r="E888" s="17" t="s">
        <v>16</v>
      </c>
      <c r="F888" s="17" t="s">
        <v>26</v>
      </c>
      <c r="G888" s="16">
        <v>10.0</v>
      </c>
      <c r="H888" s="16">
        <v>8.77</v>
      </c>
      <c r="I888" s="19">
        <v>18.77</v>
      </c>
      <c r="J888" s="33"/>
      <c r="K888" s="33"/>
    </row>
    <row r="889">
      <c r="A889" s="20">
        <v>2014.0</v>
      </c>
      <c r="B889" s="21">
        <v>10.0</v>
      </c>
      <c r="C889" s="21">
        <v>3.0</v>
      </c>
      <c r="D889" s="21">
        <v>3.0</v>
      </c>
      <c r="E889" s="22" t="s">
        <v>16</v>
      </c>
      <c r="F889" s="22" t="s">
        <v>126</v>
      </c>
      <c r="G889" s="21">
        <v>7.67</v>
      </c>
      <c r="H889" s="21">
        <v>5.6</v>
      </c>
      <c r="I889" s="23">
        <v>13.27</v>
      </c>
      <c r="J889" s="33"/>
      <c r="K889" s="33"/>
    </row>
    <row r="890">
      <c r="A890" s="15">
        <v>2014.0</v>
      </c>
      <c r="B890" s="16">
        <v>10.0</v>
      </c>
      <c r="C890" s="16">
        <v>3.0</v>
      </c>
      <c r="D890" s="16">
        <v>4.0</v>
      </c>
      <c r="E890" s="17" t="s">
        <v>16</v>
      </c>
      <c r="F890" s="17" t="s">
        <v>42</v>
      </c>
      <c r="G890" s="16">
        <v>8.07</v>
      </c>
      <c r="H890" s="16">
        <v>3.0</v>
      </c>
      <c r="I890" s="19">
        <v>11.07</v>
      </c>
      <c r="J890" s="33"/>
      <c r="K890" s="33"/>
    </row>
    <row r="891">
      <c r="A891" s="20">
        <v>2014.0</v>
      </c>
      <c r="B891" s="21">
        <v>10.0</v>
      </c>
      <c r="C891" s="21">
        <v>3.0</v>
      </c>
      <c r="D891" s="21">
        <v>4.0</v>
      </c>
      <c r="E891" s="22" t="s">
        <v>16</v>
      </c>
      <c r="F891" s="22" t="s">
        <v>35</v>
      </c>
      <c r="G891" s="21">
        <v>5.17</v>
      </c>
      <c r="H891" s="21">
        <v>1.5</v>
      </c>
      <c r="I891" s="23">
        <v>6.67</v>
      </c>
      <c r="J891" s="33"/>
      <c r="K891" s="33"/>
    </row>
    <row r="892">
      <c r="A892" s="15">
        <v>2014.0</v>
      </c>
      <c r="B892" s="16">
        <v>10.0</v>
      </c>
      <c r="C892" s="16">
        <v>3.0</v>
      </c>
      <c r="D892" s="16">
        <v>5.0</v>
      </c>
      <c r="E892" s="17" t="s">
        <v>16</v>
      </c>
      <c r="F892" s="17" t="s">
        <v>57</v>
      </c>
      <c r="G892" s="16">
        <v>1.43</v>
      </c>
      <c r="H892" s="16">
        <v>1.4</v>
      </c>
      <c r="I892" s="19">
        <v>2.83</v>
      </c>
      <c r="J892" s="33"/>
      <c r="K892" s="33"/>
    </row>
    <row r="893">
      <c r="A893" s="20">
        <v>2014.0</v>
      </c>
      <c r="B893" s="21">
        <v>10.0</v>
      </c>
      <c r="C893" s="21">
        <v>3.0</v>
      </c>
      <c r="D893" s="21">
        <v>5.0</v>
      </c>
      <c r="E893" s="22" t="s">
        <v>16</v>
      </c>
      <c r="F893" s="22" t="s">
        <v>59</v>
      </c>
      <c r="G893" s="21">
        <v>6.5</v>
      </c>
      <c r="H893" s="21">
        <v>4.4</v>
      </c>
      <c r="I893" s="23">
        <v>10.9</v>
      </c>
      <c r="J893" s="33"/>
      <c r="K893" s="33"/>
    </row>
    <row r="894">
      <c r="A894" s="15">
        <v>2014.0</v>
      </c>
      <c r="B894" s="16">
        <v>10.0</v>
      </c>
      <c r="C894" s="16">
        <v>3.0</v>
      </c>
      <c r="D894" s="16">
        <v>6.0</v>
      </c>
      <c r="E894" s="17" t="s">
        <v>16</v>
      </c>
      <c r="F894" s="17" t="s">
        <v>30</v>
      </c>
      <c r="G894" s="16">
        <v>6.73</v>
      </c>
      <c r="H894" s="16">
        <v>5.33</v>
      </c>
      <c r="I894" s="19">
        <v>12.06</v>
      </c>
      <c r="J894" s="33"/>
      <c r="K894" s="33"/>
    </row>
    <row r="895">
      <c r="A895" s="20">
        <v>2014.0</v>
      </c>
      <c r="B895" s="21">
        <v>10.0</v>
      </c>
      <c r="C895" s="21">
        <v>3.0</v>
      </c>
      <c r="D895" s="21">
        <v>6.0</v>
      </c>
      <c r="E895" s="22" t="s">
        <v>16</v>
      </c>
      <c r="F895" s="22" t="s">
        <v>91</v>
      </c>
      <c r="G895" s="21">
        <v>7.33</v>
      </c>
      <c r="H895" s="21">
        <v>5.17</v>
      </c>
      <c r="I895" s="23">
        <v>12.5</v>
      </c>
      <c r="J895" s="33"/>
      <c r="K895" s="33"/>
    </row>
    <row r="896">
      <c r="A896" s="15">
        <v>2014.0</v>
      </c>
      <c r="B896" s="16">
        <v>10.0</v>
      </c>
      <c r="C896" s="16">
        <v>3.0</v>
      </c>
      <c r="D896" s="16">
        <v>7.0</v>
      </c>
      <c r="E896" s="17" t="s">
        <v>16</v>
      </c>
      <c r="F896" s="17" t="s">
        <v>37</v>
      </c>
      <c r="G896" s="16">
        <v>4.17</v>
      </c>
      <c r="H896" s="16">
        <v>2.13</v>
      </c>
      <c r="I896" s="19">
        <v>6.3</v>
      </c>
      <c r="J896" s="33"/>
      <c r="K896" s="33"/>
    </row>
    <row r="897">
      <c r="A897" s="20">
        <v>2014.0</v>
      </c>
      <c r="B897" s="21">
        <v>10.0</v>
      </c>
      <c r="C897" s="21">
        <v>3.0</v>
      </c>
      <c r="D897" s="21">
        <v>7.0</v>
      </c>
      <c r="E897" s="22" t="s">
        <v>16</v>
      </c>
      <c r="F897" s="22" t="s">
        <v>107</v>
      </c>
      <c r="G897" s="21">
        <v>7.5</v>
      </c>
      <c r="H897" s="21">
        <v>4.5</v>
      </c>
      <c r="I897" s="23">
        <v>12.0</v>
      </c>
      <c r="J897" s="33"/>
      <c r="K897" s="33"/>
    </row>
    <row r="898">
      <c r="A898" s="15">
        <v>2014.0</v>
      </c>
      <c r="B898" s="16">
        <v>10.0</v>
      </c>
      <c r="C898" s="16">
        <v>3.0</v>
      </c>
      <c r="D898" s="16">
        <v>8.0</v>
      </c>
      <c r="E898" s="17" t="s">
        <v>16</v>
      </c>
      <c r="F898" s="17" t="s">
        <v>45</v>
      </c>
      <c r="G898" s="16">
        <v>8.0</v>
      </c>
      <c r="H898" s="16">
        <v>5.27</v>
      </c>
      <c r="I898" s="19">
        <v>13.27</v>
      </c>
      <c r="J898" s="33"/>
      <c r="K898" s="33"/>
    </row>
    <row r="899">
      <c r="A899" s="20">
        <v>2014.0</v>
      </c>
      <c r="B899" s="21">
        <v>10.0</v>
      </c>
      <c r="C899" s="21">
        <v>3.0</v>
      </c>
      <c r="D899" s="21">
        <v>8.0</v>
      </c>
      <c r="E899" s="22" t="s">
        <v>16</v>
      </c>
      <c r="F899" s="22" t="s">
        <v>55</v>
      </c>
      <c r="G899" s="21">
        <v>8.77</v>
      </c>
      <c r="H899" s="21">
        <v>4.3</v>
      </c>
      <c r="I899" s="23">
        <v>13.07</v>
      </c>
      <c r="J899" s="33"/>
      <c r="K899" s="33"/>
    </row>
    <row r="900">
      <c r="A900" s="15">
        <v>2014.0</v>
      </c>
      <c r="B900" s="16">
        <v>10.0</v>
      </c>
      <c r="C900" s="16">
        <v>3.0</v>
      </c>
      <c r="D900" s="16">
        <v>9.0</v>
      </c>
      <c r="E900" s="17" t="s">
        <v>16</v>
      </c>
      <c r="F900" s="17" t="s">
        <v>27</v>
      </c>
      <c r="G900" s="16">
        <v>8.6</v>
      </c>
      <c r="H900" s="16">
        <v>6.5</v>
      </c>
      <c r="I900" s="19">
        <v>15.1</v>
      </c>
      <c r="J900" s="33"/>
      <c r="K900" s="33"/>
    </row>
    <row r="901">
      <c r="A901" s="20">
        <v>2014.0</v>
      </c>
      <c r="B901" s="21">
        <v>10.0</v>
      </c>
      <c r="C901" s="21">
        <v>3.0</v>
      </c>
      <c r="D901" s="21">
        <v>9.0</v>
      </c>
      <c r="E901" s="22" t="s">
        <v>16</v>
      </c>
      <c r="F901" s="22" t="s">
        <v>38</v>
      </c>
      <c r="G901" s="21">
        <v>7.67</v>
      </c>
      <c r="H901" s="21">
        <v>3.83</v>
      </c>
      <c r="I901" s="23">
        <v>11.5</v>
      </c>
      <c r="J901" s="33"/>
      <c r="K901" s="33"/>
    </row>
    <row r="902">
      <c r="A902" s="15">
        <v>2014.0</v>
      </c>
      <c r="B902" s="16">
        <v>10.0</v>
      </c>
      <c r="C902" s="16">
        <v>3.0</v>
      </c>
      <c r="D902" s="16">
        <v>10.0</v>
      </c>
      <c r="E902" s="17" t="s">
        <v>16</v>
      </c>
      <c r="F902" s="17" t="s">
        <v>62</v>
      </c>
      <c r="G902" s="16">
        <v>3.67</v>
      </c>
      <c r="H902" s="16">
        <v>2.33</v>
      </c>
      <c r="I902" s="19">
        <v>6.0</v>
      </c>
      <c r="J902" s="33"/>
      <c r="K902" s="33"/>
    </row>
    <row r="903">
      <c r="A903" s="20">
        <v>2014.0</v>
      </c>
      <c r="B903" s="21">
        <v>10.0</v>
      </c>
      <c r="C903" s="21">
        <v>3.0</v>
      </c>
      <c r="D903" s="21">
        <v>10.0</v>
      </c>
      <c r="E903" s="22" t="s">
        <v>16</v>
      </c>
      <c r="F903" s="22" t="s">
        <v>60</v>
      </c>
      <c r="G903" s="21">
        <v>9.37</v>
      </c>
      <c r="H903" s="21">
        <v>8.83</v>
      </c>
      <c r="I903" s="23">
        <v>18.2</v>
      </c>
      <c r="J903" s="33"/>
      <c r="K903" s="33"/>
    </row>
    <row r="904">
      <c r="A904" s="15">
        <v>2014.0</v>
      </c>
      <c r="B904" s="16">
        <v>10.0</v>
      </c>
      <c r="C904" s="16">
        <v>3.0</v>
      </c>
      <c r="D904" s="16">
        <v>11.0</v>
      </c>
      <c r="E904" s="17" t="s">
        <v>16</v>
      </c>
      <c r="F904" s="17" t="s">
        <v>32</v>
      </c>
      <c r="G904" s="16">
        <v>8.17</v>
      </c>
      <c r="H904" s="16">
        <v>5.0</v>
      </c>
      <c r="I904" s="19">
        <v>13.17</v>
      </c>
      <c r="J904" s="33"/>
      <c r="K904" s="33"/>
    </row>
    <row r="905">
      <c r="A905" s="20">
        <v>2014.0</v>
      </c>
      <c r="B905" s="21">
        <v>10.0</v>
      </c>
      <c r="C905" s="21">
        <v>3.0</v>
      </c>
      <c r="D905" s="21">
        <v>11.0</v>
      </c>
      <c r="E905" s="22" t="s">
        <v>16</v>
      </c>
      <c r="F905" s="22" t="s">
        <v>33</v>
      </c>
      <c r="G905" s="21">
        <v>8.83</v>
      </c>
      <c r="H905" s="21">
        <v>6.17</v>
      </c>
      <c r="I905" s="23">
        <v>15.0</v>
      </c>
      <c r="J905" s="33"/>
      <c r="K905" s="33"/>
    </row>
    <row r="906">
      <c r="A906" s="15">
        <v>2014.0</v>
      </c>
      <c r="B906" s="16">
        <v>10.0</v>
      </c>
      <c r="C906" s="16">
        <v>3.0</v>
      </c>
      <c r="D906" s="16">
        <v>12.0</v>
      </c>
      <c r="E906" s="17" t="s">
        <v>16</v>
      </c>
      <c r="F906" s="17" t="s">
        <v>41</v>
      </c>
      <c r="G906" s="16">
        <v>9.43</v>
      </c>
      <c r="H906" s="16">
        <v>4.67</v>
      </c>
      <c r="I906" s="19">
        <v>14.1</v>
      </c>
      <c r="J906" s="33"/>
      <c r="K906" s="33"/>
    </row>
    <row r="907">
      <c r="A907" s="20">
        <v>2014.0</v>
      </c>
      <c r="B907" s="21">
        <v>10.0</v>
      </c>
      <c r="C907" s="21">
        <v>3.0</v>
      </c>
      <c r="D907" s="21">
        <v>12.0</v>
      </c>
      <c r="E907" s="22" t="s">
        <v>16</v>
      </c>
      <c r="F907" s="22" t="s">
        <v>76</v>
      </c>
      <c r="G907" s="21">
        <v>8.0</v>
      </c>
      <c r="H907" s="21">
        <v>5.33</v>
      </c>
      <c r="I907" s="23">
        <v>13.33</v>
      </c>
      <c r="J907" s="33"/>
      <c r="K907" s="33"/>
    </row>
    <row r="908">
      <c r="A908" s="15">
        <v>2014.0</v>
      </c>
      <c r="B908" s="16">
        <v>10.0</v>
      </c>
      <c r="C908" s="16">
        <v>4.0</v>
      </c>
      <c r="D908" s="16">
        <v>1.0</v>
      </c>
      <c r="E908" s="17" t="s">
        <v>16</v>
      </c>
      <c r="F908" s="17" t="s">
        <v>29</v>
      </c>
      <c r="G908" s="16">
        <v>9.63</v>
      </c>
      <c r="H908" s="16">
        <v>4.33</v>
      </c>
      <c r="I908" s="19">
        <v>13.96</v>
      </c>
      <c r="J908" s="33"/>
      <c r="K908" s="33"/>
    </row>
    <row r="909">
      <c r="A909" s="20">
        <v>2014.0</v>
      </c>
      <c r="B909" s="21">
        <v>10.0</v>
      </c>
      <c r="C909" s="21">
        <v>4.0</v>
      </c>
      <c r="D909" s="21">
        <v>1.0</v>
      </c>
      <c r="E909" s="22" t="s">
        <v>16</v>
      </c>
      <c r="F909" s="22" t="s">
        <v>28</v>
      </c>
      <c r="G909" s="21">
        <v>6.93</v>
      </c>
      <c r="H909" s="21">
        <v>5.1</v>
      </c>
      <c r="I909" s="23">
        <v>12.03</v>
      </c>
      <c r="J909" s="33"/>
      <c r="K909" s="33"/>
    </row>
    <row r="910">
      <c r="A910" s="15">
        <v>2014.0</v>
      </c>
      <c r="B910" s="16">
        <v>10.0</v>
      </c>
      <c r="C910" s="16">
        <v>4.0</v>
      </c>
      <c r="D910" s="16">
        <v>1.0</v>
      </c>
      <c r="E910" s="17" t="s">
        <v>16</v>
      </c>
      <c r="F910" s="17" t="s">
        <v>26</v>
      </c>
      <c r="G910" s="16">
        <v>10.0</v>
      </c>
      <c r="H910" s="16">
        <v>7.27</v>
      </c>
      <c r="I910" s="19">
        <v>17.27</v>
      </c>
      <c r="J910" s="33"/>
      <c r="K910" s="33"/>
    </row>
    <row r="911">
      <c r="A911" s="20">
        <v>2014.0</v>
      </c>
      <c r="B911" s="21">
        <v>10.0</v>
      </c>
      <c r="C911" s="21">
        <v>4.0</v>
      </c>
      <c r="D911" s="21">
        <v>2.0</v>
      </c>
      <c r="E911" s="22" t="s">
        <v>16</v>
      </c>
      <c r="F911" s="22" t="s">
        <v>42</v>
      </c>
      <c r="G911" s="21">
        <v>8.83</v>
      </c>
      <c r="H911" s="21">
        <v>8.43</v>
      </c>
      <c r="I911" s="23">
        <v>17.26</v>
      </c>
      <c r="J911" s="33"/>
      <c r="K911" s="33"/>
    </row>
    <row r="912">
      <c r="A912" s="15">
        <v>2014.0</v>
      </c>
      <c r="B912" s="16">
        <v>10.0</v>
      </c>
      <c r="C912" s="16">
        <v>4.0</v>
      </c>
      <c r="D912" s="16">
        <v>2.0</v>
      </c>
      <c r="E912" s="17" t="s">
        <v>16</v>
      </c>
      <c r="F912" s="17" t="s">
        <v>59</v>
      </c>
      <c r="G912" s="16">
        <v>8.83</v>
      </c>
      <c r="H912" s="16">
        <v>1.83</v>
      </c>
      <c r="I912" s="19">
        <v>10.66</v>
      </c>
      <c r="J912" s="33"/>
      <c r="K912" s="33"/>
    </row>
    <row r="913">
      <c r="A913" s="20">
        <v>2014.0</v>
      </c>
      <c r="B913" s="21">
        <v>10.0</v>
      </c>
      <c r="C913" s="21">
        <v>4.0</v>
      </c>
      <c r="D913" s="21">
        <v>2.0</v>
      </c>
      <c r="E913" s="22" t="s">
        <v>16</v>
      </c>
      <c r="F913" s="22" t="s">
        <v>91</v>
      </c>
      <c r="G913" s="21">
        <v>6.67</v>
      </c>
      <c r="H913" s="21">
        <v>2.33</v>
      </c>
      <c r="I913" s="23">
        <v>9.0</v>
      </c>
      <c r="J913" s="33"/>
      <c r="K913" s="33"/>
    </row>
    <row r="914">
      <c r="A914" s="15">
        <v>2014.0</v>
      </c>
      <c r="B914" s="16">
        <v>10.0</v>
      </c>
      <c r="C914" s="16">
        <v>4.0</v>
      </c>
      <c r="D914" s="16">
        <v>3.0</v>
      </c>
      <c r="E914" s="17" t="s">
        <v>16</v>
      </c>
      <c r="F914" s="17" t="s">
        <v>107</v>
      </c>
      <c r="G914" s="16">
        <v>5.53</v>
      </c>
      <c r="H914" s="16">
        <v>1.13</v>
      </c>
      <c r="I914" s="19">
        <v>6.66</v>
      </c>
      <c r="J914" s="33"/>
      <c r="K914" s="33"/>
    </row>
    <row r="915">
      <c r="A915" s="20">
        <v>2014.0</v>
      </c>
      <c r="B915" s="21">
        <v>10.0</v>
      </c>
      <c r="C915" s="21">
        <v>4.0</v>
      </c>
      <c r="D915" s="21">
        <v>3.0</v>
      </c>
      <c r="E915" s="22" t="s">
        <v>16</v>
      </c>
      <c r="F915" s="22" t="s">
        <v>45</v>
      </c>
      <c r="G915" s="21">
        <v>6.93</v>
      </c>
      <c r="H915" s="21">
        <v>6.17</v>
      </c>
      <c r="I915" s="23">
        <v>13.1</v>
      </c>
      <c r="J915" s="33"/>
      <c r="K915" s="33"/>
    </row>
    <row r="916">
      <c r="A916" s="15">
        <v>2014.0</v>
      </c>
      <c r="B916" s="16">
        <v>10.0</v>
      </c>
      <c r="C916" s="16">
        <v>4.0</v>
      </c>
      <c r="D916" s="16">
        <v>3.0</v>
      </c>
      <c r="E916" s="17" t="s">
        <v>16</v>
      </c>
      <c r="F916" s="17" t="s">
        <v>27</v>
      </c>
      <c r="G916" s="16">
        <v>1.1</v>
      </c>
      <c r="H916" s="16">
        <v>0.93</v>
      </c>
      <c r="I916" s="19">
        <v>2.03</v>
      </c>
      <c r="J916" s="33"/>
      <c r="K916" s="33"/>
    </row>
    <row r="917">
      <c r="A917" s="20">
        <v>2014.0</v>
      </c>
      <c r="B917" s="21">
        <v>10.0</v>
      </c>
      <c r="C917" s="21">
        <v>4.0</v>
      </c>
      <c r="D917" s="21">
        <v>4.0</v>
      </c>
      <c r="E917" s="22" t="s">
        <v>16</v>
      </c>
      <c r="F917" s="22" t="s">
        <v>60</v>
      </c>
      <c r="G917" s="21">
        <v>2.67</v>
      </c>
      <c r="H917" s="21">
        <v>0.93</v>
      </c>
      <c r="I917" s="23">
        <v>3.6</v>
      </c>
      <c r="J917" s="33"/>
      <c r="K917" s="33"/>
    </row>
    <row r="918">
      <c r="A918" s="15">
        <v>2014.0</v>
      </c>
      <c r="B918" s="16">
        <v>10.0</v>
      </c>
      <c r="C918" s="16">
        <v>4.0</v>
      </c>
      <c r="D918" s="16">
        <v>4.0</v>
      </c>
      <c r="E918" s="17" t="s">
        <v>16</v>
      </c>
      <c r="F918" s="17" t="s">
        <v>33</v>
      </c>
      <c r="G918" s="16">
        <v>6.33</v>
      </c>
      <c r="H918" s="16">
        <v>1.43</v>
      </c>
      <c r="I918" s="19">
        <v>7.76</v>
      </c>
      <c r="J918" s="33"/>
      <c r="K918" s="33"/>
    </row>
    <row r="919">
      <c r="A919" s="20">
        <v>2014.0</v>
      </c>
      <c r="B919" s="21">
        <v>10.0</v>
      </c>
      <c r="C919" s="21">
        <v>4.0</v>
      </c>
      <c r="D919" s="21">
        <v>4.0</v>
      </c>
      <c r="E919" s="22" t="s">
        <v>16</v>
      </c>
      <c r="F919" s="22" t="s">
        <v>41</v>
      </c>
      <c r="G919" s="21">
        <v>9.57</v>
      </c>
      <c r="H919" s="21">
        <v>8.17</v>
      </c>
      <c r="I919" s="23">
        <v>17.74</v>
      </c>
      <c r="J919" s="33"/>
      <c r="K919" s="33"/>
    </row>
    <row r="920">
      <c r="A920" s="15">
        <v>2014.0</v>
      </c>
      <c r="B920" s="16">
        <v>10.0</v>
      </c>
      <c r="C920" s="16">
        <v>5.0</v>
      </c>
      <c r="D920" s="16">
        <v>1.0</v>
      </c>
      <c r="E920" s="17" t="s">
        <v>16</v>
      </c>
      <c r="F920" s="17" t="s">
        <v>29</v>
      </c>
      <c r="G920" s="16">
        <v>5.17</v>
      </c>
      <c r="H920" s="16">
        <v>2.33</v>
      </c>
      <c r="I920" s="19">
        <v>7.5</v>
      </c>
      <c r="J920" s="33"/>
      <c r="K920" s="33"/>
    </row>
    <row r="921">
      <c r="A921" s="20">
        <v>2014.0</v>
      </c>
      <c r="B921" s="21">
        <v>10.0</v>
      </c>
      <c r="C921" s="21">
        <v>5.0</v>
      </c>
      <c r="D921" s="21">
        <v>1.0</v>
      </c>
      <c r="E921" s="22" t="s">
        <v>16</v>
      </c>
      <c r="F921" s="22" t="s">
        <v>91</v>
      </c>
      <c r="G921" s="21">
        <v>4.17</v>
      </c>
      <c r="H921" s="21">
        <v>1.73</v>
      </c>
      <c r="I921" s="23">
        <v>5.9</v>
      </c>
      <c r="J921" s="33"/>
      <c r="K921" s="33"/>
    </row>
    <row r="922">
      <c r="A922" s="15">
        <v>2014.0</v>
      </c>
      <c r="B922" s="16">
        <v>10.0</v>
      </c>
      <c r="C922" s="16">
        <v>5.0</v>
      </c>
      <c r="D922" s="16">
        <v>2.0</v>
      </c>
      <c r="E922" s="17" t="s">
        <v>16</v>
      </c>
      <c r="F922" s="17" t="s">
        <v>59</v>
      </c>
      <c r="G922" s="16">
        <v>5.8</v>
      </c>
      <c r="H922" s="16">
        <v>3.83</v>
      </c>
      <c r="I922" s="19">
        <v>9.63</v>
      </c>
      <c r="J922" s="33"/>
      <c r="K922" s="33"/>
    </row>
    <row r="923">
      <c r="A923" s="20">
        <v>2014.0</v>
      </c>
      <c r="B923" s="21">
        <v>10.0</v>
      </c>
      <c r="C923" s="21">
        <v>5.0</v>
      </c>
      <c r="D923" s="21">
        <v>2.0</v>
      </c>
      <c r="E923" s="22" t="s">
        <v>16</v>
      </c>
      <c r="F923" s="22" t="s">
        <v>28</v>
      </c>
      <c r="G923" s="21">
        <v>7.43</v>
      </c>
      <c r="H923" s="21">
        <v>6.17</v>
      </c>
      <c r="I923" s="23">
        <v>13.6</v>
      </c>
      <c r="J923" s="33"/>
      <c r="K923" s="33"/>
    </row>
    <row r="924">
      <c r="A924" s="15">
        <v>2014.0</v>
      </c>
      <c r="B924" s="16">
        <v>10.0</v>
      </c>
      <c r="C924" s="16">
        <v>5.0</v>
      </c>
      <c r="D924" s="16">
        <v>3.0</v>
      </c>
      <c r="E924" s="17" t="s">
        <v>16</v>
      </c>
      <c r="F924" s="17" t="s">
        <v>107</v>
      </c>
      <c r="G924" s="16">
        <v>4.83</v>
      </c>
      <c r="H924" s="16">
        <v>3.5</v>
      </c>
      <c r="I924" s="19">
        <v>8.33</v>
      </c>
      <c r="J924" s="33"/>
      <c r="K924" s="33"/>
    </row>
    <row r="925">
      <c r="A925" s="20">
        <v>2014.0</v>
      </c>
      <c r="B925" s="21">
        <v>10.0</v>
      </c>
      <c r="C925" s="21">
        <v>5.0</v>
      </c>
      <c r="D925" s="21">
        <v>3.0</v>
      </c>
      <c r="E925" s="22" t="s">
        <v>16</v>
      </c>
      <c r="F925" s="22" t="s">
        <v>60</v>
      </c>
      <c r="G925" s="21">
        <v>7.5</v>
      </c>
      <c r="H925" s="21">
        <v>6.33</v>
      </c>
      <c r="I925" s="23">
        <v>13.83</v>
      </c>
      <c r="J925" s="33"/>
      <c r="K925" s="33"/>
    </row>
    <row r="926">
      <c r="A926" s="15">
        <v>2014.0</v>
      </c>
      <c r="B926" s="16">
        <v>10.0</v>
      </c>
      <c r="C926" s="16">
        <v>5.0</v>
      </c>
      <c r="D926" s="16">
        <v>4.0</v>
      </c>
      <c r="E926" s="17" t="s">
        <v>16</v>
      </c>
      <c r="F926" s="17" t="s">
        <v>33</v>
      </c>
      <c r="G926" s="16">
        <v>7.5</v>
      </c>
      <c r="H926" s="16">
        <v>6.73</v>
      </c>
      <c r="I926" s="19">
        <v>14.23</v>
      </c>
      <c r="J926" s="33"/>
      <c r="K926" s="33"/>
    </row>
    <row r="927">
      <c r="A927" s="20">
        <v>2014.0</v>
      </c>
      <c r="B927" s="21">
        <v>10.0</v>
      </c>
      <c r="C927" s="21">
        <v>5.0</v>
      </c>
      <c r="D927" s="21">
        <v>4.0</v>
      </c>
      <c r="E927" s="22" t="s">
        <v>16</v>
      </c>
      <c r="F927" s="22" t="s">
        <v>27</v>
      </c>
      <c r="G927" s="21">
        <v>3.8</v>
      </c>
      <c r="H927" s="21">
        <v>3.5</v>
      </c>
      <c r="I927" s="23">
        <v>7.3</v>
      </c>
      <c r="J927" s="33"/>
      <c r="K927" s="33"/>
    </row>
    <row r="928">
      <c r="A928" s="15">
        <v>2014.0</v>
      </c>
      <c r="B928" s="16">
        <v>10.0</v>
      </c>
      <c r="C928" s="16">
        <v>6.0</v>
      </c>
      <c r="D928" s="16">
        <v>1.0</v>
      </c>
      <c r="E928" s="17" t="s">
        <v>16</v>
      </c>
      <c r="F928" s="17" t="s">
        <v>26</v>
      </c>
      <c r="G928" s="16">
        <v>9.83</v>
      </c>
      <c r="H928" s="16">
        <v>8.0</v>
      </c>
      <c r="I928" s="19">
        <v>17.83</v>
      </c>
      <c r="J928" s="33"/>
      <c r="K928" s="33"/>
    </row>
    <row r="929">
      <c r="A929" s="20">
        <v>2014.0</v>
      </c>
      <c r="B929" s="21">
        <v>10.0</v>
      </c>
      <c r="C929" s="21">
        <v>6.0</v>
      </c>
      <c r="D929" s="21">
        <v>1.0</v>
      </c>
      <c r="E929" s="22" t="s">
        <v>16</v>
      </c>
      <c r="F929" s="22" t="s">
        <v>29</v>
      </c>
      <c r="G929" s="21">
        <v>6.23</v>
      </c>
      <c r="H929" s="21">
        <v>5.6</v>
      </c>
      <c r="I929" s="23">
        <v>11.83</v>
      </c>
      <c r="J929" s="33"/>
      <c r="K929" s="33"/>
    </row>
    <row r="930">
      <c r="A930" s="15">
        <v>2014.0</v>
      </c>
      <c r="B930" s="16">
        <v>10.0</v>
      </c>
      <c r="C930" s="16">
        <v>6.0</v>
      </c>
      <c r="D930" s="16">
        <v>2.0</v>
      </c>
      <c r="E930" s="17" t="s">
        <v>16</v>
      </c>
      <c r="F930" s="17" t="s">
        <v>42</v>
      </c>
      <c r="G930" s="16">
        <v>6.23</v>
      </c>
      <c r="H930" s="16">
        <v>6.0</v>
      </c>
      <c r="I930" s="19">
        <v>12.23</v>
      </c>
      <c r="J930" s="33"/>
      <c r="K930" s="33"/>
    </row>
    <row r="931">
      <c r="A931" s="20">
        <v>2014.0</v>
      </c>
      <c r="B931" s="21">
        <v>10.0</v>
      </c>
      <c r="C931" s="21">
        <v>6.0</v>
      </c>
      <c r="D931" s="21">
        <v>2.0</v>
      </c>
      <c r="E931" s="22" t="s">
        <v>16</v>
      </c>
      <c r="F931" s="22" t="s">
        <v>28</v>
      </c>
      <c r="G931" s="21">
        <v>6.77</v>
      </c>
      <c r="H931" s="21">
        <v>5.5</v>
      </c>
      <c r="I931" s="23">
        <v>12.27</v>
      </c>
      <c r="J931" s="33"/>
      <c r="K931" s="33"/>
    </row>
    <row r="932">
      <c r="A932" s="15">
        <v>2014.0</v>
      </c>
      <c r="B932" s="16">
        <v>10.0</v>
      </c>
      <c r="C932" s="16">
        <v>6.0</v>
      </c>
      <c r="D932" s="16">
        <v>3.0</v>
      </c>
      <c r="E932" s="17" t="s">
        <v>16</v>
      </c>
      <c r="F932" s="17" t="s">
        <v>45</v>
      </c>
      <c r="G932" s="16">
        <v>8.0</v>
      </c>
      <c r="H932" s="16">
        <v>5.17</v>
      </c>
      <c r="I932" s="19">
        <v>13.17</v>
      </c>
      <c r="J932" s="33"/>
      <c r="K932" s="33"/>
    </row>
    <row r="933">
      <c r="A933" s="20">
        <v>2014.0</v>
      </c>
      <c r="B933" s="21">
        <v>10.0</v>
      </c>
      <c r="C933" s="21">
        <v>6.0</v>
      </c>
      <c r="D933" s="21">
        <v>3.0</v>
      </c>
      <c r="E933" s="22" t="s">
        <v>16</v>
      </c>
      <c r="F933" s="22" t="s">
        <v>60</v>
      </c>
      <c r="G933" s="21">
        <v>7.5</v>
      </c>
      <c r="H933" s="21">
        <v>7.3</v>
      </c>
      <c r="I933" s="23">
        <v>14.8</v>
      </c>
      <c r="J933" s="33"/>
      <c r="K933" s="33"/>
    </row>
    <row r="934">
      <c r="A934" s="15">
        <v>2014.0</v>
      </c>
      <c r="B934" s="16">
        <v>10.0</v>
      </c>
      <c r="C934" s="16">
        <v>6.0</v>
      </c>
      <c r="D934" s="16">
        <v>4.0</v>
      </c>
      <c r="E934" s="17" t="s">
        <v>16</v>
      </c>
      <c r="F934" s="17" t="s">
        <v>41</v>
      </c>
      <c r="G934" s="16">
        <v>9.57</v>
      </c>
      <c r="H934" s="16">
        <v>6.5</v>
      </c>
      <c r="I934" s="19">
        <v>16.07</v>
      </c>
      <c r="J934" s="33"/>
      <c r="K934" s="33"/>
    </row>
    <row r="935">
      <c r="A935" s="20">
        <v>2014.0</v>
      </c>
      <c r="B935" s="21">
        <v>10.0</v>
      </c>
      <c r="C935" s="21">
        <v>6.0</v>
      </c>
      <c r="D935" s="21">
        <v>4.0</v>
      </c>
      <c r="E935" s="22" t="s">
        <v>16</v>
      </c>
      <c r="F935" s="22" t="s">
        <v>33</v>
      </c>
      <c r="G935" s="21">
        <v>6.57</v>
      </c>
      <c r="H935" s="21">
        <v>3.53</v>
      </c>
      <c r="I935" s="23">
        <v>10.1</v>
      </c>
      <c r="J935" s="33"/>
      <c r="K935" s="33"/>
    </row>
    <row r="936">
      <c r="A936" s="15">
        <v>2014.0</v>
      </c>
      <c r="B936" s="16">
        <v>10.0</v>
      </c>
      <c r="C936" s="16">
        <v>7.0</v>
      </c>
      <c r="D936" s="16">
        <v>1.0</v>
      </c>
      <c r="E936" s="17" t="s">
        <v>16</v>
      </c>
      <c r="F936" s="17" t="s">
        <v>26</v>
      </c>
      <c r="G936" s="16">
        <v>5.27</v>
      </c>
      <c r="H936" s="16">
        <v>2.0</v>
      </c>
      <c r="I936" s="19">
        <v>7.27</v>
      </c>
      <c r="J936" s="33"/>
      <c r="K936" s="33"/>
    </row>
    <row r="937">
      <c r="A937" s="20">
        <v>2014.0</v>
      </c>
      <c r="B937" s="21">
        <v>10.0</v>
      </c>
      <c r="C937" s="21">
        <v>7.0</v>
      </c>
      <c r="D937" s="21">
        <v>1.0</v>
      </c>
      <c r="E937" s="22" t="s">
        <v>16</v>
      </c>
      <c r="F937" s="22" t="s">
        <v>28</v>
      </c>
      <c r="G937" s="21">
        <v>8.47</v>
      </c>
      <c r="H937" s="21">
        <v>8.17</v>
      </c>
      <c r="I937" s="23">
        <v>16.64</v>
      </c>
      <c r="J937" s="33"/>
      <c r="K937" s="33"/>
    </row>
    <row r="938">
      <c r="A938" s="15">
        <v>2014.0</v>
      </c>
      <c r="B938" s="16">
        <v>10.0</v>
      </c>
      <c r="C938" s="16">
        <v>7.0</v>
      </c>
      <c r="D938" s="16">
        <v>2.0</v>
      </c>
      <c r="E938" s="17" t="s">
        <v>16</v>
      </c>
      <c r="F938" s="17" t="s">
        <v>60</v>
      </c>
      <c r="G938" s="16">
        <v>4.67</v>
      </c>
      <c r="H938" s="16">
        <v>3.73</v>
      </c>
      <c r="I938" s="19">
        <v>8.4</v>
      </c>
      <c r="J938" s="33"/>
      <c r="K938" s="33"/>
    </row>
    <row r="939">
      <c r="A939" s="20">
        <v>2014.0</v>
      </c>
      <c r="B939" s="21">
        <v>10.0</v>
      </c>
      <c r="C939" s="21">
        <v>7.0</v>
      </c>
      <c r="D939" s="21">
        <v>2.0</v>
      </c>
      <c r="E939" s="22" t="s">
        <v>16</v>
      </c>
      <c r="F939" s="22" t="s">
        <v>41</v>
      </c>
      <c r="G939" s="21">
        <v>7.17</v>
      </c>
      <c r="H939" s="21">
        <v>6.0</v>
      </c>
      <c r="I939" s="23">
        <v>13.17</v>
      </c>
      <c r="J939" s="33"/>
      <c r="K939" s="33"/>
    </row>
    <row r="940">
      <c r="A940" s="15">
        <v>2014.0</v>
      </c>
      <c r="B940" s="16">
        <v>10.0</v>
      </c>
      <c r="C940" s="16">
        <v>8.0</v>
      </c>
      <c r="D940" s="16">
        <v>1.0</v>
      </c>
      <c r="E940" s="17" t="s">
        <v>16</v>
      </c>
      <c r="F940" s="17" t="s">
        <v>28</v>
      </c>
      <c r="G940" s="16">
        <v>7.67</v>
      </c>
      <c r="H940" s="16">
        <v>0.0</v>
      </c>
      <c r="I940" s="19">
        <v>7.67</v>
      </c>
      <c r="J940" s="33"/>
      <c r="K940" s="33"/>
    </row>
    <row r="941">
      <c r="A941" s="20">
        <v>2014.0</v>
      </c>
      <c r="B941" s="21">
        <v>10.0</v>
      </c>
      <c r="C941" s="21">
        <v>8.0</v>
      </c>
      <c r="D941" s="21">
        <v>1.0</v>
      </c>
      <c r="E941" s="22" t="s">
        <v>16</v>
      </c>
      <c r="F941" s="22" t="s">
        <v>41</v>
      </c>
      <c r="G941" s="21">
        <v>9.0</v>
      </c>
      <c r="H941" s="21">
        <v>6.5</v>
      </c>
      <c r="I941" s="23">
        <v>15.5</v>
      </c>
      <c r="J941" s="33"/>
      <c r="K941" s="33"/>
    </row>
    <row r="942">
      <c r="A942" s="15">
        <v>2014.0</v>
      </c>
      <c r="B942" s="16">
        <v>11.0</v>
      </c>
      <c r="C942" s="16">
        <v>1.0</v>
      </c>
      <c r="D942" s="16">
        <v>1.0</v>
      </c>
      <c r="E942" s="17" t="s">
        <v>16</v>
      </c>
      <c r="F942" s="17" t="s">
        <v>39</v>
      </c>
      <c r="G942" s="16">
        <v>7.33</v>
      </c>
      <c r="H942" s="16">
        <v>6.5</v>
      </c>
      <c r="I942" s="19">
        <v>13.83</v>
      </c>
      <c r="J942" s="33"/>
      <c r="K942" s="33"/>
    </row>
    <row r="943">
      <c r="A943" s="20">
        <v>2014.0</v>
      </c>
      <c r="B943" s="21">
        <v>11.0</v>
      </c>
      <c r="C943" s="21">
        <v>1.0</v>
      </c>
      <c r="D943" s="21">
        <v>1.0</v>
      </c>
      <c r="E943" s="22" t="s">
        <v>16</v>
      </c>
      <c r="F943" s="22" t="s">
        <v>31</v>
      </c>
      <c r="G943" s="21">
        <v>1.23</v>
      </c>
      <c r="H943" s="21">
        <v>0.0</v>
      </c>
      <c r="I943" s="23">
        <v>1.23</v>
      </c>
      <c r="J943" s="33"/>
      <c r="K943" s="33"/>
    </row>
    <row r="944">
      <c r="A944" s="15">
        <v>2014.0</v>
      </c>
      <c r="B944" s="16">
        <v>11.0</v>
      </c>
      <c r="C944" s="16">
        <v>1.0</v>
      </c>
      <c r="D944" s="16">
        <v>1.0</v>
      </c>
      <c r="E944" s="17" t="s">
        <v>16</v>
      </c>
      <c r="F944" s="17" t="s">
        <v>99</v>
      </c>
      <c r="G944" s="16">
        <v>2.83</v>
      </c>
      <c r="H944" s="16">
        <v>1.43</v>
      </c>
      <c r="I944" s="19">
        <v>4.26</v>
      </c>
      <c r="J944" s="33"/>
      <c r="K944" s="33"/>
    </row>
    <row r="945">
      <c r="A945" s="20">
        <v>2014.0</v>
      </c>
      <c r="B945" s="21">
        <v>11.0</v>
      </c>
      <c r="C945" s="21">
        <v>1.0</v>
      </c>
      <c r="D945" s="21">
        <v>2.0</v>
      </c>
      <c r="E945" s="22" t="s">
        <v>16</v>
      </c>
      <c r="F945" s="22" t="s">
        <v>27</v>
      </c>
      <c r="G945" s="21">
        <v>1.6</v>
      </c>
      <c r="H945" s="21">
        <v>1.3</v>
      </c>
      <c r="I945" s="23">
        <v>2.9</v>
      </c>
      <c r="J945" s="33"/>
      <c r="K945" s="33"/>
    </row>
    <row r="946">
      <c r="A946" s="15">
        <v>2014.0</v>
      </c>
      <c r="B946" s="16">
        <v>11.0</v>
      </c>
      <c r="C946" s="16">
        <v>1.0</v>
      </c>
      <c r="D946" s="16">
        <v>2.0</v>
      </c>
      <c r="E946" s="17" t="s">
        <v>16</v>
      </c>
      <c r="F946" s="17" t="s">
        <v>38</v>
      </c>
      <c r="G946" s="16">
        <v>7.13</v>
      </c>
      <c r="H946" s="16">
        <v>7.0</v>
      </c>
      <c r="I946" s="19">
        <v>14.13</v>
      </c>
      <c r="J946" s="33"/>
      <c r="K946" s="33"/>
    </row>
    <row r="947">
      <c r="A947" s="20">
        <v>2014.0</v>
      </c>
      <c r="B947" s="21">
        <v>11.0</v>
      </c>
      <c r="C947" s="21">
        <v>1.0</v>
      </c>
      <c r="D947" s="21">
        <v>2.0</v>
      </c>
      <c r="E947" s="22" t="s">
        <v>16</v>
      </c>
      <c r="F947" s="22" t="s">
        <v>131</v>
      </c>
      <c r="G947" s="21">
        <v>4.5</v>
      </c>
      <c r="H947" s="21">
        <v>0.27</v>
      </c>
      <c r="I947" s="23">
        <v>4.77</v>
      </c>
      <c r="J947" s="33"/>
      <c r="K947" s="33"/>
    </row>
    <row r="948">
      <c r="A948" s="15">
        <v>2014.0</v>
      </c>
      <c r="B948" s="16">
        <v>11.0</v>
      </c>
      <c r="C948" s="16">
        <v>1.0</v>
      </c>
      <c r="D948" s="16">
        <v>3.0</v>
      </c>
      <c r="E948" s="17" t="s">
        <v>16</v>
      </c>
      <c r="F948" s="17" t="s">
        <v>26</v>
      </c>
      <c r="G948" s="16">
        <v>9.23</v>
      </c>
      <c r="H948" s="16">
        <v>8.93</v>
      </c>
      <c r="I948" s="19">
        <v>18.16</v>
      </c>
      <c r="J948" s="33"/>
      <c r="K948" s="33"/>
    </row>
    <row r="949">
      <c r="A949" s="20">
        <v>2014.0</v>
      </c>
      <c r="B949" s="21">
        <v>11.0</v>
      </c>
      <c r="C949" s="21">
        <v>1.0</v>
      </c>
      <c r="D949" s="21">
        <v>3.0</v>
      </c>
      <c r="E949" s="22" t="s">
        <v>16</v>
      </c>
      <c r="F949" s="22" t="s">
        <v>34</v>
      </c>
      <c r="G949" s="21">
        <v>1.23</v>
      </c>
      <c r="H949" s="21">
        <v>1.0</v>
      </c>
      <c r="I949" s="23">
        <v>2.23</v>
      </c>
      <c r="J949" s="33"/>
      <c r="K949" s="33"/>
    </row>
    <row r="950">
      <c r="A950" s="15">
        <v>2014.0</v>
      </c>
      <c r="B950" s="16">
        <v>11.0</v>
      </c>
      <c r="C950" s="16">
        <v>1.0</v>
      </c>
      <c r="D950" s="16">
        <v>3.0</v>
      </c>
      <c r="E950" s="17" t="s">
        <v>16</v>
      </c>
      <c r="F950" s="17" t="s">
        <v>130</v>
      </c>
      <c r="G950" s="16">
        <v>2.07</v>
      </c>
      <c r="H950" s="16">
        <v>1.27</v>
      </c>
      <c r="I950" s="19">
        <v>3.34</v>
      </c>
      <c r="J950" s="33"/>
      <c r="K950" s="33"/>
    </row>
    <row r="951">
      <c r="A951" s="20">
        <v>2014.0</v>
      </c>
      <c r="B951" s="21">
        <v>11.0</v>
      </c>
      <c r="C951" s="21">
        <v>1.0</v>
      </c>
      <c r="D951" s="21">
        <v>4.0</v>
      </c>
      <c r="E951" s="22" t="s">
        <v>16</v>
      </c>
      <c r="F951" s="22" t="s">
        <v>37</v>
      </c>
      <c r="G951" s="21">
        <v>8.1</v>
      </c>
      <c r="H951" s="21">
        <v>7.7</v>
      </c>
      <c r="I951" s="23">
        <v>15.8</v>
      </c>
      <c r="J951" s="33"/>
      <c r="K951" s="33"/>
    </row>
    <row r="952">
      <c r="A952" s="15">
        <v>2014.0</v>
      </c>
      <c r="B952" s="16">
        <v>11.0</v>
      </c>
      <c r="C952" s="16">
        <v>1.0</v>
      </c>
      <c r="D952" s="16">
        <v>4.0</v>
      </c>
      <c r="E952" s="17" t="s">
        <v>16</v>
      </c>
      <c r="F952" s="17" t="s">
        <v>29</v>
      </c>
      <c r="G952" s="16">
        <v>8.9</v>
      </c>
      <c r="H952" s="16">
        <v>7.0</v>
      </c>
      <c r="I952" s="19">
        <v>15.9</v>
      </c>
      <c r="J952" s="33"/>
      <c r="K952" s="33"/>
    </row>
    <row r="953">
      <c r="A953" s="20">
        <v>2014.0</v>
      </c>
      <c r="B953" s="21">
        <v>11.0</v>
      </c>
      <c r="C953" s="21">
        <v>1.0</v>
      </c>
      <c r="D953" s="21">
        <v>4.0</v>
      </c>
      <c r="E953" s="22" t="s">
        <v>16</v>
      </c>
      <c r="F953" s="22" t="s">
        <v>70</v>
      </c>
      <c r="G953" s="21">
        <v>8.67</v>
      </c>
      <c r="H953" s="21">
        <v>5.17</v>
      </c>
      <c r="I953" s="23">
        <v>13.84</v>
      </c>
      <c r="J953" s="33"/>
      <c r="K953" s="33"/>
    </row>
    <row r="954">
      <c r="A954" s="15">
        <v>2014.0</v>
      </c>
      <c r="B954" s="16">
        <v>11.0</v>
      </c>
      <c r="C954" s="16">
        <v>1.0</v>
      </c>
      <c r="D954" s="16">
        <v>5.0</v>
      </c>
      <c r="E954" s="17" t="s">
        <v>16</v>
      </c>
      <c r="F954" s="17" t="s">
        <v>41</v>
      </c>
      <c r="G954" s="16">
        <v>7.33</v>
      </c>
      <c r="H954" s="16">
        <v>4.83</v>
      </c>
      <c r="I954" s="19">
        <v>12.16</v>
      </c>
      <c r="J954" s="33"/>
      <c r="K954" s="33"/>
    </row>
    <row r="955">
      <c r="A955" s="20">
        <v>2014.0</v>
      </c>
      <c r="B955" s="21">
        <v>11.0</v>
      </c>
      <c r="C955" s="21">
        <v>1.0</v>
      </c>
      <c r="D955" s="21">
        <v>5.0</v>
      </c>
      <c r="E955" s="22" t="s">
        <v>16</v>
      </c>
      <c r="F955" s="22" t="s">
        <v>107</v>
      </c>
      <c r="G955" s="21">
        <v>9.27</v>
      </c>
      <c r="H955" s="21">
        <v>0.0</v>
      </c>
      <c r="I955" s="23">
        <v>9.27</v>
      </c>
      <c r="J955" s="33"/>
      <c r="K955" s="33"/>
    </row>
    <row r="956">
      <c r="A956" s="15">
        <v>2014.0</v>
      </c>
      <c r="B956" s="16">
        <v>11.0</v>
      </c>
      <c r="C956" s="16">
        <v>1.0</v>
      </c>
      <c r="D956" s="16">
        <v>5.0</v>
      </c>
      <c r="E956" s="17" t="s">
        <v>16</v>
      </c>
      <c r="F956" s="17" t="s">
        <v>135</v>
      </c>
      <c r="G956" s="16">
        <v>1.4</v>
      </c>
      <c r="H956" s="16">
        <v>0.8</v>
      </c>
      <c r="I956" s="19">
        <v>2.2</v>
      </c>
      <c r="J956" s="33"/>
      <c r="K956" s="33"/>
    </row>
    <row r="957">
      <c r="A957" s="20">
        <v>2014.0</v>
      </c>
      <c r="B957" s="21">
        <v>11.0</v>
      </c>
      <c r="C957" s="21">
        <v>1.0</v>
      </c>
      <c r="D957" s="21">
        <v>6.0</v>
      </c>
      <c r="E957" s="22" t="s">
        <v>16</v>
      </c>
      <c r="F957" s="22" t="s">
        <v>30</v>
      </c>
      <c r="G957" s="21">
        <v>5.5</v>
      </c>
      <c r="H957" s="21">
        <v>3.33</v>
      </c>
      <c r="I957" s="23">
        <v>8.83</v>
      </c>
      <c r="J957" s="33"/>
      <c r="K957" s="33"/>
    </row>
    <row r="958">
      <c r="A958" s="15">
        <v>2014.0</v>
      </c>
      <c r="B958" s="16">
        <v>11.0</v>
      </c>
      <c r="C958" s="16">
        <v>1.0</v>
      </c>
      <c r="D958" s="16">
        <v>6.0</v>
      </c>
      <c r="E958" s="17" t="s">
        <v>16</v>
      </c>
      <c r="F958" s="17" t="s">
        <v>126</v>
      </c>
      <c r="G958" s="16">
        <v>2.23</v>
      </c>
      <c r="H958" s="16">
        <v>1.07</v>
      </c>
      <c r="I958" s="19">
        <v>3.3</v>
      </c>
      <c r="J958" s="33"/>
      <c r="K958" s="33"/>
    </row>
    <row r="959">
      <c r="A959" s="20">
        <v>2014.0</v>
      </c>
      <c r="B959" s="21">
        <v>11.0</v>
      </c>
      <c r="C959" s="21">
        <v>1.0</v>
      </c>
      <c r="D959" s="21">
        <v>6.0</v>
      </c>
      <c r="E959" s="22" t="s">
        <v>16</v>
      </c>
      <c r="F959" s="22" t="s">
        <v>136</v>
      </c>
      <c r="G959" s="21">
        <v>4.17</v>
      </c>
      <c r="H959" s="21">
        <v>0.93</v>
      </c>
      <c r="I959" s="23">
        <v>5.1</v>
      </c>
      <c r="J959" s="33"/>
      <c r="K959" s="33"/>
    </row>
    <row r="960">
      <c r="A960" s="15">
        <v>2014.0</v>
      </c>
      <c r="B960" s="16">
        <v>11.0</v>
      </c>
      <c r="C960" s="16">
        <v>1.0</v>
      </c>
      <c r="D960" s="16">
        <v>7.0</v>
      </c>
      <c r="E960" s="17" t="s">
        <v>16</v>
      </c>
      <c r="F960" s="17" t="s">
        <v>28</v>
      </c>
      <c r="G960" s="16">
        <v>1.07</v>
      </c>
      <c r="H960" s="16">
        <v>1.0</v>
      </c>
      <c r="I960" s="19">
        <v>2.07</v>
      </c>
      <c r="J960" s="33"/>
      <c r="K960" s="33"/>
    </row>
    <row r="961">
      <c r="A961" s="20">
        <v>2014.0</v>
      </c>
      <c r="B961" s="21">
        <v>11.0</v>
      </c>
      <c r="C961" s="21">
        <v>1.0</v>
      </c>
      <c r="D961" s="21">
        <v>7.0</v>
      </c>
      <c r="E961" s="22" t="s">
        <v>16</v>
      </c>
      <c r="F961" s="22" t="s">
        <v>35</v>
      </c>
      <c r="G961" s="21">
        <v>2.0</v>
      </c>
      <c r="H961" s="21">
        <v>1.9</v>
      </c>
      <c r="I961" s="23">
        <v>3.9</v>
      </c>
      <c r="J961" s="33"/>
      <c r="K961" s="33"/>
    </row>
    <row r="962">
      <c r="A962" s="15">
        <v>2014.0</v>
      </c>
      <c r="B962" s="16">
        <v>11.0</v>
      </c>
      <c r="C962" s="16">
        <v>1.0</v>
      </c>
      <c r="D962" s="16">
        <v>7.0</v>
      </c>
      <c r="E962" s="17" t="s">
        <v>16</v>
      </c>
      <c r="F962" s="17" t="s">
        <v>50</v>
      </c>
      <c r="G962" s="16">
        <v>7.0</v>
      </c>
      <c r="H962" s="16">
        <v>2.3</v>
      </c>
      <c r="I962" s="19">
        <v>9.3</v>
      </c>
      <c r="J962" s="33"/>
      <c r="K962" s="33"/>
    </row>
    <row r="963">
      <c r="A963" s="20">
        <v>2014.0</v>
      </c>
      <c r="B963" s="21">
        <v>11.0</v>
      </c>
      <c r="C963" s="21">
        <v>1.0</v>
      </c>
      <c r="D963" s="21">
        <v>8.0</v>
      </c>
      <c r="E963" s="22" t="s">
        <v>16</v>
      </c>
      <c r="F963" s="22" t="s">
        <v>32</v>
      </c>
      <c r="G963" s="21">
        <v>7.0</v>
      </c>
      <c r="H963" s="21">
        <v>3.77</v>
      </c>
      <c r="I963" s="23">
        <v>10.77</v>
      </c>
      <c r="J963" s="33"/>
      <c r="K963" s="33"/>
    </row>
    <row r="964">
      <c r="A964" s="15">
        <v>2014.0</v>
      </c>
      <c r="B964" s="16">
        <v>11.0</v>
      </c>
      <c r="C964" s="16">
        <v>1.0</v>
      </c>
      <c r="D964" s="16">
        <v>8.0</v>
      </c>
      <c r="E964" s="17" t="s">
        <v>16</v>
      </c>
      <c r="F964" s="17" t="s">
        <v>123</v>
      </c>
      <c r="G964" s="16">
        <v>4.17</v>
      </c>
      <c r="H964" s="16">
        <v>3.33</v>
      </c>
      <c r="I964" s="19">
        <v>7.5</v>
      </c>
      <c r="J964" s="33"/>
      <c r="K964" s="33"/>
    </row>
    <row r="965">
      <c r="A965" s="20">
        <v>2014.0</v>
      </c>
      <c r="B965" s="21">
        <v>11.0</v>
      </c>
      <c r="C965" s="21">
        <v>1.0</v>
      </c>
      <c r="D965" s="21">
        <v>8.0</v>
      </c>
      <c r="E965" s="22" t="s">
        <v>16</v>
      </c>
      <c r="F965" s="22" t="s">
        <v>122</v>
      </c>
      <c r="G965" s="21">
        <v>0.0</v>
      </c>
      <c r="H965" s="21">
        <v>0.0</v>
      </c>
      <c r="I965" s="23">
        <v>0.0</v>
      </c>
      <c r="J965" s="33"/>
      <c r="K965" s="33"/>
    </row>
    <row r="966">
      <c r="A966" s="15">
        <v>2014.0</v>
      </c>
      <c r="B966" s="16">
        <v>11.0</v>
      </c>
      <c r="C966" s="16">
        <v>1.0</v>
      </c>
      <c r="D966" s="16">
        <v>9.0</v>
      </c>
      <c r="E966" s="17" t="s">
        <v>16</v>
      </c>
      <c r="F966" s="17" t="s">
        <v>45</v>
      </c>
      <c r="G966" s="16">
        <v>5.77</v>
      </c>
      <c r="H966" s="16">
        <v>5.33</v>
      </c>
      <c r="I966" s="19">
        <v>11.1</v>
      </c>
      <c r="J966" s="33"/>
      <c r="K966" s="33"/>
    </row>
    <row r="967">
      <c r="A967" s="20">
        <v>2014.0</v>
      </c>
      <c r="B967" s="21">
        <v>11.0</v>
      </c>
      <c r="C967" s="21">
        <v>1.0</v>
      </c>
      <c r="D967" s="21">
        <v>9.0</v>
      </c>
      <c r="E967" s="22" t="s">
        <v>16</v>
      </c>
      <c r="F967" s="22" t="s">
        <v>60</v>
      </c>
      <c r="G967" s="21">
        <v>1.0</v>
      </c>
      <c r="H967" s="21">
        <v>0.67</v>
      </c>
      <c r="I967" s="23">
        <v>1.67</v>
      </c>
      <c r="J967" s="33"/>
      <c r="K967" s="33"/>
    </row>
    <row r="968">
      <c r="A968" s="15">
        <v>2014.0</v>
      </c>
      <c r="B968" s="16">
        <v>11.0</v>
      </c>
      <c r="C968" s="16">
        <v>1.0</v>
      </c>
      <c r="D968" s="16">
        <v>9.0</v>
      </c>
      <c r="E968" s="17" t="s">
        <v>16</v>
      </c>
      <c r="F968" s="17" t="s">
        <v>91</v>
      </c>
      <c r="G968" s="16">
        <v>8.33</v>
      </c>
      <c r="H968" s="16">
        <v>1.3</v>
      </c>
      <c r="I968" s="19">
        <v>9.63</v>
      </c>
      <c r="J968" s="33"/>
      <c r="K968" s="33"/>
    </row>
    <row r="969">
      <c r="A969" s="20">
        <v>2014.0</v>
      </c>
      <c r="B969" s="21">
        <v>11.0</v>
      </c>
      <c r="C969" s="21">
        <v>1.0</v>
      </c>
      <c r="D969" s="21">
        <v>10.0</v>
      </c>
      <c r="E969" s="22" t="s">
        <v>16</v>
      </c>
      <c r="F969" s="22" t="s">
        <v>57</v>
      </c>
      <c r="G969" s="21">
        <v>8.93</v>
      </c>
      <c r="H969" s="21">
        <v>8.57</v>
      </c>
      <c r="I969" s="23">
        <v>17.5</v>
      </c>
      <c r="J969" s="33"/>
      <c r="K969" s="33"/>
    </row>
    <row r="970">
      <c r="A970" s="15">
        <v>2014.0</v>
      </c>
      <c r="B970" s="16">
        <v>11.0</v>
      </c>
      <c r="C970" s="16">
        <v>1.0</v>
      </c>
      <c r="D970" s="16">
        <v>10.0</v>
      </c>
      <c r="E970" s="17" t="s">
        <v>16</v>
      </c>
      <c r="F970" s="17" t="s">
        <v>47</v>
      </c>
      <c r="G970" s="16">
        <v>7.77</v>
      </c>
      <c r="H970" s="16">
        <v>7.3</v>
      </c>
      <c r="I970" s="19">
        <v>15.07</v>
      </c>
      <c r="J970" s="33"/>
      <c r="K970" s="33"/>
    </row>
    <row r="971">
      <c r="A971" s="20">
        <v>2014.0</v>
      </c>
      <c r="B971" s="21">
        <v>11.0</v>
      </c>
      <c r="C971" s="21">
        <v>1.0</v>
      </c>
      <c r="D971" s="21">
        <v>10.0</v>
      </c>
      <c r="E971" s="22" t="s">
        <v>16</v>
      </c>
      <c r="F971" s="22" t="s">
        <v>124</v>
      </c>
      <c r="G971" s="21">
        <v>5.83</v>
      </c>
      <c r="H971" s="21">
        <v>2.67</v>
      </c>
      <c r="I971" s="23">
        <v>8.5</v>
      </c>
      <c r="J971" s="33"/>
      <c r="K971" s="33"/>
    </row>
    <row r="972">
      <c r="A972" s="15">
        <v>2014.0</v>
      </c>
      <c r="B972" s="16">
        <v>11.0</v>
      </c>
      <c r="C972" s="16">
        <v>1.0</v>
      </c>
      <c r="D972" s="16">
        <v>11.0</v>
      </c>
      <c r="E972" s="17" t="s">
        <v>16</v>
      </c>
      <c r="F972" s="17" t="s">
        <v>56</v>
      </c>
      <c r="G972" s="16">
        <v>0.97</v>
      </c>
      <c r="H972" s="16">
        <v>0.93</v>
      </c>
      <c r="I972" s="19">
        <v>1.9</v>
      </c>
      <c r="J972" s="33"/>
      <c r="K972" s="33"/>
    </row>
    <row r="973">
      <c r="A973" s="20">
        <v>2014.0</v>
      </c>
      <c r="B973" s="21">
        <v>11.0</v>
      </c>
      <c r="C973" s="21">
        <v>1.0</v>
      </c>
      <c r="D973" s="21">
        <v>11.0</v>
      </c>
      <c r="E973" s="22" t="s">
        <v>16</v>
      </c>
      <c r="F973" s="22" t="s">
        <v>33</v>
      </c>
      <c r="G973" s="21">
        <v>6.83</v>
      </c>
      <c r="H973" s="21">
        <v>6.07</v>
      </c>
      <c r="I973" s="23">
        <v>12.9</v>
      </c>
      <c r="J973" s="33"/>
      <c r="K973" s="33"/>
    </row>
    <row r="974">
      <c r="A974" s="15">
        <v>2014.0</v>
      </c>
      <c r="B974" s="16">
        <v>11.0</v>
      </c>
      <c r="C974" s="16">
        <v>1.0</v>
      </c>
      <c r="D974" s="16">
        <v>11.0</v>
      </c>
      <c r="E974" s="17" t="s">
        <v>16</v>
      </c>
      <c r="F974" s="17" t="s">
        <v>76</v>
      </c>
      <c r="G974" s="16">
        <v>9.17</v>
      </c>
      <c r="H974" s="16">
        <v>5.77</v>
      </c>
      <c r="I974" s="19">
        <v>14.94</v>
      </c>
      <c r="J974" s="33"/>
      <c r="K974" s="33"/>
    </row>
    <row r="975">
      <c r="A975" s="20">
        <v>2014.0</v>
      </c>
      <c r="B975" s="21">
        <v>11.0</v>
      </c>
      <c r="C975" s="21">
        <v>1.0</v>
      </c>
      <c r="D975" s="21">
        <v>12.0</v>
      </c>
      <c r="E975" s="22" t="s">
        <v>16</v>
      </c>
      <c r="F975" s="22" t="s">
        <v>59</v>
      </c>
      <c r="G975" s="21">
        <v>7.93</v>
      </c>
      <c r="H975" s="21">
        <v>7.27</v>
      </c>
      <c r="I975" s="23">
        <v>15.2</v>
      </c>
      <c r="J975" s="33"/>
      <c r="K975" s="33"/>
    </row>
    <row r="976">
      <c r="A976" s="15">
        <v>2014.0</v>
      </c>
      <c r="B976" s="16">
        <v>11.0</v>
      </c>
      <c r="C976" s="16">
        <v>1.0</v>
      </c>
      <c r="D976" s="16">
        <v>12.0</v>
      </c>
      <c r="E976" s="17" t="s">
        <v>16</v>
      </c>
      <c r="F976" s="17" t="s">
        <v>55</v>
      </c>
      <c r="G976" s="16">
        <v>1.83</v>
      </c>
      <c r="H976" s="16">
        <v>1.4</v>
      </c>
      <c r="I976" s="19">
        <v>3.23</v>
      </c>
      <c r="J976" s="33"/>
      <c r="K976" s="33"/>
    </row>
    <row r="977">
      <c r="A977" s="20">
        <v>2014.0</v>
      </c>
      <c r="B977" s="21">
        <v>11.0</v>
      </c>
      <c r="C977" s="21">
        <v>1.0</v>
      </c>
      <c r="D977" s="21">
        <v>12.0</v>
      </c>
      <c r="E977" s="22" t="s">
        <v>16</v>
      </c>
      <c r="F977" s="22" t="s">
        <v>120</v>
      </c>
      <c r="G977" s="21">
        <v>0.9</v>
      </c>
      <c r="H977" s="21">
        <v>0.73</v>
      </c>
      <c r="I977" s="23">
        <v>1.63</v>
      </c>
      <c r="J977" s="33"/>
      <c r="K977" s="33"/>
    </row>
    <row r="978">
      <c r="A978" s="15">
        <v>2014.0</v>
      </c>
      <c r="B978" s="16">
        <v>11.0</v>
      </c>
      <c r="C978" s="16">
        <v>2.0</v>
      </c>
      <c r="D978" s="16">
        <v>1.0</v>
      </c>
      <c r="E978" s="17" t="s">
        <v>16</v>
      </c>
      <c r="F978" s="17" t="s">
        <v>37</v>
      </c>
      <c r="G978" s="16">
        <v>9.57</v>
      </c>
      <c r="H978" s="16">
        <v>7.43</v>
      </c>
      <c r="I978" s="19">
        <v>17.0</v>
      </c>
      <c r="J978" s="33"/>
      <c r="K978" s="33"/>
    </row>
    <row r="979">
      <c r="A979" s="20">
        <v>2014.0</v>
      </c>
      <c r="B979" s="21">
        <v>11.0</v>
      </c>
      <c r="C979" s="21">
        <v>2.0</v>
      </c>
      <c r="D979" s="21">
        <v>1.0</v>
      </c>
      <c r="E979" s="22" t="s">
        <v>16</v>
      </c>
      <c r="F979" s="22" t="s">
        <v>136</v>
      </c>
      <c r="G979" s="21">
        <v>4.0</v>
      </c>
      <c r="H979" s="21">
        <v>3.0</v>
      </c>
      <c r="I979" s="23">
        <v>7.0</v>
      </c>
      <c r="J979" s="33"/>
      <c r="K979" s="33"/>
    </row>
    <row r="980">
      <c r="A980" s="15">
        <v>2014.0</v>
      </c>
      <c r="B980" s="16">
        <v>11.0</v>
      </c>
      <c r="C980" s="16">
        <v>2.0</v>
      </c>
      <c r="D980" s="16">
        <v>2.0</v>
      </c>
      <c r="E980" s="17" t="s">
        <v>16</v>
      </c>
      <c r="F980" s="17" t="s">
        <v>27</v>
      </c>
      <c r="G980" s="16">
        <v>5.0</v>
      </c>
      <c r="H980" s="16">
        <v>3.33</v>
      </c>
      <c r="I980" s="19">
        <v>8.33</v>
      </c>
      <c r="J980" s="33"/>
      <c r="K980" s="33"/>
    </row>
    <row r="981">
      <c r="A981" s="20">
        <v>2014.0</v>
      </c>
      <c r="B981" s="21">
        <v>11.0</v>
      </c>
      <c r="C981" s="21">
        <v>2.0</v>
      </c>
      <c r="D981" s="21">
        <v>2.0</v>
      </c>
      <c r="E981" s="22" t="s">
        <v>16</v>
      </c>
      <c r="F981" s="22" t="s">
        <v>135</v>
      </c>
      <c r="G981" s="21">
        <v>3.17</v>
      </c>
      <c r="H981" s="21">
        <v>1.4</v>
      </c>
      <c r="I981" s="23">
        <v>4.57</v>
      </c>
      <c r="J981" s="33"/>
      <c r="K981" s="33"/>
    </row>
    <row r="982">
      <c r="A982" s="15">
        <v>2014.0</v>
      </c>
      <c r="B982" s="16">
        <v>11.0</v>
      </c>
      <c r="C982" s="16">
        <v>2.0</v>
      </c>
      <c r="D982" s="16">
        <v>3.0</v>
      </c>
      <c r="E982" s="17" t="s">
        <v>16</v>
      </c>
      <c r="F982" s="17" t="s">
        <v>28</v>
      </c>
      <c r="G982" s="16">
        <v>3.0</v>
      </c>
      <c r="H982" s="16">
        <v>1.3</v>
      </c>
      <c r="I982" s="19">
        <v>4.3</v>
      </c>
      <c r="J982" s="33"/>
      <c r="K982" s="33"/>
    </row>
    <row r="983">
      <c r="A983" s="20">
        <v>2014.0</v>
      </c>
      <c r="B983" s="21">
        <v>11.0</v>
      </c>
      <c r="C983" s="21">
        <v>2.0</v>
      </c>
      <c r="D983" s="21">
        <v>3.0</v>
      </c>
      <c r="E983" s="22" t="s">
        <v>16</v>
      </c>
      <c r="F983" s="22" t="s">
        <v>70</v>
      </c>
      <c r="G983" s="21">
        <v>3.03</v>
      </c>
      <c r="H983" s="21">
        <v>1.27</v>
      </c>
      <c r="I983" s="23">
        <v>4.3</v>
      </c>
      <c r="J983" s="33"/>
      <c r="K983" s="33"/>
    </row>
    <row r="984">
      <c r="A984" s="15">
        <v>2014.0</v>
      </c>
      <c r="B984" s="16">
        <v>11.0</v>
      </c>
      <c r="C984" s="16">
        <v>2.0</v>
      </c>
      <c r="D984" s="16">
        <v>4.0</v>
      </c>
      <c r="E984" s="17" t="s">
        <v>16</v>
      </c>
      <c r="F984" s="17" t="s">
        <v>56</v>
      </c>
      <c r="G984" s="16">
        <v>4.5</v>
      </c>
      <c r="H984" s="16">
        <v>4.0</v>
      </c>
      <c r="I984" s="19">
        <v>8.5</v>
      </c>
      <c r="J984" s="33"/>
      <c r="K984" s="33"/>
    </row>
    <row r="985">
      <c r="A985" s="20">
        <v>2014.0</v>
      </c>
      <c r="B985" s="21">
        <v>11.0</v>
      </c>
      <c r="C985" s="21">
        <v>2.0</v>
      </c>
      <c r="D985" s="21">
        <v>4.0</v>
      </c>
      <c r="E985" s="22" t="s">
        <v>16</v>
      </c>
      <c r="F985" s="22" t="s">
        <v>130</v>
      </c>
      <c r="G985" s="21">
        <v>2.77</v>
      </c>
      <c r="H985" s="21">
        <v>2.0</v>
      </c>
      <c r="I985" s="23">
        <v>4.77</v>
      </c>
      <c r="J985" s="33"/>
      <c r="K985" s="33"/>
    </row>
    <row r="986">
      <c r="A986" s="15">
        <v>2014.0</v>
      </c>
      <c r="B986" s="16">
        <v>11.0</v>
      </c>
      <c r="C986" s="16">
        <v>2.0</v>
      </c>
      <c r="D986" s="16">
        <v>5.0</v>
      </c>
      <c r="E986" s="17" t="s">
        <v>16</v>
      </c>
      <c r="F986" s="17" t="s">
        <v>55</v>
      </c>
      <c r="G986" s="16">
        <v>4.5</v>
      </c>
      <c r="H986" s="16">
        <v>2.67</v>
      </c>
      <c r="I986" s="19">
        <v>7.17</v>
      </c>
      <c r="J986" s="33"/>
      <c r="K986" s="33"/>
    </row>
    <row r="987">
      <c r="A987" s="20">
        <v>2014.0</v>
      </c>
      <c r="B987" s="21">
        <v>11.0</v>
      </c>
      <c r="C987" s="21">
        <v>2.0</v>
      </c>
      <c r="D987" s="21">
        <v>5.0</v>
      </c>
      <c r="E987" s="22" t="s">
        <v>16</v>
      </c>
      <c r="F987" s="22" t="s">
        <v>131</v>
      </c>
      <c r="G987" s="21">
        <v>2.6</v>
      </c>
      <c r="H987" s="21">
        <v>1.53</v>
      </c>
      <c r="I987" s="23">
        <v>4.13</v>
      </c>
      <c r="J987" s="33"/>
      <c r="K987" s="33"/>
    </row>
    <row r="988">
      <c r="A988" s="15">
        <v>2014.0</v>
      </c>
      <c r="B988" s="16">
        <v>11.0</v>
      </c>
      <c r="C988" s="16">
        <v>2.0</v>
      </c>
      <c r="D988" s="16">
        <v>6.0</v>
      </c>
      <c r="E988" s="17" t="s">
        <v>16</v>
      </c>
      <c r="F988" s="17" t="s">
        <v>33</v>
      </c>
      <c r="G988" s="16">
        <v>3.97</v>
      </c>
      <c r="H988" s="16">
        <v>3.67</v>
      </c>
      <c r="I988" s="19">
        <v>7.64</v>
      </c>
      <c r="J988" s="33"/>
      <c r="K988" s="33"/>
    </row>
    <row r="989">
      <c r="A989" s="20">
        <v>2014.0</v>
      </c>
      <c r="B989" s="21">
        <v>11.0</v>
      </c>
      <c r="C989" s="21">
        <v>2.0</v>
      </c>
      <c r="D989" s="21">
        <v>6.0</v>
      </c>
      <c r="E989" s="22" t="s">
        <v>16</v>
      </c>
      <c r="F989" s="22" t="s">
        <v>99</v>
      </c>
      <c r="G989" s="21">
        <v>4.07</v>
      </c>
      <c r="H989" s="21">
        <v>3.0</v>
      </c>
      <c r="I989" s="23">
        <v>7.07</v>
      </c>
      <c r="J989" s="33"/>
      <c r="K989" s="33"/>
    </row>
    <row r="990">
      <c r="A990" s="15">
        <v>2014.0</v>
      </c>
      <c r="B990" s="16">
        <v>11.0</v>
      </c>
      <c r="C990" s="16">
        <v>2.0</v>
      </c>
      <c r="D990" s="16">
        <v>7.0</v>
      </c>
      <c r="E990" s="17" t="s">
        <v>16</v>
      </c>
      <c r="F990" s="17" t="s">
        <v>47</v>
      </c>
      <c r="G990" s="16">
        <v>2.07</v>
      </c>
      <c r="H990" s="16">
        <v>1.4</v>
      </c>
      <c r="I990" s="19">
        <v>3.47</v>
      </c>
      <c r="J990" s="33"/>
      <c r="K990" s="33"/>
    </row>
    <row r="991">
      <c r="A991" s="20">
        <v>2014.0</v>
      </c>
      <c r="B991" s="21">
        <v>11.0</v>
      </c>
      <c r="C991" s="21">
        <v>2.0</v>
      </c>
      <c r="D991" s="21">
        <v>7.0</v>
      </c>
      <c r="E991" s="22" t="s">
        <v>16</v>
      </c>
      <c r="F991" s="22" t="s">
        <v>122</v>
      </c>
      <c r="G991" s="21">
        <v>0.77</v>
      </c>
      <c r="H991" s="21">
        <v>0.53</v>
      </c>
      <c r="I991" s="23">
        <v>1.3</v>
      </c>
      <c r="J991" s="33"/>
      <c r="K991" s="33"/>
    </row>
    <row r="992">
      <c r="A992" s="15">
        <v>2014.0</v>
      </c>
      <c r="B992" s="16">
        <v>11.0</v>
      </c>
      <c r="C992" s="16">
        <v>2.0</v>
      </c>
      <c r="D992" s="16">
        <v>8.0</v>
      </c>
      <c r="E992" s="17" t="s">
        <v>16</v>
      </c>
      <c r="F992" s="17" t="s">
        <v>60</v>
      </c>
      <c r="G992" s="16">
        <v>3.83</v>
      </c>
      <c r="H992" s="16">
        <v>3.33</v>
      </c>
      <c r="I992" s="19">
        <v>7.16</v>
      </c>
      <c r="J992" s="33"/>
      <c r="K992" s="33"/>
    </row>
    <row r="993">
      <c r="A993" s="20">
        <v>2014.0</v>
      </c>
      <c r="B993" s="21">
        <v>11.0</v>
      </c>
      <c r="C993" s="21">
        <v>2.0</v>
      </c>
      <c r="D993" s="21">
        <v>8.0</v>
      </c>
      <c r="E993" s="22" t="s">
        <v>16</v>
      </c>
      <c r="F993" s="22" t="s">
        <v>91</v>
      </c>
      <c r="G993" s="21">
        <v>4.4</v>
      </c>
      <c r="H993" s="21">
        <v>2.43</v>
      </c>
      <c r="I993" s="23">
        <v>6.83</v>
      </c>
      <c r="J993" s="33"/>
      <c r="K993" s="33"/>
    </row>
    <row r="994">
      <c r="A994" s="15">
        <v>2014.0</v>
      </c>
      <c r="B994" s="16">
        <v>11.0</v>
      </c>
      <c r="C994" s="16">
        <v>2.0</v>
      </c>
      <c r="D994" s="16">
        <v>9.0</v>
      </c>
      <c r="E994" s="17" t="s">
        <v>16</v>
      </c>
      <c r="F994" s="17" t="s">
        <v>123</v>
      </c>
      <c r="G994" s="16">
        <v>4.0</v>
      </c>
      <c r="H994" s="16">
        <v>2.9</v>
      </c>
      <c r="I994" s="19">
        <v>6.9</v>
      </c>
      <c r="J994" s="33"/>
      <c r="K994" s="33"/>
    </row>
    <row r="995">
      <c r="A995" s="20">
        <v>2014.0</v>
      </c>
      <c r="B995" s="21">
        <v>11.0</v>
      </c>
      <c r="C995" s="21">
        <v>2.0</v>
      </c>
      <c r="D995" s="21">
        <v>9.0</v>
      </c>
      <c r="E995" s="22" t="s">
        <v>16</v>
      </c>
      <c r="F995" s="22" t="s">
        <v>124</v>
      </c>
      <c r="G995" s="21">
        <v>1.0</v>
      </c>
      <c r="H995" s="21">
        <v>0.57</v>
      </c>
      <c r="I995" s="23">
        <v>1.57</v>
      </c>
      <c r="J995" s="33"/>
      <c r="K995" s="33"/>
    </row>
    <row r="996">
      <c r="A996" s="15">
        <v>2014.0</v>
      </c>
      <c r="B996" s="16">
        <v>11.0</v>
      </c>
      <c r="C996" s="16">
        <v>2.0</v>
      </c>
      <c r="D996" s="16">
        <v>10.0</v>
      </c>
      <c r="E996" s="17" t="s">
        <v>16</v>
      </c>
      <c r="F996" s="17" t="s">
        <v>35</v>
      </c>
      <c r="G996" s="16">
        <v>9.37</v>
      </c>
      <c r="H996" s="16">
        <v>3.33</v>
      </c>
      <c r="I996" s="19">
        <v>12.7</v>
      </c>
      <c r="J996" s="33"/>
      <c r="K996" s="33"/>
    </row>
    <row r="997">
      <c r="A997" s="20">
        <v>2014.0</v>
      </c>
      <c r="B997" s="21">
        <v>11.0</v>
      </c>
      <c r="C997" s="21">
        <v>2.0</v>
      </c>
      <c r="D997" s="21">
        <v>10.0</v>
      </c>
      <c r="E997" s="22" t="s">
        <v>16</v>
      </c>
      <c r="F997" s="22" t="s">
        <v>120</v>
      </c>
      <c r="G997" s="21">
        <v>1.5</v>
      </c>
      <c r="H997" s="21">
        <v>1.27</v>
      </c>
      <c r="I997" s="23">
        <v>2.77</v>
      </c>
      <c r="J997" s="33"/>
      <c r="K997" s="33"/>
    </row>
    <row r="998">
      <c r="A998" s="15">
        <v>2014.0</v>
      </c>
      <c r="B998" s="16">
        <v>11.0</v>
      </c>
      <c r="C998" s="16">
        <v>2.0</v>
      </c>
      <c r="D998" s="16">
        <v>11.0</v>
      </c>
      <c r="E998" s="17" t="s">
        <v>16</v>
      </c>
      <c r="F998" s="17" t="s">
        <v>31</v>
      </c>
      <c r="G998" s="16">
        <v>2.5</v>
      </c>
      <c r="H998" s="16">
        <v>2.0</v>
      </c>
      <c r="I998" s="19">
        <v>4.5</v>
      </c>
      <c r="J998" s="33"/>
      <c r="K998" s="33"/>
    </row>
    <row r="999">
      <c r="A999" s="20">
        <v>2014.0</v>
      </c>
      <c r="B999" s="21">
        <v>11.0</v>
      </c>
      <c r="C999" s="21">
        <v>2.0</v>
      </c>
      <c r="D999" s="21">
        <v>11.0</v>
      </c>
      <c r="E999" s="22" t="s">
        <v>16</v>
      </c>
      <c r="F999" s="22" t="s">
        <v>126</v>
      </c>
      <c r="G999" s="21">
        <v>0.67</v>
      </c>
      <c r="H999" s="21">
        <v>0.17</v>
      </c>
      <c r="I999" s="23">
        <v>0.84</v>
      </c>
      <c r="J999" s="33"/>
      <c r="K999" s="33"/>
    </row>
    <row r="1000">
      <c r="A1000" s="15">
        <v>2014.0</v>
      </c>
      <c r="B1000" s="16">
        <v>11.0</v>
      </c>
      <c r="C1000" s="16">
        <v>2.0</v>
      </c>
      <c r="D1000" s="16">
        <v>12.0</v>
      </c>
      <c r="E1000" s="17" t="s">
        <v>16</v>
      </c>
      <c r="F1000" s="17" t="s">
        <v>34</v>
      </c>
      <c r="G1000" s="16">
        <v>2.43</v>
      </c>
      <c r="H1000" s="16">
        <v>1.7</v>
      </c>
      <c r="I1000" s="19">
        <v>4.13</v>
      </c>
      <c r="J1000" s="33"/>
      <c r="K1000" s="33"/>
    </row>
    <row r="1001">
      <c r="A1001" s="20">
        <v>2014.0</v>
      </c>
      <c r="B1001" s="21">
        <v>11.0</v>
      </c>
      <c r="C1001" s="21">
        <v>2.0</v>
      </c>
      <c r="D1001" s="21">
        <v>12.0</v>
      </c>
      <c r="E1001" s="22" t="s">
        <v>16</v>
      </c>
      <c r="F1001" s="22" t="s">
        <v>107</v>
      </c>
      <c r="G1001" s="21">
        <v>2.17</v>
      </c>
      <c r="H1001" s="21">
        <v>1.07</v>
      </c>
      <c r="I1001" s="23">
        <v>3.24</v>
      </c>
      <c r="J1001" s="33"/>
      <c r="K1001" s="33"/>
    </row>
    <row r="1002">
      <c r="A1002" s="15">
        <v>2014.0</v>
      </c>
      <c r="B1002" s="16">
        <v>11.0</v>
      </c>
      <c r="C1002" s="16">
        <v>3.0</v>
      </c>
      <c r="D1002" s="16">
        <v>1.0</v>
      </c>
      <c r="E1002" s="17" t="s">
        <v>16</v>
      </c>
      <c r="F1002" s="17" t="s">
        <v>26</v>
      </c>
      <c r="G1002" s="16">
        <v>8.5</v>
      </c>
      <c r="H1002" s="16">
        <v>7.83</v>
      </c>
      <c r="I1002" s="19">
        <v>16.33</v>
      </c>
      <c r="J1002" s="33"/>
      <c r="K1002" s="33"/>
    </row>
    <row r="1003">
      <c r="A1003" s="20">
        <v>2014.0</v>
      </c>
      <c r="B1003" s="21">
        <v>11.0</v>
      </c>
      <c r="C1003" s="21">
        <v>3.0</v>
      </c>
      <c r="D1003" s="21">
        <v>1.0</v>
      </c>
      <c r="E1003" s="22" t="s">
        <v>16</v>
      </c>
      <c r="F1003" s="22" t="s">
        <v>29</v>
      </c>
      <c r="G1003" s="21">
        <v>6.83</v>
      </c>
      <c r="H1003" s="21">
        <v>5.33</v>
      </c>
      <c r="I1003" s="23">
        <v>12.16</v>
      </c>
      <c r="J1003" s="33"/>
      <c r="K1003" s="33"/>
    </row>
    <row r="1004">
      <c r="A1004" s="15">
        <v>2014.0</v>
      </c>
      <c r="B1004" s="16">
        <v>11.0</v>
      </c>
      <c r="C1004" s="16">
        <v>3.0</v>
      </c>
      <c r="D1004" s="16">
        <v>2.0</v>
      </c>
      <c r="E1004" s="17" t="s">
        <v>16</v>
      </c>
      <c r="F1004" s="17" t="s">
        <v>57</v>
      </c>
      <c r="G1004" s="16">
        <v>8.0</v>
      </c>
      <c r="H1004" s="16">
        <v>4.2</v>
      </c>
      <c r="I1004" s="19">
        <v>12.2</v>
      </c>
      <c r="J1004" s="33"/>
      <c r="K1004" s="33"/>
    </row>
    <row r="1005">
      <c r="A1005" s="20">
        <v>2014.0</v>
      </c>
      <c r="B1005" s="21">
        <v>11.0</v>
      </c>
      <c r="C1005" s="21">
        <v>3.0</v>
      </c>
      <c r="D1005" s="21">
        <v>2.0</v>
      </c>
      <c r="E1005" s="22" t="s">
        <v>16</v>
      </c>
      <c r="F1005" s="22" t="s">
        <v>123</v>
      </c>
      <c r="G1005" s="21">
        <v>6.0</v>
      </c>
      <c r="H1005" s="21">
        <v>5.17</v>
      </c>
      <c r="I1005" s="23">
        <v>11.17</v>
      </c>
      <c r="J1005" s="33"/>
      <c r="K1005" s="33"/>
    </row>
    <row r="1006">
      <c r="A1006" s="15">
        <v>2014.0</v>
      </c>
      <c r="B1006" s="16">
        <v>11.0</v>
      </c>
      <c r="C1006" s="16">
        <v>3.0</v>
      </c>
      <c r="D1006" s="16">
        <v>3.0</v>
      </c>
      <c r="E1006" s="17" t="s">
        <v>16</v>
      </c>
      <c r="F1006" s="17" t="s">
        <v>27</v>
      </c>
      <c r="G1006" s="16">
        <v>5.5</v>
      </c>
      <c r="H1006" s="16">
        <v>4.17</v>
      </c>
      <c r="I1006" s="19">
        <v>9.67</v>
      </c>
      <c r="J1006" s="33"/>
      <c r="K1006" s="33"/>
    </row>
    <row r="1007">
      <c r="A1007" s="20">
        <v>2014.0</v>
      </c>
      <c r="B1007" s="21">
        <v>11.0</v>
      </c>
      <c r="C1007" s="21">
        <v>3.0</v>
      </c>
      <c r="D1007" s="21">
        <v>3.0</v>
      </c>
      <c r="E1007" s="22" t="s">
        <v>16</v>
      </c>
      <c r="F1007" s="22" t="s">
        <v>34</v>
      </c>
      <c r="G1007" s="21">
        <v>4.67</v>
      </c>
      <c r="H1007" s="21">
        <v>2.33</v>
      </c>
      <c r="I1007" s="23">
        <v>7.0</v>
      </c>
      <c r="J1007" s="33"/>
      <c r="K1007" s="33"/>
    </row>
    <row r="1008">
      <c r="A1008" s="15">
        <v>2014.0</v>
      </c>
      <c r="B1008" s="16">
        <v>11.0</v>
      </c>
      <c r="C1008" s="16">
        <v>3.0</v>
      </c>
      <c r="D1008" s="16">
        <v>4.0</v>
      </c>
      <c r="E1008" s="17" t="s">
        <v>16</v>
      </c>
      <c r="F1008" s="17" t="s">
        <v>45</v>
      </c>
      <c r="G1008" s="16">
        <v>5.83</v>
      </c>
      <c r="H1008" s="16">
        <v>4.67</v>
      </c>
      <c r="I1008" s="19">
        <v>10.5</v>
      </c>
      <c r="J1008" s="33"/>
      <c r="K1008" s="33"/>
    </row>
    <row r="1009">
      <c r="A1009" s="20">
        <v>2014.0</v>
      </c>
      <c r="B1009" s="21">
        <v>11.0</v>
      </c>
      <c r="C1009" s="21">
        <v>3.0</v>
      </c>
      <c r="D1009" s="21">
        <v>4.0</v>
      </c>
      <c r="E1009" s="22" t="s">
        <v>16</v>
      </c>
      <c r="F1009" s="22" t="s">
        <v>35</v>
      </c>
      <c r="G1009" s="21">
        <v>5.17</v>
      </c>
      <c r="H1009" s="21">
        <v>2.7</v>
      </c>
      <c r="I1009" s="23">
        <v>7.87</v>
      </c>
      <c r="J1009" s="33"/>
      <c r="K1009" s="33"/>
    </row>
    <row r="1010">
      <c r="A1010" s="15">
        <v>2014.0</v>
      </c>
      <c r="B1010" s="16">
        <v>11.0</v>
      </c>
      <c r="C1010" s="16">
        <v>3.0</v>
      </c>
      <c r="D1010" s="16">
        <v>5.0</v>
      </c>
      <c r="E1010" s="17" t="s">
        <v>16</v>
      </c>
      <c r="F1010" s="17" t="s">
        <v>55</v>
      </c>
      <c r="G1010" s="16">
        <v>3.17</v>
      </c>
      <c r="H1010" s="16">
        <v>2.0</v>
      </c>
      <c r="I1010" s="19">
        <v>5.17</v>
      </c>
      <c r="J1010" s="33"/>
      <c r="K1010" s="33"/>
    </row>
    <row r="1011">
      <c r="A1011" s="20">
        <v>2014.0</v>
      </c>
      <c r="B1011" s="21">
        <v>11.0</v>
      </c>
      <c r="C1011" s="21">
        <v>3.0</v>
      </c>
      <c r="D1011" s="21">
        <v>5.0</v>
      </c>
      <c r="E1011" s="22" t="s">
        <v>16</v>
      </c>
      <c r="F1011" s="22" t="s">
        <v>33</v>
      </c>
      <c r="G1011" s="21">
        <v>6.67</v>
      </c>
      <c r="H1011" s="21">
        <v>5.5</v>
      </c>
      <c r="I1011" s="23">
        <v>12.17</v>
      </c>
      <c r="J1011" s="33"/>
      <c r="K1011" s="33"/>
    </row>
    <row r="1012">
      <c r="A1012" s="15">
        <v>2014.0</v>
      </c>
      <c r="B1012" s="16">
        <v>11.0</v>
      </c>
      <c r="C1012" s="16">
        <v>3.0</v>
      </c>
      <c r="D1012" s="16">
        <v>6.0</v>
      </c>
      <c r="E1012" s="17" t="s">
        <v>16</v>
      </c>
      <c r="F1012" s="17" t="s">
        <v>30</v>
      </c>
      <c r="G1012" s="16">
        <v>8.83</v>
      </c>
      <c r="H1012" s="16">
        <v>8.83</v>
      </c>
      <c r="I1012" s="19">
        <v>17.66</v>
      </c>
      <c r="J1012" s="33"/>
      <c r="K1012" s="33"/>
    </row>
    <row r="1013">
      <c r="A1013" s="20">
        <v>2014.0</v>
      </c>
      <c r="B1013" s="21">
        <v>11.0</v>
      </c>
      <c r="C1013" s="21">
        <v>3.0</v>
      </c>
      <c r="D1013" s="21">
        <v>6.0</v>
      </c>
      <c r="E1013" s="22" t="s">
        <v>16</v>
      </c>
      <c r="F1013" s="22" t="s">
        <v>70</v>
      </c>
      <c r="G1013" s="21">
        <v>7.17</v>
      </c>
      <c r="H1013" s="21">
        <v>4.67</v>
      </c>
      <c r="I1013" s="23">
        <v>11.84</v>
      </c>
      <c r="J1013" s="33"/>
      <c r="K1013" s="33"/>
    </row>
    <row r="1014">
      <c r="A1014" s="15">
        <v>2014.0</v>
      </c>
      <c r="B1014" s="16">
        <v>11.0</v>
      </c>
      <c r="C1014" s="16">
        <v>3.0</v>
      </c>
      <c r="D1014" s="16">
        <v>7.0</v>
      </c>
      <c r="E1014" s="17" t="s">
        <v>16</v>
      </c>
      <c r="F1014" s="17" t="s">
        <v>32</v>
      </c>
      <c r="G1014" s="16">
        <v>1.03</v>
      </c>
      <c r="H1014" s="16">
        <v>0.37</v>
      </c>
      <c r="I1014" s="19">
        <v>1.4</v>
      </c>
      <c r="J1014" s="33"/>
      <c r="K1014" s="33"/>
    </row>
    <row r="1015">
      <c r="A1015" s="20">
        <v>2014.0</v>
      </c>
      <c r="B1015" s="21">
        <v>11.0</v>
      </c>
      <c r="C1015" s="21">
        <v>3.0</v>
      </c>
      <c r="D1015" s="21">
        <v>7.0</v>
      </c>
      <c r="E1015" s="22" t="s">
        <v>16</v>
      </c>
      <c r="F1015" s="22" t="s">
        <v>31</v>
      </c>
      <c r="G1015" s="21">
        <v>6.67</v>
      </c>
      <c r="H1015" s="21">
        <v>2.73</v>
      </c>
      <c r="I1015" s="23">
        <v>9.4</v>
      </c>
      <c r="J1015" s="33"/>
      <c r="K1015" s="33"/>
    </row>
    <row r="1016">
      <c r="A1016" s="15">
        <v>2014.0</v>
      </c>
      <c r="B1016" s="16">
        <v>11.0</v>
      </c>
      <c r="C1016" s="16">
        <v>3.0</v>
      </c>
      <c r="D1016" s="16">
        <v>8.0</v>
      </c>
      <c r="E1016" s="17" t="s">
        <v>16</v>
      </c>
      <c r="F1016" s="17" t="s">
        <v>59</v>
      </c>
      <c r="G1016" s="16">
        <v>1.33</v>
      </c>
      <c r="H1016" s="16">
        <v>0.0</v>
      </c>
      <c r="I1016" s="19">
        <v>1.33</v>
      </c>
      <c r="J1016" s="33"/>
      <c r="K1016" s="33"/>
    </row>
    <row r="1017">
      <c r="A1017" s="20">
        <v>2014.0</v>
      </c>
      <c r="B1017" s="21">
        <v>11.0</v>
      </c>
      <c r="C1017" s="21">
        <v>3.0</v>
      </c>
      <c r="D1017" s="21">
        <v>8.0</v>
      </c>
      <c r="E1017" s="22" t="s">
        <v>16</v>
      </c>
      <c r="F1017" s="22" t="s">
        <v>47</v>
      </c>
      <c r="G1017" s="21">
        <v>7.7</v>
      </c>
      <c r="H1017" s="21">
        <v>3.83</v>
      </c>
      <c r="I1017" s="23">
        <v>11.53</v>
      </c>
      <c r="J1017" s="33"/>
      <c r="K1017" s="33"/>
    </row>
    <row r="1018">
      <c r="A1018" s="15">
        <v>2014.0</v>
      </c>
      <c r="B1018" s="16">
        <v>11.0</v>
      </c>
      <c r="C1018" s="16">
        <v>3.0</v>
      </c>
      <c r="D1018" s="16">
        <v>9.0</v>
      </c>
      <c r="E1018" s="17" t="s">
        <v>16</v>
      </c>
      <c r="F1018" s="17" t="s">
        <v>41</v>
      </c>
      <c r="G1018" s="16">
        <v>8.17</v>
      </c>
      <c r="H1018" s="16">
        <v>2.67</v>
      </c>
      <c r="I1018" s="19">
        <v>10.84</v>
      </c>
      <c r="J1018" s="33"/>
      <c r="K1018" s="33"/>
    </row>
    <row r="1019">
      <c r="A1019" s="20">
        <v>2014.0</v>
      </c>
      <c r="B1019" s="21">
        <v>11.0</v>
      </c>
      <c r="C1019" s="21">
        <v>3.0</v>
      </c>
      <c r="D1019" s="21">
        <v>9.0</v>
      </c>
      <c r="E1019" s="22" t="s">
        <v>16</v>
      </c>
      <c r="F1019" s="22" t="s">
        <v>50</v>
      </c>
      <c r="G1019" s="21">
        <v>4.0</v>
      </c>
      <c r="H1019" s="21">
        <v>3.67</v>
      </c>
      <c r="I1019" s="23">
        <v>7.67</v>
      </c>
      <c r="J1019" s="33"/>
      <c r="K1019" s="33"/>
    </row>
    <row r="1020">
      <c r="A1020" s="15">
        <v>2014.0</v>
      </c>
      <c r="B1020" s="16">
        <v>11.0</v>
      </c>
      <c r="C1020" s="16">
        <v>3.0</v>
      </c>
      <c r="D1020" s="16">
        <v>10.0</v>
      </c>
      <c r="E1020" s="17" t="s">
        <v>16</v>
      </c>
      <c r="F1020" s="17" t="s">
        <v>39</v>
      </c>
      <c r="G1020" s="16">
        <v>3.93</v>
      </c>
      <c r="H1020" s="16">
        <v>2.83</v>
      </c>
      <c r="I1020" s="19">
        <v>6.76</v>
      </c>
      <c r="J1020" s="33"/>
      <c r="K1020" s="33"/>
    </row>
    <row r="1021">
      <c r="A1021" s="20">
        <v>2014.0</v>
      </c>
      <c r="B1021" s="21">
        <v>11.0</v>
      </c>
      <c r="C1021" s="21">
        <v>3.0</v>
      </c>
      <c r="D1021" s="21">
        <v>10.0</v>
      </c>
      <c r="E1021" s="22" t="s">
        <v>16</v>
      </c>
      <c r="F1021" s="22" t="s">
        <v>38</v>
      </c>
      <c r="G1021" s="21">
        <v>4.83</v>
      </c>
      <c r="H1021" s="21">
        <v>4.1</v>
      </c>
      <c r="I1021" s="23">
        <v>8.93</v>
      </c>
      <c r="J1021" s="33"/>
      <c r="K1021" s="33"/>
    </row>
    <row r="1022">
      <c r="A1022" s="15">
        <v>2014.0</v>
      </c>
      <c r="B1022" s="16">
        <v>11.0</v>
      </c>
      <c r="C1022" s="16">
        <v>3.0</v>
      </c>
      <c r="D1022" s="16">
        <v>11.0</v>
      </c>
      <c r="E1022" s="17" t="s">
        <v>16</v>
      </c>
      <c r="F1022" s="17" t="s">
        <v>56</v>
      </c>
      <c r="G1022" s="16">
        <v>7.67</v>
      </c>
      <c r="H1022" s="16">
        <v>1.77</v>
      </c>
      <c r="I1022" s="19">
        <v>9.44</v>
      </c>
      <c r="J1022" s="33"/>
      <c r="K1022" s="33"/>
    </row>
    <row r="1023">
      <c r="A1023" s="20">
        <v>2014.0</v>
      </c>
      <c r="B1023" s="21">
        <v>11.0</v>
      </c>
      <c r="C1023" s="21">
        <v>3.0</v>
      </c>
      <c r="D1023" s="21">
        <v>11.0</v>
      </c>
      <c r="E1023" s="22" t="s">
        <v>16</v>
      </c>
      <c r="F1023" s="22" t="s">
        <v>60</v>
      </c>
      <c r="G1023" s="21">
        <v>6.5</v>
      </c>
      <c r="H1023" s="21">
        <v>4.17</v>
      </c>
      <c r="I1023" s="23">
        <v>10.67</v>
      </c>
      <c r="J1023" s="33"/>
      <c r="K1023" s="33"/>
    </row>
    <row r="1024">
      <c r="A1024" s="15">
        <v>2014.0</v>
      </c>
      <c r="B1024" s="16">
        <v>11.0</v>
      </c>
      <c r="C1024" s="16">
        <v>3.0</v>
      </c>
      <c r="D1024" s="16">
        <v>12.0</v>
      </c>
      <c r="E1024" s="17" t="s">
        <v>16</v>
      </c>
      <c r="F1024" s="17" t="s">
        <v>37</v>
      </c>
      <c r="G1024" s="16">
        <v>8.6</v>
      </c>
      <c r="H1024" s="16">
        <v>4.5</v>
      </c>
      <c r="I1024" s="19">
        <v>13.1</v>
      </c>
      <c r="J1024" s="33"/>
      <c r="K1024" s="33"/>
    </row>
    <row r="1025">
      <c r="A1025" s="20">
        <v>2014.0</v>
      </c>
      <c r="B1025" s="21">
        <v>11.0</v>
      </c>
      <c r="C1025" s="21">
        <v>3.0</v>
      </c>
      <c r="D1025" s="21">
        <v>12.0</v>
      </c>
      <c r="E1025" s="22" t="s">
        <v>16</v>
      </c>
      <c r="F1025" s="22" t="s">
        <v>76</v>
      </c>
      <c r="G1025" s="21">
        <v>9.5</v>
      </c>
      <c r="H1025" s="21">
        <v>6.0</v>
      </c>
      <c r="I1025" s="23">
        <v>15.5</v>
      </c>
      <c r="J1025" s="33"/>
      <c r="K1025" s="33"/>
    </row>
    <row r="1026">
      <c r="A1026" s="15">
        <v>2014.0</v>
      </c>
      <c r="B1026" s="16">
        <v>11.0</v>
      </c>
      <c r="C1026" s="16">
        <v>4.0</v>
      </c>
      <c r="D1026" s="16">
        <v>1.0</v>
      </c>
      <c r="E1026" s="17" t="s">
        <v>16</v>
      </c>
      <c r="F1026" s="17" t="s">
        <v>26</v>
      </c>
      <c r="G1026" s="16">
        <v>5.67</v>
      </c>
      <c r="H1026" s="16">
        <v>1.07</v>
      </c>
      <c r="I1026" s="19">
        <v>6.74</v>
      </c>
      <c r="J1026" s="33"/>
      <c r="K1026" s="33"/>
    </row>
    <row r="1027">
      <c r="A1027" s="20">
        <v>2014.0</v>
      </c>
      <c r="B1027" s="21">
        <v>11.0</v>
      </c>
      <c r="C1027" s="21">
        <v>4.0</v>
      </c>
      <c r="D1027" s="21">
        <v>1.0</v>
      </c>
      <c r="E1027" s="22" t="s">
        <v>16</v>
      </c>
      <c r="F1027" s="22" t="s">
        <v>57</v>
      </c>
      <c r="G1027" s="21">
        <v>3.33</v>
      </c>
      <c r="H1027" s="21">
        <v>2.6</v>
      </c>
      <c r="I1027" s="23">
        <v>5.93</v>
      </c>
      <c r="J1027" s="33"/>
      <c r="K1027" s="33"/>
    </row>
    <row r="1028">
      <c r="A1028" s="15">
        <v>2014.0</v>
      </c>
      <c r="B1028" s="16">
        <v>11.0</v>
      </c>
      <c r="C1028" s="16">
        <v>4.0</v>
      </c>
      <c r="D1028" s="16">
        <v>1.0</v>
      </c>
      <c r="E1028" s="17" t="s">
        <v>16</v>
      </c>
      <c r="F1028" s="17" t="s">
        <v>27</v>
      </c>
      <c r="G1028" s="16">
        <v>4.0</v>
      </c>
      <c r="H1028" s="16">
        <v>2.4</v>
      </c>
      <c r="I1028" s="19">
        <v>6.4</v>
      </c>
      <c r="J1028" s="33"/>
      <c r="K1028" s="33"/>
    </row>
    <row r="1029">
      <c r="A1029" s="20">
        <v>2014.0</v>
      </c>
      <c r="B1029" s="21">
        <v>11.0</v>
      </c>
      <c r="C1029" s="21">
        <v>4.0</v>
      </c>
      <c r="D1029" s="21">
        <v>2.0</v>
      </c>
      <c r="E1029" s="22" t="s">
        <v>16</v>
      </c>
      <c r="F1029" s="22" t="s">
        <v>45</v>
      </c>
      <c r="G1029" s="21">
        <v>2.67</v>
      </c>
      <c r="H1029" s="21">
        <v>2.3</v>
      </c>
      <c r="I1029" s="23">
        <v>4.97</v>
      </c>
      <c r="J1029" s="33"/>
      <c r="K1029" s="33"/>
    </row>
    <row r="1030">
      <c r="A1030" s="15">
        <v>2014.0</v>
      </c>
      <c r="B1030" s="16">
        <v>11.0</v>
      </c>
      <c r="C1030" s="16">
        <v>4.0</v>
      </c>
      <c r="D1030" s="16">
        <v>2.0</v>
      </c>
      <c r="E1030" s="17" t="s">
        <v>16</v>
      </c>
      <c r="F1030" s="17" t="s">
        <v>33</v>
      </c>
      <c r="G1030" s="16">
        <v>9.23</v>
      </c>
      <c r="H1030" s="16">
        <v>6.0</v>
      </c>
      <c r="I1030" s="19">
        <v>15.23</v>
      </c>
      <c r="J1030" s="33"/>
      <c r="K1030" s="33"/>
    </row>
    <row r="1031">
      <c r="A1031" s="20">
        <v>2014.0</v>
      </c>
      <c r="B1031" s="21">
        <v>11.0</v>
      </c>
      <c r="C1031" s="21">
        <v>4.0</v>
      </c>
      <c r="D1031" s="21">
        <v>2.0</v>
      </c>
      <c r="E1031" s="22" t="s">
        <v>16</v>
      </c>
      <c r="F1031" s="22" t="s">
        <v>30</v>
      </c>
      <c r="G1031" s="21">
        <v>8.67</v>
      </c>
      <c r="H1031" s="21">
        <v>7.0</v>
      </c>
      <c r="I1031" s="23">
        <v>15.67</v>
      </c>
      <c r="J1031" s="33"/>
      <c r="K1031" s="33"/>
    </row>
    <row r="1032">
      <c r="A1032" s="15">
        <v>2014.0</v>
      </c>
      <c r="B1032" s="16">
        <v>11.0</v>
      </c>
      <c r="C1032" s="16">
        <v>4.0</v>
      </c>
      <c r="D1032" s="16">
        <v>3.0</v>
      </c>
      <c r="E1032" s="17" t="s">
        <v>16</v>
      </c>
      <c r="F1032" s="17" t="s">
        <v>31</v>
      </c>
      <c r="G1032" s="16">
        <v>4.6</v>
      </c>
      <c r="H1032" s="16">
        <v>1.83</v>
      </c>
      <c r="I1032" s="19">
        <v>6.43</v>
      </c>
      <c r="J1032" s="33"/>
      <c r="K1032" s="33"/>
    </row>
    <row r="1033">
      <c r="A1033" s="20">
        <v>2014.0</v>
      </c>
      <c r="B1033" s="21">
        <v>11.0</v>
      </c>
      <c r="C1033" s="21">
        <v>4.0</v>
      </c>
      <c r="D1033" s="21">
        <v>3.0</v>
      </c>
      <c r="E1033" s="22" t="s">
        <v>16</v>
      </c>
      <c r="F1033" s="22" t="s">
        <v>47</v>
      </c>
      <c r="G1033" s="21">
        <v>4.03</v>
      </c>
      <c r="H1033" s="21">
        <v>2.83</v>
      </c>
      <c r="I1033" s="23">
        <v>6.86</v>
      </c>
      <c r="J1033" s="33"/>
      <c r="K1033" s="33"/>
    </row>
    <row r="1034">
      <c r="A1034" s="15">
        <v>2014.0</v>
      </c>
      <c r="B1034" s="16">
        <v>11.0</v>
      </c>
      <c r="C1034" s="16">
        <v>4.0</v>
      </c>
      <c r="D1034" s="16">
        <v>3.0</v>
      </c>
      <c r="E1034" s="17" t="s">
        <v>16</v>
      </c>
      <c r="F1034" s="17" t="s">
        <v>41</v>
      </c>
      <c r="G1034" s="16">
        <v>5.17</v>
      </c>
      <c r="H1034" s="16">
        <v>1.3</v>
      </c>
      <c r="I1034" s="19">
        <v>6.47</v>
      </c>
      <c r="J1034" s="33"/>
      <c r="K1034" s="33"/>
    </row>
    <row r="1035">
      <c r="A1035" s="20">
        <v>2014.0</v>
      </c>
      <c r="B1035" s="21">
        <v>11.0</v>
      </c>
      <c r="C1035" s="21">
        <v>4.0</v>
      </c>
      <c r="D1035" s="21">
        <v>4.0</v>
      </c>
      <c r="E1035" s="22" t="s">
        <v>16</v>
      </c>
      <c r="F1035" s="22" t="s">
        <v>60</v>
      </c>
      <c r="G1035" s="21">
        <v>4.23</v>
      </c>
      <c r="H1035" s="21">
        <v>2.83</v>
      </c>
      <c r="I1035" s="23">
        <v>7.06</v>
      </c>
      <c r="J1035" s="33"/>
      <c r="K1035" s="33"/>
    </row>
    <row r="1036">
      <c r="A1036" s="15">
        <v>2014.0</v>
      </c>
      <c r="B1036" s="16">
        <v>11.0</v>
      </c>
      <c r="C1036" s="16">
        <v>4.0</v>
      </c>
      <c r="D1036" s="16">
        <v>4.0</v>
      </c>
      <c r="E1036" s="17" t="s">
        <v>16</v>
      </c>
      <c r="F1036" s="17" t="s">
        <v>38</v>
      </c>
      <c r="G1036" s="16">
        <v>4.17</v>
      </c>
      <c r="H1036" s="16">
        <v>0.37</v>
      </c>
      <c r="I1036" s="19">
        <v>4.54</v>
      </c>
      <c r="J1036" s="33"/>
      <c r="K1036" s="33"/>
    </row>
    <row r="1037">
      <c r="A1037" s="20">
        <v>2014.0</v>
      </c>
      <c r="B1037" s="21">
        <v>11.0</v>
      </c>
      <c r="C1037" s="21">
        <v>4.0</v>
      </c>
      <c r="D1037" s="21">
        <v>4.0</v>
      </c>
      <c r="E1037" s="22" t="s">
        <v>16</v>
      </c>
      <c r="F1037" s="22" t="s">
        <v>76</v>
      </c>
      <c r="G1037" s="21">
        <v>0.77</v>
      </c>
      <c r="H1037" s="21">
        <v>0.5</v>
      </c>
      <c r="I1037" s="23">
        <v>1.27</v>
      </c>
      <c r="J1037" s="33"/>
      <c r="K1037" s="33"/>
    </row>
    <row r="1038">
      <c r="A1038" s="15">
        <v>2014.0</v>
      </c>
      <c r="B1038" s="16">
        <v>11.0</v>
      </c>
      <c r="C1038" s="16">
        <v>5.0</v>
      </c>
      <c r="D1038" s="16">
        <v>1.0</v>
      </c>
      <c r="E1038" s="17" t="s">
        <v>16</v>
      </c>
      <c r="F1038" s="17" t="s">
        <v>33</v>
      </c>
      <c r="G1038" s="16">
        <v>7.83</v>
      </c>
      <c r="H1038" s="16">
        <v>6.83</v>
      </c>
      <c r="I1038" s="19">
        <v>14.66</v>
      </c>
      <c r="J1038" s="33"/>
      <c r="K1038" s="33"/>
    </row>
    <row r="1039">
      <c r="A1039" s="20">
        <v>2014.0</v>
      </c>
      <c r="B1039" s="21">
        <v>11.0</v>
      </c>
      <c r="C1039" s="21">
        <v>5.0</v>
      </c>
      <c r="D1039" s="21">
        <v>1.0</v>
      </c>
      <c r="E1039" s="22" t="s">
        <v>16</v>
      </c>
      <c r="F1039" s="22" t="s">
        <v>57</v>
      </c>
      <c r="G1039" s="21">
        <v>2.67</v>
      </c>
      <c r="H1039" s="21">
        <v>1.17</v>
      </c>
      <c r="I1039" s="23">
        <v>3.84</v>
      </c>
      <c r="J1039" s="33"/>
      <c r="K1039" s="33"/>
    </row>
    <row r="1040">
      <c r="A1040" s="15">
        <v>2014.0</v>
      </c>
      <c r="B1040" s="16">
        <v>11.0</v>
      </c>
      <c r="C1040" s="16">
        <v>5.0</v>
      </c>
      <c r="D1040" s="16">
        <v>2.0</v>
      </c>
      <c r="E1040" s="17" t="s">
        <v>16</v>
      </c>
      <c r="F1040" s="17" t="s">
        <v>27</v>
      </c>
      <c r="G1040" s="16">
        <v>6.67</v>
      </c>
      <c r="H1040" s="16">
        <v>4.17</v>
      </c>
      <c r="I1040" s="19">
        <v>10.84</v>
      </c>
      <c r="J1040" s="33"/>
      <c r="K1040" s="33"/>
    </row>
    <row r="1041">
      <c r="A1041" s="20">
        <v>2014.0</v>
      </c>
      <c r="B1041" s="21">
        <v>11.0</v>
      </c>
      <c r="C1041" s="21">
        <v>5.0</v>
      </c>
      <c r="D1041" s="21">
        <v>2.0</v>
      </c>
      <c r="E1041" s="22" t="s">
        <v>16</v>
      </c>
      <c r="F1041" s="22" t="s">
        <v>45</v>
      </c>
      <c r="G1041" s="21">
        <v>8.5</v>
      </c>
      <c r="H1041" s="21">
        <v>5.5</v>
      </c>
      <c r="I1041" s="23">
        <v>14.0</v>
      </c>
      <c r="J1041" s="33"/>
      <c r="K1041" s="33"/>
    </row>
    <row r="1042">
      <c r="A1042" s="15">
        <v>2014.0</v>
      </c>
      <c r="B1042" s="16">
        <v>11.0</v>
      </c>
      <c r="C1042" s="16">
        <v>5.0</v>
      </c>
      <c r="D1042" s="16">
        <v>3.0</v>
      </c>
      <c r="E1042" s="17" t="s">
        <v>16</v>
      </c>
      <c r="F1042" s="17" t="s">
        <v>41</v>
      </c>
      <c r="G1042" s="16">
        <v>1.57</v>
      </c>
      <c r="H1042" s="16">
        <v>1.27</v>
      </c>
      <c r="I1042" s="19">
        <v>2.84</v>
      </c>
      <c r="J1042" s="33"/>
      <c r="K1042" s="33"/>
    </row>
    <row r="1043">
      <c r="A1043" s="20">
        <v>2014.0</v>
      </c>
      <c r="B1043" s="21">
        <v>11.0</v>
      </c>
      <c r="C1043" s="21">
        <v>5.0</v>
      </c>
      <c r="D1043" s="21">
        <v>3.0</v>
      </c>
      <c r="E1043" s="22" t="s">
        <v>16</v>
      </c>
      <c r="F1043" s="22" t="s">
        <v>76</v>
      </c>
      <c r="G1043" s="21">
        <v>5.5</v>
      </c>
      <c r="H1043" s="21">
        <v>1.03</v>
      </c>
      <c r="I1043" s="23">
        <v>6.53</v>
      </c>
      <c r="J1043" s="33"/>
      <c r="K1043" s="33"/>
    </row>
    <row r="1044">
      <c r="A1044" s="15">
        <v>2014.0</v>
      </c>
      <c r="B1044" s="16">
        <v>11.0</v>
      </c>
      <c r="C1044" s="16">
        <v>5.0</v>
      </c>
      <c r="D1044" s="16">
        <v>4.0</v>
      </c>
      <c r="E1044" s="17" t="s">
        <v>16</v>
      </c>
      <c r="F1044" s="17" t="s">
        <v>38</v>
      </c>
      <c r="G1044" s="16">
        <v>7.17</v>
      </c>
      <c r="H1044" s="16">
        <v>3.17</v>
      </c>
      <c r="I1044" s="19">
        <v>10.34</v>
      </c>
      <c r="J1044" s="33"/>
      <c r="K1044" s="33"/>
    </row>
    <row r="1045">
      <c r="A1045" s="20">
        <v>2014.0</v>
      </c>
      <c r="B1045" s="21">
        <v>11.0</v>
      </c>
      <c r="C1045" s="21">
        <v>5.0</v>
      </c>
      <c r="D1045" s="21">
        <v>4.0</v>
      </c>
      <c r="E1045" s="22" t="s">
        <v>16</v>
      </c>
      <c r="F1045" s="22" t="s">
        <v>31</v>
      </c>
      <c r="G1045" s="21">
        <v>9.63</v>
      </c>
      <c r="H1045" s="21">
        <v>7.83</v>
      </c>
      <c r="I1045" s="23">
        <v>17.46</v>
      </c>
      <c r="J1045" s="33"/>
      <c r="K1045" s="33"/>
    </row>
    <row r="1046">
      <c r="A1046" s="15">
        <v>2014.0</v>
      </c>
      <c r="B1046" s="16">
        <v>11.0</v>
      </c>
      <c r="C1046" s="16">
        <v>6.0</v>
      </c>
      <c r="D1046" s="16">
        <v>1.0</v>
      </c>
      <c r="E1046" s="17" t="s">
        <v>16</v>
      </c>
      <c r="F1046" s="17" t="s">
        <v>30</v>
      </c>
      <c r="G1046" s="16">
        <v>3.17</v>
      </c>
      <c r="H1046" s="16">
        <v>1.13</v>
      </c>
      <c r="I1046" s="19">
        <v>4.3</v>
      </c>
      <c r="J1046" s="33"/>
      <c r="K1046" s="33"/>
    </row>
    <row r="1047">
      <c r="A1047" s="20">
        <v>2014.0</v>
      </c>
      <c r="B1047" s="21">
        <v>11.0</v>
      </c>
      <c r="C1047" s="21">
        <v>6.0</v>
      </c>
      <c r="D1047" s="21">
        <v>1.0</v>
      </c>
      <c r="E1047" s="22" t="s">
        <v>16</v>
      </c>
      <c r="F1047" s="22" t="s">
        <v>33</v>
      </c>
      <c r="G1047" s="21">
        <v>1.77</v>
      </c>
      <c r="H1047" s="21">
        <v>1.5</v>
      </c>
      <c r="I1047" s="23">
        <v>3.27</v>
      </c>
      <c r="J1047" s="33"/>
      <c r="K1047" s="33"/>
    </row>
    <row r="1048">
      <c r="A1048" s="15">
        <v>2014.0</v>
      </c>
      <c r="B1048" s="16">
        <v>11.0</v>
      </c>
      <c r="C1048" s="16">
        <v>6.0</v>
      </c>
      <c r="D1048" s="16">
        <v>2.0</v>
      </c>
      <c r="E1048" s="17" t="s">
        <v>16</v>
      </c>
      <c r="F1048" s="17" t="s">
        <v>26</v>
      </c>
      <c r="G1048" s="16">
        <v>3.67</v>
      </c>
      <c r="H1048" s="16">
        <v>0.37</v>
      </c>
      <c r="I1048" s="19">
        <v>4.04</v>
      </c>
      <c r="J1048" s="33"/>
      <c r="K1048" s="33"/>
    </row>
    <row r="1049">
      <c r="A1049" s="20">
        <v>2014.0</v>
      </c>
      <c r="B1049" s="21">
        <v>11.0</v>
      </c>
      <c r="C1049" s="21">
        <v>6.0</v>
      </c>
      <c r="D1049" s="21">
        <v>2.0</v>
      </c>
      <c r="E1049" s="22" t="s">
        <v>16</v>
      </c>
      <c r="F1049" s="22" t="s">
        <v>45</v>
      </c>
      <c r="G1049" s="21">
        <v>4.17</v>
      </c>
      <c r="H1049" s="21">
        <v>1.83</v>
      </c>
      <c r="I1049" s="23">
        <v>6.0</v>
      </c>
      <c r="J1049" s="33"/>
      <c r="K1049" s="33"/>
    </row>
    <row r="1050">
      <c r="A1050" s="15">
        <v>2014.0</v>
      </c>
      <c r="B1050" s="16">
        <v>11.0</v>
      </c>
      <c r="C1050" s="16">
        <v>6.0</v>
      </c>
      <c r="D1050" s="16">
        <v>3.0</v>
      </c>
      <c r="E1050" s="17" t="s">
        <v>16</v>
      </c>
      <c r="F1050" s="17" t="s">
        <v>47</v>
      </c>
      <c r="G1050" s="16">
        <v>7.5</v>
      </c>
      <c r="H1050" s="16">
        <v>4.67</v>
      </c>
      <c r="I1050" s="19">
        <v>12.17</v>
      </c>
      <c r="J1050" s="33"/>
      <c r="K1050" s="33"/>
    </row>
    <row r="1051">
      <c r="A1051" s="20">
        <v>2014.0</v>
      </c>
      <c r="B1051" s="21">
        <v>11.0</v>
      </c>
      <c r="C1051" s="21">
        <v>6.0</v>
      </c>
      <c r="D1051" s="21">
        <v>3.0</v>
      </c>
      <c r="E1051" s="22" t="s">
        <v>16</v>
      </c>
      <c r="F1051" s="22" t="s">
        <v>76</v>
      </c>
      <c r="G1051" s="21">
        <v>2.17</v>
      </c>
      <c r="H1051" s="21">
        <v>1.6</v>
      </c>
      <c r="I1051" s="23">
        <v>3.77</v>
      </c>
      <c r="J1051" s="33"/>
      <c r="K1051" s="33"/>
    </row>
    <row r="1052">
      <c r="A1052" s="15">
        <v>2014.0</v>
      </c>
      <c r="B1052" s="16">
        <v>11.0</v>
      </c>
      <c r="C1052" s="16">
        <v>6.0</v>
      </c>
      <c r="D1052" s="16">
        <v>4.0</v>
      </c>
      <c r="E1052" s="17" t="s">
        <v>16</v>
      </c>
      <c r="F1052" s="17" t="s">
        <v>60</v>
      </c>
      <c r="G1052" s="16">
        <v>1.47</v>
      </c>
      <c r="H1052" s="16">
        <v>1.3</v>
      </c>
      <c r="I1052" s="19">
        <v>2.77</v>
      </c>
      <c r="J1052" s="33"/>
      <c r="K1052" s="33"/>
    </row>
    <row r="1053">
      <c r="A1053" s="20">
        <v>2014.0</v>
      </c>
      <c r="B1053" s="21">
        <v>11.0</v>
      </c>
      <c r="C1053" s="21">
        <v>6.0</v>
      </c>
      <c r="D1053" s="21">
        <v>4.0</v>
      </c>
      <c r="E1053" s="22" t="s">
        <v>16</v>
      </c>
      <c r="F1053" s="22" t="s">
        <v>31</v>
      </c>
      <c r="G1053" s="21">
        <v>9.5</v>
      </c>
      <c r="H1053" s="21">
        <v>8.33</v>
      </c>
      <c r="I1053" s="23">
        <v>17.83</v>
      </c>
      <c r="J1053" s="33"/>
      <c r="K1053" s="33"/>
    </row>
    <row r="1054">
      <c r="A1054" s="15">
        <v>2014.0</v>
      </c>
      <c r="B1054" s="16">
        <v>11.0</v>
      </c>
      <c r="C1054" s="16">
        <v>7.0</v>
      </c>
      <c r="D1054" s="16">
        <v>1.0</v>
      </c>
      <c r="E1054" s="17" t="s">
        <v>16</v>
      </c>
      <c r="F1054" s="17" t="s">
        <v>45</v>
      </c>
      <c r="G1054" s="16">
        <v>8.33</v>
      </c>
      <c r="H1054" s="16">
        <v>1.1</v>
      </c>
      <c r="I1054" s="19">
        <v>9.43</v>
      </c>
      <c r="J1054" s="33"/>
      <c r="K1054" s="33"/>
    </row>
    <row r="1055">
      <c r="A1055" s="20">
        <v>2014.0</v>
      </c>
      <c r="B1055" s="21">
        <v>11.0</v>
      </c>
      <c r="C1055" s="21">
        <v>7.0</v>
      </c>
      <c r="D1055" s="21">
        <v>1.0</v>
      </c>
      <c r="E1055" s="22" t="s">
        <v>16</v>
      </c>
      <c r="F1055" s="22" t="s">
        <v>30</v>
      </c>
      <c r="G1055" s="21">
        <v>8.1</v>
      </c>
      <c r="H1055" s="21">
        <v>5.5</v>
      </c>
      <c r="I1055" s="23">
        <v>13.6</v>
      </c>
      <c r="J1055" s="33"/>
      <c r="K1055" s="33"/>
    </row>
    <row r="1056">
      <c r="A1056" s="15">
        <v>2014.0</v>
      </c>
      <c r="B1056" s="16">
        <v>11.0</v>
      </c>
      <c r="C1056" s="16">
        <v>7.0</v>
      </c>
      <c r="D1056" s="16">
        <v>2.0</v>
      </c>
      <c r="E1056" s="17" t="s">
        <v>16</v>
      </c>
      <c r="F1056" s="17" t="s">
        <v>47</v>
      </c>
      <c r="G1056" s="16">
        <v>1.77</v>
      </c>
      <c r="H1056" s="16">
        <v>1.4</v>
      </c>
      <c r="I1056" s="19">
        <v>3.17</v>
      </c>
      <c r="J1056" s="33"/>
      <c r="K1056" s="33"/>
    </row>
    <row r="1057">
      <c r="A1057" s="20">
        <v>2014.0</v>
      </c>
      <c r="B1057" s="21">
        <v>11.0</v>
      </c>
      <c r="C1057" s="21">
        <v>7.0</v>
      </c>
      <c r="D1057" s="21">
        <v>2.0</v>
      </c>
      <c r="E1057" s="22" t="s">
        <v>16</v>
      </c>
      <c r="F1057" s="22" t="s">
        <v>31</v>
      </c>
      <c r="G1057" s="21">
        <v>8.33</v>
      </c>
      <c r="H1057" s="21">
        <v>4.83</v>
      </c>
      <c r="I1057" s="23">
        <v>13.16</v>
      </c>
      <c r="J1057" s="33"/>
      <c r="K1057" s="33"/>
    </row>
    <row r="1058">
      <c r="A1058" s="15">
        <v>2014.0</v>
      </c>
      <c r="B1058" s="16">
        <v>11.0</v>
      </c>
      <c r="C1058" s="16">
        <v>8.0</v>
      </c>
      <c r="D1058" s="16">
        <v>1.0</v>
      </c>
      <c r="E1058" s="17" t="s">
        <v>16</v>
      </c>
      <c r="F1058" s="17" t="s">
        <v>30</v>
      </c>
      <c r="G1058" s="16">
        <v>10.0</v>
      </c>
      <c r="H1058" s="16">
        <v>9.2</v>
      </c>
      <c r="I1058" s="19">
        <v>19.2</v>
      </c>
      <c r="J1058" s="33"/>
      <c r="K1058" s="33"/>
    </row>
    <row r="1059">
      <c r="A1059" s="20">
        <v>2014.0</v>
      </c>
      <c r="B1059" s="21">
        <v>11.0</v>
      </c>
      <c r="C1059" s="21">
        <v>8.0</v>
      </c>
      <c r="D1059" s="21">
        <v>1.0</v>
      </c>
      <c r="E1059" s="22" t="s">
        <v>16</v>
      </c>
      <c r="F1059" s="22" t="s">
        <v>31</v>
      </c>
      <c r="G1059" s="21">
        <v>9.93</v>
      </c>
      <c r="H1059" s="21">
        <v>9.7</v>
      </c>
      <c r="I1059" s="23">
        <v>19.63</v>
      </c>
      <c r="J1059" s="33"/>
      <c r="K1059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139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140</v>
      </c>
    </row>
    <row r="2">
      <c r="A2" s="34">
        <v>1.0</v>
      </c>
      <c r="B2" s="34">
        <v>2017.0</v>
      </c>
      <c r="C2" s="34">
        <v>1.0</v>
      </c>
      <c r="D2" s="34">
        <v>1.0</v>
      </c>
      <c r="E2" s="34">
        <v>1.0</v>
      </c>
      <c r="F2" s="35" t="s">
        <v>16</v>
      </c>
      <c r="G2" s="36" t="s">
        <v>35</v>
      </c>
      <c r="H2" s="35">
        <v>5.93</v>
      </c>
      <c r="I2" s="35">
        <v>5.53</v>
      </c>
      <c r="J2" s="35">
        <v>11.46</v>
      </c>
      <c r="L2" s="3">
        <f t="shared" ref="L2:L118" si="1">IF(G2="Josh Kerr",J2,0)</f>
        <v>0</v>
      </c>
    </row>
    <row r="3">
      <c r="A3" s="34">
        <v>2.0</v>
      </c>
      <c r="B3" s="37">
        <v>2017.0</v>
      </c>
      <c r="C3" s="34">
        <v>1.0</v>
      </c>
      <c r="D3" s="34">
        <v>1.0</v>
      </c>
      <c r="E3" s="34">
        <v>1.0</v>
      </c>
      <c r="F3" s="35" t="s">
        <v>16</v>
      </c>
      <c r="G3" s="35" t="s">
        <v>27</v>
      </c>
      <c r="H3" s="35">
        <v>5.67</v>
      </c>
      <c r="I3" s="35">
        <v>4.6</v>
      </c>
      <c r="J3" s="35">
        <v>10.27</v>
      </c>
      <c r="L3" s="3">
        <f t="shared" si="1"/>
        <v>0</v>
      </c>
    </row>
    <row r="4">
      <c r="A4" s="34">
        <v>3.0</v>
      </c>
      <c r="B4" s="34">
        <v>2017.0</v>
      </c>
      <c r="C4" s="34">
        <v>1.0</v>
      </c>
      <c r="D4" s="34">
        <v>1.0</v>
      </c>
      <c r="E4" s="34">
        <v>1.0</v>
      </c>
      <c r="F4" s="35" t="s">
        <v>16</v>
      </c>
      <c r="G4" s="35" t="s">
        <v>52</v>
      </c>
      <c r="H4" s="34">
        <v>4.0</v>
      </c>
      <c r="I4" s="35">
        <v>5.4</v>
      </c>
      <c r="J4" s="35">
        <v>9.4</v>
      </c>
      <c r="L4" s="3">
        <f t="shared" si="1"/>
        <v>0</v>
      </c>
    </row>
    <row r="5">
      <c r="A5" s="34">
        <v>4.0</v>
      </c>
      <c r="B5" s="34">
        <v>2017.0</v>
      </c>
      <c r="C5" s="34">
        <v>1.0</v>
      </c>
      <c r="D5" s="34">
        <v>1.0</v>
      </c>
      <c r="E5" s="34">
        <v>2.0</v>
      </c>
      <c r="F5" s="35" t="s">
        <v>16</v>
      </c>
      <c r="G5" s="38" t="s">
        <v>34</v>
      </c>
      <c r="H5" s="35">
        <v>6.17</v>
      </c>
      <c r="I5" s="35">
        <v>7.5</v>
      </c>
      <c r="J5" s="35">
        <v>13.67</v>
      </c>
      <c r="L5" s="3">
        <f t="shared" si="1"/>
        <v>0</v>
      </c>
    </row>
    <row r="6">
      <c r="A6" s="34">
        <v>5.0</v>
      </c>
      <c r="B6" s="34">
        <v>2017.0</v>
      </c>
      <c r="C6" s="34">
        <v>1.0</v>
      </c>
      <c r="D6" s="34">
        <v>1.0</v>
      </c>
      <c r="E6" s="34">
        <v>2.0</v>
      </c>
      <c r="F6" s="35" t="s">
        <v>16</v>
      </c>
      <c r="G6" s="35" t="s">
        <v>36</v>
      </c>
      <c r="H6" s="35">
        <v>4.93</v>
      </c>
      <c r="I6" s="35">
        <v>3.9</v>
      </c>
      <c r="J6" s="35">
        <v>8.83</v>
      </c>
      <c r="L6" s="3">
        <f t="shared" si="1"/>
        <v>0</v>
      </c>
    </row>
    <row r="7">
      <c r="A7" s="34">
        <v>6.0</v>
      </c>
      <c r="B7" s="34">
        <v>2017.0</v>
      </c>
      <c r="C7" s="34">
        <v>1.0</v>
      </c>
      <c r="D7" s="34">
        <v>1.0</v>
      </c>
      <c r="E7" s="34">
        <v>2.0</v>
      </c>
      <c r="F7" s="35" t="s">
        <v>16</v>
      </c>
      <c r="G7" s="35" t="s">
        <v>67</v>
      </c>
      <c r="H7" s="35">
        <v>4.33</v>
      </c>
      <c r="I7" s="35">
        <v>3.8</v>
      </c>
      <c r="J7" s="35">
        <v>8.13</v>
      </c>
      <c r="L7" s="3">
        <f t="shared" si="1"/>
        <v>0</v>
      </c>
    </row>
    <row r="8">
      <c r="A8" s="34">
        <v>7.0</v>
      </c>
      <c r="B8" s="34">
        <v>2017.0</v>
      </c>
      <c r="C8" s="34">
        <v>1.0</v>
      </c>
      <c r="D8" s="34">
        <v>1.0</v>
      </c>
      <c r="E8" s="34">
        <v>3.0</v>
      </c>
      <c r="F8" s="35" t="s">
        <v>16</v>
      </c>
      <c r="G8" s="36" t="s">
        <v>32</v>
      </c>
      <c r="H8" s="35">
        <v>6.33</v>
      </c>
      <c r="I8" s="34">
        <v>5.0</v>
      </c>
      <c r="J8" s="35">
        <v>11.33</v>
      </c>
      <c r="L8" s="3">
        <f t="shared" si="1"/>
        <v>0</v>
      </c>
    </row>
    <row r="9">
      <c r="A9" s="34">
        <v>8.0</v>
      </c>
      <c r="B9" s="34">
        <v>2017.0</v>
      </c>
      <c r="C9" s="34">
        <v>1.0</v>
      </c>
      <c r="D9" s="34">
        <v>1.0</v>
      </c>
      <c r="E9" s="34">
        <v>3.0</v>
      </c>
      <c r="F9" s="35" t="s">
        <v>16</v>
      </c>
      <c r="G9" s="35" t="s">
        <v>68</v>
      </c>
      <c r="H9" s="35">
        <v>7.17</v>
      </c>
      <c r="I9" s="35">
        <v>3.5</v>
      </c>
      <c r="J9" s="35">
        <v>10.67</v>
      </c>
      <c r="L9" s="3">
        <f t="shared" si="1"/>
        <v>0</v>
      </c>
    </row>
    <row r="10">
      <c r="A10" s="34">
        <v>9.0</v>
      </c>
      <c r="B10" s="34">
        <v>2017.0</v>
      </c>
      <c r="C10" s="34">
        <v>1.0</v>
      </c>
      <c r="D10" s="34">
        <v>1.0</v>
      </c>
      <c r="E10" s="34">
        <v>3.0</v>
      </c>
      <c r="F10" s="35" t="s">
        <v>16</v>
      </c>
      <c r="G10" s="35" t="s">
        <v>53</v>
      </c>
      <c r="H10" s="34">
        <v>1.0</v>
      </c>
      <c r="I10" s="35">
        <v>2.1</v>
      </c>
      <c r="J10" s="35">
        <v>3.1</v>
      </c>
      <c r="L10" s="3">
        <f t="shared" si="1"/>
        <v>0</v>
      </c>
    </row>
    <row r="11">
      <c r="A11" s="34">
        <v>10.0</v>
      </c>
      <c r="B11" s="34">
        <v>2017.0</v>
      </c>
      <c r="C11" s="34">
        <v>1.0</v>
      </c>
      <c r="D11" s="34">
        <v>1.0</v>
      </c>
      <c r="E11" s="34">
        <v>4.0</v>
      </c>
      <c r="F11" s="35" t="s">
        <v>16</v>
      </c>
      <c r="G11" s="36" t="s">
        <v>30</v>
      </c>
      <c r="H11" s="35">
        <v>7.83</v>
      </c>
      <c r="I11" s="35">
        <v>8.67</v>
      </c>
      <c r="J11" s="35">
        <v>16.5</v>
      </c>
      <c r="L11" s="3">
        <f t="shared" si="1"/>
        <v>0</v>
      </c>
    </row>
    <row r="12">
      <c r="A12" s="34">
        <v>11.0</v>
      </c>
      <c r="B12" s="34">
        <v>2017.0</v>
      </c>
      <c r="C12" s="34">
        <v>1.0</v>
      </c>
      <c r="D12" s="34">
        <v>1.0</v>
      </c>
      <c r="E12" s="34">
        <v>4.0</v>
      </c>
      <c r="F12" s="35" t="s">
        <v>16</v>
      </c>
      <c r="G12" s="35" t="s">
        <v>54</v>
      </c>
      <c r="H12" s="35">
        <v>4.83</v>
      </c>
      <c r="I12" s="35">
        <v>6.07</v>
      </c>
      <c r="J12" s="35">
        <v>10.9</v>
      </c>
      <c r="L12" s="3">
        <f t="shared" si="1"/>
        <v>0</v>
      </c>
    </row>
    <row r="13">
      <c r="A13" s="34">
        <v>12.0</v>
      </c>
      <c r="B13" s="34">
        <v>2017.0</v>
      </c>
      <c r="C13" s="34">
        <v>1.0</v>
      </c>
      <c r="D13" s="34">
        <v>1.0</v>
      </c>
      <c r="E13" s="34">
        <v>4.0</v>
      </c>
      <c r="F13" s="35" t="s">
        <v>16</v>
      </c>
      <c r="G13" s="35" t="s">
        <v>69</v>
      </c>
      <c r="H13" s="35">
        <v>5.4</v>
      </c>
      <c r="I13" s="35">
        <v>5.3</v>
      </c>
      <c r="J13" s="35">
        <v>10.7</v>
      </c>
      <c r="L13" s="3">
        <f t="shared" si="1"/>
        <v>0</v>
      </c>
    </row>
    <row r="14">
      <c r="A14" s="34">
        <v>13.0</v>
      </c>
      <c r="B14" s="34">
        <v>2017.0</v>
      </c>
      <c r="C14" s="34">
        <v>1.0</v>
      </c>
      <c r="D14" s="34">
        <v>1.0</v>
      </c>
      <c r="E14" s="34">
        <v>5.0</v>
      </c>
      <c r="F14" s="35" t="s">
        <v>16</v>
      </c>
      <c r="G14" s="36" t="s">
        <v>28</v>
      </c>
      <c r="H14" s="35">
        <v>6.43</v>
      </c>
      <c r="I14" s="35">
        <v>5.5</v>
      </c>
      <c r="J14" s="35">
        <v>11.93</v>
      </c>
      <c r="L14" s="3">
        <f t="shared" si="1"/>
        <v>0</v>
      </c>
    </row>
    <row r="15">
      <c r="A15" s="34">
        <v>14.0</v>
      </c>
      <c r="B15" s="34">
        <v>2017.0</v>
      </c>
      <c r="C15" s="34">
        <v>1.0</v>
      </c>
      <c r="D15" s="34">
        <v>1.0</v>
      </c>
      <c r="E15" s="34">
        <v>5.0</v>
      </c>
      <c r="F15" s="35" t="s">
        <v>16</v>
      </c>
      <c r="G15" s="35" t="s">
        <v>55</v>
      </c>
      <c r="H15" s="35">
        <v>3.67</v>
      </c>
      <c r="I15" s="35">
        <v>8.1</v>
      </c>
      <c r="J15" s="35">
        <v>11.77</v>
      </c>
      <c r="L15" s="3">
        <f t="shared" si="1"/>
        <v>0</v>
      </c>
    </row>
    <row r="16">
      <c r="A16" s="34">
        <v>15.0</v>
      </c>
      <c r="B16" s="34">
        <v>2017.0</v>
      </c>
      <c r="C16" s="34">
        <v>1.0</v>
      </c>
      <c r="D16" s="34">
        <v>1.0</v>
      </c>
      <c r="E16" s="34">
        <v>5.0</v>
      </c>
      <c r="F16" s="35" t="s">
        <v>16</v>
      </c>
      <c r="G16" s="35" t="s">
        <v>56</v>
      </c>
      <c r="H16" s="35">
        <v>6.33</v>
      </c>
      <c r="I16" s="35">
        <v>4.33</v>
      </c>
      <c r="J16" s="35">
        <v>10.66</v>
      </c>
      <c r="L16" s="3">
        <f t="shared" si="1"/>
        <v>0</v>
      </c>
    </row>
    <row r="17">
      <c r="A17" s="34">
        <v>16.0</v>
      </c>
      <c r="B17" s="34">
        <v>2017.0</v>
      </c>
      <c r="C17" s="34">
        <v>1.0</v>
      </c>
      <c r="D17" s="34">
        <v>1.0</v>
      </c>
      <c r="E17" s="34">
        <v>6.0</v>
      </c>
      <c r="F17" s="35" t="s">
        <v>16</v>
      </c>
      <c r="G17" s="36" t="s">
        <v>26</v>
      </c>
      <c r="H17" s="35">
        <v>8.5</v>
      </c>
      <c r="I17" s="35">
        <v>8.33</v>
      </c>
      <c r="J17" s="35">
        <v>16.83</v>
      </c>
      <c r="L17" s="3">
        <f t="shared" si="1"/>
        <v>0</v>
      </c>
    </row>
    <row r="18">
      <c r="A18" s="34">
        <v>17.0</v>
      </c>
      <c r="B18" s="34">
        <v>2017.0</v>
      </c>
      <c r="C18" s="34">
        <v>1.0</v>
      </c>
      <c r="D18" s="34">
        <v>1.0</v>
      </c>
      <c r="E18" s="34">
        <v>6.0</v>
      </c>
      <c r="F18" s="35" t="s">
        <v>16</v>
      </c>
      <c r="G18" s="35" t="s">
        <v>46</v>
      </c>
      <c r="H18" s="35">
        <v>7.67</v>
      </c>
      <c r="I18" s="35">
        <v>5.83</v>
      </c>
      <c r="J18" s="35">
        <v>13.5</v>
      </c>
      <c r="L18" s="3">
        <f t="shared" si="1"/>
        <v>0</v>
      </c>
    </row>
    <row r="19">
      <c r="A19" s="34">
        <v>18.0</v>
      </c>
      <c r="B19" s="34">
        <v>2017.0</v>
      </c>
      <c r="C19" s="34">
        <v>1.0</v>
      </c>
      <c r="D19" s="34">
        <v>1.0</v>
      </c>
      <c r="E19" s="34">
        <v>6.0</v>
      </c>
      <c r="F19" s="35" t="s">
        <v>16</v>
      </c>
      <c r="G19" s="35" t="s">
        <v>61</v>
      </c>
      <c r="H19" s="35">
        <v>3.9</v>
      </c>
      <c r="I19" s="35">
        <v>4.3</v>
      </c>
      <c r="J19" s="35">
        <v>8.2</v>
      </c>
      <c r="L19" s="3">
        <f t="shared" si="1"/>
        <v>0</v>
      </c>
    </row>
    <row r="20">
      <c r="A20" s="34">
        <v>19.0</v>
      </c>
      <c r="B20" s="34">
        <v>2017.0</v>
      </c>
      <c r="C20" s="34">
        <v>1.0</v>
      </c>
      <c r="D20" s="34">
        <v>1.0</v>
      </c>
      <c r="E20" s="34">
        <v>7.0</v>
      </c>
      <c r="F20" s="35" t="s">
        <v>16</v>
      </c>
      <c r="G20" s="36" t="s">
        <v>41</v>
      </c>
      <c r="H20" s="35">
        <v>6.1</v>
      </c>
      <c r="I20" s="35">
        <v>7.17</v>
      </c>
      <c r="J20" s="35">
        <v>13.27</v>
      </c>
      <c r="L20" s="3">
        <f t="shared" si="1"/>
        <v>0</v>
      </c>
    </row>
    <row r="21">
      <c r="A21" s="34">
        <v>20.0</v>
      </c>
      <c r="B21" s="34">
        <v>2017.0</v>
      </c>
      <c r="C21" s="34">
        <v>1.0</v>
      </c>
      <c r="D21" s="34">
        <v>1.0</v>
      </c>
      <c r="E21" s="34">
        <v>7.0</v>
      </c>
      <c r="F21" s="35" t="s">
        <v>16</v>
      </c>
      <c r="G21" s="35" t="s">
        <v>50</v>
      </c>
      <c r="H21" s="35">
        <v>7.33</v>
      </c>
      <c r="I21" s="35">
        <v>5.8</v>
      </c>
      <c r="J21" s="35">
        <v>13.13</v>
      </c>
      <c r="L21" s="3">
        <f t="shared" si="1"/>
        <v>0</v>
      </c>
    </row>
    <row r="22">
      <c r="A22" s="34">
        <v>21.0</v>
      </c>
      <c r="B22" s="34">
        <v>2017.0</v>
      </c>
      <c r="C22" s="34">
        <v>1.0</v>
      </c>
      <c r="D22" s="34">
        <v>1.0</v>
      </c>
      <c r="E22" s="34">
        <v>7.0</v>
      </c>
      <c r="F22" s="35" t="s">
        <v>16</v>
      </c>
      <c r="G22" s="35" t="s">
        <v>37</v>
      </c>
      <c r="H22" s="35">
        <v>5.83</v>
      </c>
      <c r="I22" s="35">
        <v>5.37</v>
      </c>
      <c r="J22" s="35">
        <v>11.2</v>
      </c>
      <c r="L22" s="3">
        <f t="shared" si="1"/>
        <v>0</v>
      </c>
    </row>
    <row r="23">
      <c r="A23" s="34">
        <v>22.0</v>
      </c>
      <c r="B23" s="34">
        <v>2017.0</v>
      </c>
      <c r="C23" s="34">
        <v>1.0</v>
      </c>
      <c r="D23" s="34">
        <v>1.0</v>
      </c>
      <c r="E23" s="34">
        <v>8.0</v>
      </c>
      <c r="F23" s="35" t="s">
        <v>16</v>
      </c>
      <c r="G23" s="36" t="s">
        <v>31</v>
      </c>
      <c r="H23" s="35">
        <v>8.67</v>
      </c>
      <c r="I23" s="35">
        <v>8.13</v>
      </c>
      <c r="J23" s="35">
        <v>16.8</v>
      </c>
      <c r="L23" s="3">
        <f t="shared" si="1"/>
        <v>0</v>
      </c>
    </row>
    <row r="24">
      <c r="A24" s="34">
        <v>23.0</v>
      </c>
      <c r="B24" s="34">
        <v>2017.0</v>
      </c>
      <c r="C24" s="34">
        <v>1.0</v>
      </c>
      <c r="D24" s="34">
        <v>1.0</v>
      </c>
      <c r="E24" s="34">
        <v>8.0</v>
      </c>
      <c r="F24" s="35" t="s">
        <v>16</v>
      </c>
      <c r="G24" s="39" t="s">
        <v>141</v>
      </c>
      <c r="H24" s="35">
        <v>5.57</v>
      </c>
      <c r="I24" s="35">
        <v>6.5</v>
      </c>
      <c r="J24" s="35">
        <v>12.07</v>
      </c>
      <c r="L24" s="3">
        <f t="shared" si="1"/>
        <v>0</v>
      </c>
    </row>
    <row r="25">
      <c r="A25" s="34">
        <v>24.0</v>
      </c>
      <c r="B25" s="34">
        <v>2017.0</v>
      </c>
      <c r="C25" s="34">
        <v>1.0</v>
      </c>
      <c r="D25" s="34">
        <v>1.0</v>
      </c>
      <c r="E25" s="34">
        <v>8.0</v>
      </c>
      <c r="F25" s="35" t="s">
        <v>16</v>
      </c>
      <c r="G25" s="35" t="s">
        <v>40</v>
      </c>
      <c r="H25" s="34">
        <v>4.0</v>
      </c>
      <c r="I25" s="35">
        <v>6.9</v>
      </c>
      <c r="J25" s="35">
        <v>10.9</v>
      </c>
      <c r="L25" s="3">
        <f t="shared" si="1"/>
        <v>0</v>
      </c>
    </row>
    <row r="26">
      <c r="A26" s="34">
        <v>25.0</v>
      </c>
      <c r="B26" s="34">
        <v>2017.0</v>
      </c>
      <c r="C26" s="34">
        <v>1.0</v>
      </c>
      <c r="D26" s="34">
        <v>1.0</v>
      </c>
      <c r="E26" s="34">
        <v>9.0</v>
      </c>
      <c r="F26" s="35" t="s">
        <v>16</v>
      </c>
      <c r="G26" s="36" t="s">
        <v>39</v>
      </c>
      <c r="H26" s="35">
        <v>9.23</v>
      </c>
      <c r="I26" s="35">
        <v>7.63</v>
      </c>
      <c r="J26" s="35">
        <v>16.86</v>
      </c>
      <c r="L26" s="3">
        <f t="shared" si="1"/>
        <v>0</v>
      </c>
    </row>
    <row r="27">
      <c r="A27" s="34">
        <v>26.0</v>
      </c>
      <c r="B27" s="34">
        <v>2017.0</v>
      </c>
      <c r="C27" s="34">
        <v>1.0</v>
      </c>
      <c r="D27" s="34">
        <v>1.0</v>
      </c>
      <c r="E27" s="34">
        <v>9.0</v>
      </c>
      <c r="F27" s="35" t="s">
        <v>16</v>
      </c>
      <c r="G27" s="35" t="s">
        <v>65</v>
      </c>
      <c r="H27" s="35">
        <v>8.07</v>
      </c>
      <c r="I27" s="35">
        <v>8.33</v>
      </c>
      <c r="J27" s="35">
        <v>16.4</v>
      </c>
      <c r="L27" s="3">
        <f t="shared" si="1"/>
        <v>0</v>
      </c>
    </row>
    <row r="28">
      <c r="A28" s="34">
        <v>27.0</v>
      </c>
      <c r="B28" s="34">
        <v>2017.0</v>
      </c>
      <c r="C28" s="34">
        <v>1.0</v>
      </c>
      <c r="D28" s="34">
        <v>1.0</v>
      </c>
      <c r="E28" s="34">
        <v>9.0</v>
      </c>
      <c r="F28" s="35" t="s">
        <v>16</v>
      </c>
      <c r="G28" s="35" t="s">
        <v>17</v>
      </c>
      <c r="H28" s="35">
        <v>4.83</v>
      </c>
      <c r="I28" s="35">
        <v>6.83</v>
      </c>
      <c r="J28" s="35">
        <v>11.66</v>
      </c>
      <c r="L28" s="3">
        <f t="shared" si="1"/>
        <v>0</v>
      </c>
    </row>
    <row r="29">
      <c r="A29" s="34">
        <v>28.0</v>
      </c>
      <c r="B29" s="34">
        <v>2017.0</v>
      </c>
      <c r="C29" s="34">
        <v>1.0</v>
      </c>
      <c r="D29" s="34">
        <v>1.0</v>
      </c>
      <c r="E29" s="34">
        <v>10.0</v>
      </c>
      <c r="F29" s="35" t="s">
        <v>16</v>
      </c>
      <c r="G29" s="36" t="s">
        <v>64</v>
      </c>
      <c r="H29" s="35">
        <v>8.73</v>
      </c>
      <c r="I29" s="35">
        <v>6.97</v>
      </c>
      <c r="J29" s="35">
        <v>15.7</v>
      </c>
      <c r="L29" s="3">
        <f t="shared" si="1"/>
        <v>0</v>
      </c>
    </row>
    <row r="30">
      <c r="A30" s="34">
        <v>29.0</v>
      </c>
      <c r="B30" s="34">
        <v>2017.0</v>
      </c>
      <c r="C30" s="34">
        <v>1.0</v>
      </c>
      <c r="D30" s="34">
        <v>1.0</v>
      </c>
      <c r="E30" s="34">
        <v>10.0</v>
      </c>
      <c r="F30" s="35" t="s">
        <v>16</v>
      </c>
      <c r="G30" s="35" t="s">
        <v>33</v>
      </c>
      <c r="H30" s="35">
        <v>7.6</v>
      </c>
      <c r="I30" s="35">
        <v>7.5</v>
      </c>
      <c r="J30" s="35">
        <v>15.1</v>
      </c>
      <c r="L30" s="3">
        <f t="shared" si="1"/>
        <v>0</v>
      </c>
    </row>
    <row r="31">
      <c r="A31" s="34">
        <v>30.0</v>
      </c>
      <c r="B31" s="34">
        <v>2017.0</v>
      </c>
      <c r="C31" s="34">
        <v>1.0</v>
      </c>
      <c r="D31" s="34">
        <v>1.0</v>
      </c>
      <c r="E31" s="34">
        <v>10.0</v>
      </c>
      <c r="F31" s="35" t="s">
        <v>16</v>
      </c>
      <c r="G31" s="35" t="s">
        <v>47</v>
      </c>
      <c r="H31" s="35">
        <v>7.43</v>
      </c>
      <c r="I31" s="34">
        <v>6.0</v>
      </c>
      <c r="J31" s="35">
        <v>13.43</v>
      </c>
      <c r="L31" s="3">
        <f t="shared" si="1"/>
        <v>0</v>
      </c>
    </row>
    <row r="32">
      <c r="A32" s="34">
        <v>31.0</v>
      </c>
      <c r="B32" s="34">
        <v>2017.0</v>
      </c>
      <c r="C32" s="34">
        <v>1.0</v>
      </c>
      <c r="D32" s="34">
        <v>1.0</v>
      </c>
      <c r="E32" s="34">
        <v>11.0</v>
      </c>
      <c r="F32" s="35" t="s">
        <v>16</v>
      </c>
      <c r="G32" s="36" t="s">
        <v>42</v>
      </c>
      <c r="H32" s="34">
        <v>7.0</v>
      </c>
      <c r="I32" s="35">
        <v>9.17</v>
      </c>
      <c r="J32" s="35">
        <v>16.17</v>
      </c>
      <c r="L32" s="3">
        <f t="shared" si="1"/>
        <v>0</v>
      </c>
    </row>
    <row r="33">
      <c r="A33" s="34">
        <v>32.0</v>
      </c>
      <c r="B33" s="34">
        <v>2017.0</v>
      </c>
      <c r="C33" s="34">
        <v>1.0</v>
      </c>
      <c r="D33" s="34">
        <v>1.0</v>
      </c>
      <c r="E33" s="34">
        <v>11.0</v>
      </c>
      <c r="F33" s="35" t="s">
        <v>16</v>
      </c>
      <c r="G33" s="35" t="s">
        <v>59</v>
      </c>
      <c r="H33" s="35">
        <v>8.17</v>
      </c>
      <c r="I33" s="35">
        <v>7.27</v>
      </c>
      <c r="J33" s="35">
        <v>15.44</v>
      </c>
      <c r="L33" s="3">
        <f t="shared" si="1"/>
        <v>0</v>
      </c>
    </row>
    <row r="34">
      <c r="A34" s="34">
        <v>33.0</v>
      </c>
      <c r="B34" s="34">
        <v>2017.0</v>
      </c>
      <c r="C34" s="34">
        <v>1.0</v>
      </c>
      <c r="D34" s="34">
        <v>1.0</v>
      </c>
      <c r="E34" s="34">
        <v>11.0</v>
      </c>
      <c r="F34" s="35" t="s">
        <v>16</v>
      </c>
      <c r="G34" s="35" t="s">
        <v>45</v>
      </c>
      <c r="H34" s="35">
        <v>5.33</v>
      </c>
      <c r="I34" s="34">
        <v>6.0</v>
      </c>
      <c r="J34" s="35">
        <v>11.33</v>
      </c>
      <c r="L34" s="3">
        <f t="shared" si="1"/>
        <v>11.33</v>
      </c>
    </row>
    <row r="35">
      <c r="A35" s="34">
        <v>34.0</v>
      </c>
      <c r="B35" s="34">
        <v>2017.0</v>
      </c>
      <c r="C35" s="34">
        <v>1.0</v>
      </c>
      <c r="D35" s="34">
        <v>1.0</v>
      </c>
      <c r="E35" s="34">
        <v>12.0</v>
      </c>
      <c r="F35" s="35" t="s">
        <v>16</v>
      </c>
      <c r="G35" s="36" t="s">
        <v>57</v>
      </c>
      <c r="H35" s="35">
        <v>8.23</v>
      </c>
      <c r="I35" s="35">
        <v>8.6</v>
      </c>
      <c r="J35" s="35">
        <v>16.83</v>
      </c>
      <c r="L35" s="3">
        <f t="shared" si="1"/>
        <v>0</v>
      </c>
    </row>
    <row r="36">
      <c r="A36" s="34">
        <v>35.0</v>
      </c>
      <c r="B36" s="34">
        <v>2017.0</v>
      </c>
      <c r="C36" s="34">
        <v>1.0</v>
      </c>
      <c r="D36" s="34">
        <v>1.0</v>
      </c>
      <c r="E36" s="34">
        <v>12.0</v>
      </c>
      <c r="F36" s="35" t="s">
        <v>16</v>
      </c>
      <c r="G36" s="35" t="s">
        <v>63</v>
      </c>
      <c r="H36" s="35">
        <v>9.1</v>
      </c>
      <c r="I36" s="35">
        <v>6.17</v>
      </c>
      <c r="J36" s="35">
        <v>15.27</v>
      </c>
      <c r="L36" s="3">
        <f t="shared" si="1"/>
        <v>0</v>
      </c>
    </row>
    <row r="37">
      <c r="A37" s="34">
        <v>36.0</v>
      </c>
      <c r="B37" s="34">
        <v>2017.0</v>
      </c>
      <c r="C37" s="34">
        <v>1.0</v>
      </c>
      <c r="D37" s="34">
        <v>1.0</v>
      </c>
      <c r="E37" s="34">
        <v>12.0</v>
      </c>
      <c r="F37" s="35" t="s">
        <v>16</v>
      </c>
      <c r="G37" s="35" t="s">
        <v>38</v>
      </c>
      <c r="H37" s="35">
        <v>6.33</v>
      </c>
      <c r="I37" s="35">
        <v>5.87</v>
      </c>
      <c r="J37" s="35">
        <v>12.2</v>
      </c>
      <c r="L37" s="3">
        <f t="shared" si="1"/>
        <v>0</v>
      </c>
    </row>
    <row r="38">
      <c r="A38" s="34">
        <v>37.0</v>
      </c>
      <c r="B38" s="34">
        <v>2017.0</v>
      </c>
      <c r="C38" s="34">
        <v>1.0</v>
      </c>
      <c r="D38" s="34">
        <v>2.0</v>
      </c>
      <c r="E38" s="34">
        <v>1.0</v>
      </c>
      <c r="F38" s="35" t="s">
        <v>16</v>
      </c>
      <c r="G38" s="36" t="s">
        <v>46</v>
      </c>
      <c r="H38" s="35">
        <v>6.67</v>
      </c>
      <c r="I38" s="35">
        <v>7.5</v>
      </c>
      <c r="J38" s="35">
        <v>14.17</v>
      </c>
      <c r="L38" s="3">
        <f t="shared" si="1"/>
        <v>0</v>
      </c>
    </row>
    <row r="39">
      <c r="A39" s="34">
        <v>38.0</v>
      </c>
      <c r="B39" s="34">
        <v>2017.0</v>
      </c>
      <c r="C39" s="34">
        <v>1.0</v>
      </c>
      <c r="D39" s="34">
        <v>2.0</v>
      </c>
      <c r="E39" s="34">
        <v>1.0</v>
      </c>
      <c r="F39" s="35" t="s">
        <v>16</v>
      </c>
      <c r="G39" s="35" t="s">
        <v>27</v>
      </c>
      <c r="H39" s="35">
        <v>8.23</v>
      </c>
      <c r="I39" s="35">
        <v>4.97</v>
      </c>
      <c r="J39" s="35">
        <v>13.2</v>
      </c>
      <c r="L39" s="3">
        <f t="shared" si="1"/>
        <v>0</v>
      </c>
    </row>
    <row r="40">
      <c r="A40" s="34">
        <v>39.0</v>
      </c>
      <c r="B40" s="34">
        <v>2017.0</v>
      </c>
      <c r="C40" s="34">
        <v>1.0</v>
      </c>
      <c r="D40" s="34">
        <v>2.0</v>
      </c>
      <c r="E40" s="34">
        <v>2.0</v>
      </c>
      <c r="F40" s="35" t="s">
        <v>16</v>
      </c>
      <c r="G40" s="36" t="s">
        <v>37</v>
      </c>
      <c r="H40" s="34">
        <v>7.0</v>
      </c>
      <c r="I40" s="35">
        <v>7.03</v>
      </c>
      <c r="J40" s="35">
        <v>14.03</v>
      </c>
      <c r="L40" s="3">
        <f t="shared" si="1"/>
        <v>0</v>
      </c>
    </row>
    <row r="41">
      <c r="A41" s="34">
        <v>40.0</v>
      </c>
      <c r="B41" s="34">
        <v>2017.0</v>
      </c>
      <c r="C41" s="34">
        <v>1.0</v>
      </c>
      <c r="D41" s="34">
        <v>2.0</v>
      </c>
      <c r="E41" s="34">
        <v>2.0</v>
      </c>
      <c r="F41" s="35" t="s">
        <v>16</v>
      </c>
      <c r="G41" s="35" t="s">
        <v>56</v>
      </c>
      <c r="H41" s="35">
        <v>6.17</v>
      </c>
      <c r="I41" s="35">
        <v>6.77</v>
      </c>
      <c r="J41" s="35">
        <v>12.94</v>
      </c>
      <c r="L41" s="3">
        <f t="shared" si="1"/>
        <v>0</v>
      </c>
    </row>
    <row r="42">
      <c r="A42" s="34">
        <v>41.0</v>
      </c>
      <c r="B42" s="34">
        <v>2017.0</v>
      </c>
      <c r="C42" s="34">
        <v>1.0</v>
      </c>
      <c r="D42" s="34">
        <v>2.0</v>
      </c>
      <c r="E42" s="34">
        <v>3.0</v>
      </c>
      <c r="F42" s="35" t="s">
        <v>16</v>
      </c>
      <c r="G42" s="36" t="s">
        <v>69</v>
      </c>
      <c r="H42" s="35">
        <v>5.33</v>
      </c>
      <c r="I42" s="34">
        <v>7.0</v>
      </c>
      <c r="J42" s="35">
        <v>12.33</v>
      </c>
      <c r="L42" s="3">
        <f t="shared" si="1"/>
        <v>0</v>
      </c>
    </row>
    <row r="43">
      <c r="A43" s="34">
        <v>42.0</v>
      </c>
      <c r="B43" s="34">
        <v>2017.0</v>
      </c>
      <c r="C43" s="34">
        <v>1.0</v>
      </c>
      <c r="D43" s="34">
        <v>2.0</v>
      </c>
      <c r="E43" s="34">
        <v>3.0</v>
      </c>
      <c r="F43" s="35" t="s">
        <v>16</v>
      </c>
      <c r="G43" s="35" t="s">
        <v>33</v>
      </c>
      <c r="H43" s="35">
        <v>5.07</v>
      </c>
      <c r="I43" s="35">
        <v>6.7</v>
      </c>
      <c r="J43" s="35">
        <v>11.77</v>
      </c>
      <c r="L43" s="3">
        <f t="shared" si="1"/>
        <v>0</v>
      </c>
    </row>
    <row r="44">
      <c r="A44" s="34">
        <v>43.0</v>
      </c>
      <c r="B44" s="34">
        <v>2017.0</v>
      </c>
      <c r="C44" s="34">
        <v>1.0</v>
      </c>
      <c r="D44" s="34">
        <v>2.0</v>
      </c>
      <c r="E44" s="34">
        <v>4.0</v>
      </c>
      <c r="F44" s="35" t="s">
        <v>16</v>
      </c>
      <c r="G44" s="36" t="s">
        <v>38</v>
      </c>
      <c r="H44" s="35">
        <v>8.13</v>
      </c>
      <c r="I44" s="35">
        <v>8.27</v>
      </c>
      <c r="J44" s="35">
        <v>16.4</v>
      </c>
      <c r="L44" s="3">
        <f t="shared" si="1"/>
        <v>0</v>
      </c>
    </row>
    <row r="45">
      <c r="A45" s="34">
        <v>44.0</v>
      </c>
      <c r="B45" s="34">
        <v>2017.0</v>
      </c>
      <c r="C45" s="34">
        <v>1.0</v>
      </c>
      <c r="D45" s="34">
        <v>2.0</v>
      </c>
      <c r="E45" s="34">
        <v>4.0</v>
      </c>
      <c r="F45" s="35" t="s">
        <v>16</v>
      </c>
      <c r="G45" s="35" t="s">
        <v>68</v>
      </c>
      <c r="H45" s="35">
        <v>7.83</v>
      </c>
      <c r="I45" s="35">
        <v>6.17</v>
      </c>
      <c r="J45" s="34">
        <v>14.0</v>
      </c>
      <c r="L45" s="3">
        <f t="shared" si="1"/>
        <v>0</v>
      </c>
    </row>
    <row r="46">
      <c r="A46" s="34">
        <v>45.0</v>
      </c>
      <c r="B46" s="34">
        <v>2017.0</v>
      </c>
      <c r="C46" s="34">
        <v>1.0</v>
      </c>
      <c r="D46" s="34">
        <v>2.0</v>
      </c>
      <c r="E46" s="34">
        <v>5.0</v>
      </c>
      <c r="F46" s="35" t="s">
        <v>16</v>
      </c>
      <c r="G46" s="36" t="s">
        <v>67</v>
      </c>
      <c r="H46" s="35">
        <v>5.07</v>
      </c>
      <c r="I46" s="35">
        <v>6.5</v>
      </c>
      <c r="J46" s="35">
        <v>11.57</v>
      </c>
      <c r="L46" s="3">
        <f t="shared" si="1"/>
        <v>0</v>
      </c>
    </row>
    <row r="47">
      <c r="A47" s="34">
        <v>46.0</v>
      </c>
      <c r="B47" s="34">
        <v>2017.0</v>
      </c>
      <c r="C47" s="34">
        <v>1.0</v>
      </c>
      <c r="D47" s="34">
        <v>2.0</v>
      </c>
      <c r="E47" s="34">
        <v>5.0</v>
      </c>
      <c r="F47" s="35" t="s">
        <v>16</v>
      </c>
      <c r="G47" s="35" t="s">
        <v>45</v>
      </c>
      <c r="H47" s="35">
        <v>3.73</v>
      </c>
      <c r="I47" s="35">
        <v>6.37</v>
      </c>
      <c r="J47" s="35">
        <v>10.1</v>
      </c>
      <c r="L47" s="3">
        <f t="shared" si="1"/>
        <v>10.1</v>
      </c>
    </row>
    <row r="48">
      <c r="A48" s="34">
        <v>47.0</v>
      </c>
      <c r="B48" s="34">
        <v>2017.0</v>
      </c>
      <c r="C48" s="34">
        <v>1.0</v>
      </c>
      <c r="D48" s="34">
        <v>2.0</v>
      </c>
      <c r="E48" s="34">
        <v>6.0</v>
      </c>
      <c r="F48" s="35" t="s">
        <v>16</v>
      </c>
      <c r="G48" s="36" t="s">
        <v>50</v>
      </c>
      <c r="H48" s="35">
        <v>8.23</v>
      </c>
      <c r="I48" s="35">
        <v>7.77</v>
      </c>
      <c r="J48" s="34">
        <v>16.0</v>
      </c>
      <c r="L48" s="3">
        <f t="shared" si="1"/>
        <v>0</v>
      </c>
    </row>
    <row r="49">
      <c r="A49" s="34">
        <v>48.0</v>
      </c>
      <c r="B49" s="34">
        <v>2017.0</v>
      </c>
      <c r="C49" s="34">
        <v>1.0</v>
      </c>
      <c r="D49" s="34">
        <v>2.0</v>
      </c>
      <c r="E49" s="34">
        <v>6.0</v>
      </c>
      <c r="F49" s="35" t="s">
        <v>16</v>
      </c>
      <c r="G49" s="35" t="s">
        <v>47</v>
      </c>
      <c r="H49" s="35">
        <v>7.6</v>
      </c>
      <c r="I49" s="35">
        <v>8.37</v>
      </c>
      <c r="J49" s="35">
        <v>15.97</v>
      </c>
      <c r="L49" s="3">
        <f t="shared" si="1"/>
        <v>0</v>
      </c>
    </row>
    <row r="50">
      <c r="A50" s="34">
        <v>49.0</v>
      </c>
      <c r="B50" s="34">
        <v>2017.0</v>
      </c>
      <c r="C50" s="34">
        <v>1.0</v>
      </c>
      <c r="D50" s="34">
        <v>2.0</v>
      </c>
      <c r="E50" s="34">
        <v>7.0</v>
      </c>
      <c r="F50" s="35" t="s">
        <v>16</v>
      </c>
      <c r="G50" s="36" t="s">
        <v>17</v>
      </c>
      <c r="H50" s="35">
        <v>7.83</v>
      </c>
      <c r="I50" s="34">
        <v>10.0</v>
      </c>
      <c r="J50" s="35">
        <v>17.83</v>
      </c>
      <c r="L50" s="3">
        <f t="shared" si="1"/>
        <v>0</v>
      </c>
    </row>
    <row r="51">
      <c r="A51" s="34">
        <v>50.0</v>
      </c>
      <c r="B51" s="34">
        <v>2017.0</v>
      </c>
      <c r="C51" s="34">
        <v>1.0</v>
      </c>
      <c r="D51" s="34">
        <v>2.0</v>
      </c>
      <c r="E51" s="34">
        <v>7.0</v>
      </c>
      <c r="F51" s="35" t="s">
        <v>16</v>
      </c>
      <c r="G51" s="35" t="s">
        <v>141</v>
      </c>
      <c r="H51" s="35">
        <v>5.27</v>
      </c>
      <c r="I51" s="35">
        <v>6.43</v>
      </c>
      <c r="J51" s="35">
        <v>11.7</v>
      </c>
      <c r="L51" s="3">
        <f t="shared" si="1"/>
        <v>0</v>
      </c>
    </row>
    <row r="52">
      <c r="A52" s="34">
        <v>51.0</v>
      </c>
      <c r="B52" s="34">
        <v>2017.0</v>
      </c>
      <c r="C52" s="34">
        <v>1.0</v>
      </c>
      <c r="D52" s="34">
        <v>2.0</v>
      </c>
      <c r="E52" s="34">
        <v>8.0</v>
      </c>
      <c r="F52" s="35" t="s">
        <v>16</v>
      </c>
      <c r="G52" s="36" t="s">
        <v>40</v>
      </c>
      <c r="H52" s="35">
        <v>8.7</v>
      </c>
      <c r="I52" s="35">
        <v>8.1</v>
      </c>
      <c r="J52" s="35">
        <v>16.8</v>
      </c>
      <c r="L52" s="3">
        <f t="shared" si="1"/>
        <v>0</v>
      </c>
    </row>
    <row r="53">
      <c r="A53" s="34">
        <v>52.0</v>
      </c>
      <c r="B53" s="34">
        <v>2017.0</v>
      </c>
      <c r="C53" s="34">
        <v>1.0</v>
      </c>
      <c r="D53" s="34">
        <v>2.0</v>
      </c>
      <c r="E53" s="34">
        <v>8.0</v>
      </c>
      <c r="F53" s="35" t="s">
        <v>16</v>
      </c>
      <c r="G53" s="35" t="s">
        <v>65</v>
      </c>
      <c r="H53" s="34">
        <v>5.0</v>
      </c>
      <c r="I53" s="35">
        <v>5.53</v>
      </c>
      <c r="J53" s="35">
        <v>10.53</v>
      </c>
      <c r="L53" s="3">
        <f t="shared" si="1"/>
        <v>0</v>
      </c>
    </row>
    <row r="54">
      <c r="A54" s="34">
        <v>53.0</v>
      </c>
      <c r="B54" s="34">
        <v>2017.0</v>
      </c>
      <c r="C54" s="34">
        <v>1.0</v>
      </c>
      <c r="D54" s="34">
        <v>2.0</v>
      </c>
      <c r="E54" s="34">
        <v>9.0</v>
      </c>
      <c r="F54" s="35" t="s">
        <v>16</v>
      </c>
      <c r="G54" s="36" t="s">
        <v>52</v>
      </c>
      <c r="H54" s="35">
        <v>5.9</v>
      </c>
      <c r="I54" s="35">
        <v>8.33</v>
      </c>
      <c r="J54" s="35">
        <v>14.23</v>
      </c>
      <c r="L54" s="3">
        <f t="shared" si="1"/>
        <v>0</v>
      </c>
    </row>
    <row r="55">
      <c r="A55" s="34">
        <v>54.0</v>
      </c>
      <c r="B55" s="34">
        <v>2017.0</v>
      </c>
      <c r="C55" s="34">
        <v>1.0</v>
      </c>
      <c r="D55" s="34">
        <v>2.0</v>
      </c>
      <c r="E55" s="34">
        <v>9.0</v>
      </c>
      <c r="F55" s="35" t="s">
        <v>16</v>
      </c>
      <c r="G55" s="35" t="s">
        <v>59</v>
      </c>
      <c r="H55" s="35">
        <v>6.43</v>
      </c>
      <c r="I55" s="35">
        <v>6.3</v>
      </c>
      <c r="J55" s="35">
        <v>12.73</v>
      </c>
      <c r="L55" s="3">
        <f t="shared" si="1"/>
        <v>0</v>
      </c>
    </row>
    <row r="56">
      <c r="A56" s="34">
        <v>55.0</v>
      </c>
      <c r="B56" s="34">
        <v>2017.0</v>
      </c>
      <c r="C56" s="34">
        <v>1.0</v>
      </c>
      <c r="D56" s="34">
        <v>2.0</v>
      </c>
      <c r="E56" s="34">
        <v>10.0</v>
      </c>
      <c r="F56" s="35" t="s">
        <v>16</v>
      </c>
      <c r="G56" s="36" t="s">
        <v>36</v>
      </c>
      <c r="H56" s="35">
        <v>9.1</v>
      </c>
      <c r="I56" s="35">
        <v>7.17</v>
      </c>
      <c r="J56" s="35">
        <v>16.27</v>
      </c>
      <c r="L56" s="3">
        <f t="shared" si="1"/>
        <v>0</v>
      </c>
    </row>
    <row r="57">
      <c r="A57" s="34">
        <v>56.0</v>
      </c>
      <c r="B57" s="34">
        <v>2017.0</v>
      </c>
      <c r="C57" s="34">
        <v>1.0</v>
      </c>
      <c r="D57" s="34">
        <v>2.0</v>
      </c>
      <c r="E57" s="34">
        <v>10.0</v>
      </c>
      <c r="F57" s="35" t="s">
        <v>16</v>
      </c>
      <c r="G57" s="35" t="s">
        <v>63</v>
      </c>
      <c r="H57" s="35">
        <v>5.37</v>
      </c>
      <c r="I57" s="34">
        <v>8.0</v>
      </c>
      <c r="J57" s="35">
        <v>13.37</v>
      </c>
      <c r="L57" s="3">
        <f t="shared" si="1"/>
        <v>0</v>
      </c>
    </row>
    <row r="58">
      <c r="A58" s="34">
        <v>57.0</v>
      </c>
      <c r="B58" s="34">
        <v>2017.0</v>
      </c>
      <c r="C58" s="34">
        <v>1.0</v>
      </c>
      <c r="D58" s="34">
        <v>2.0</v>
      </c>
      <c r="E58" s="34">
        <v>11.0</v>
      </c>
      <c r="F58" s="35" t="s">
        <v>16</v>
      </c>
      <c r="G58" s="36" t="s">
        <v>61</v>
      </c>
      <c r="H58" s="34">
        <v>7.0</v>
      </c>
      <c r="I58" s="35">
        <v>8.03</v>
      </c>
      <c r="J58" s="35">
        <v>15.03</v>
      </c>
      <c r="L58" s="3">
        <f t="shared" si="1"/>
        <v>0</v>
      </c>
    </row>
    <row r="59">
      <c r="A59" s="34">
        <v>58.0</v>
      </c>
      <c r="B59" s="34">
        <v>2017.0</v>
      </c>
      <c r="C59" s="34">
        <v>1.0</v>
      </c>
      <c r="D59" s="34">
        <v>2.0</v>
      </c>
      <c r="E59" s="34">
        <v>11.0</v>
      </c>
      <c r="F59" s="35" t="s">
        <v>16</v>
      </c>
      <c r="G59" s="35" t="s">
        <v>53</v>
      </c>
      <c r="H59" s="34">
        <v>8.0</v>
      </c>
      <c r="I59" s="35">
        <v>5.67</v>
      </c>
      <c r="J59" s="35">
        <v>13.67</v>
      </c>
      <c r="L59" s="3">
        <f t="shared" si="1"/>
        <v>0</v>
      </c>
    </row>
    <row r="60">
      <c r="A60" s="34">
        <v>59.0</v>
      </c>
      <c r="B60" s="34">
        <v>2017.0</v>
      </c>
      <c r="C60" s="34">
        <v>1.0</v>
      </c>
      <c r="D60" s="34">
        <v>2.0</v>
      </c>
      <c r="E60" s="34">
        <v>12.0</v>
      </c>
      <c r="F60" s="35" t="s">
        <v>16</v>
      </c>
      <c r="G60" s="36" t="s">
        <v>55</v>
      </c>
      <c r="H60" s="35">
        <v>6.77</v>
      </c>
      <c r="I60" s="34">
        <v>9.0</v>
      </c>
      <c r="J60" s="35">
        <v>15.77</v>
      </c>
      <c r="L60" s="3">
        <f t="shared" si="1"/>
        <v>0</v>
      </c>
    </row>
    <row r="61">
      <c r="A61" s="34">
        <v>60.0</v>
      </c>
      <c r="B61" s="34">
        <v>2017.0</v>
      </c>
      <c r="C61" s="34">
        <v>1.0</v>
      </c>
      <c r="D61" s="34">
        <v>2.0</v>
      </c>
      <c r="E61" s="34">
        <v>12.0</v>
      </c>
      <c r="F61" s="35" t="s">
        <v>16</v>
      </c>
      <c r="G61" s="35" t="s">
        <v>54</v>
      </c>
      <c r="H61" s="35">
        <v>6.33</v>
      </c>
      <c r="I61" s="35">
        <v>6.77</v>
      </c>
      <c r="J61" s="35">
        <v>13.1</v>
      </c>
      <c r="L61" s="3">
        <f t="shared" si="1"/>
        <v>0</v>
      </c>
    </row>
    <row r="62">
      <c r="A62" s="34">
        <v>61.0</v>
      </c>
      <c r="B62" s="34">
        <v>2017.0</v>
      </c>
      <c r="C62" s="34">
        <v>1.0</v>
      </c>
      <c r="D62" s="34">
        <v>3.0</v>
      </c>
      <c r="E62" s="34">
        <v>1.0</v>
      </c>
      <c r="F62" s="35" t="s">
        <v>16</v>
      </c>
      <c r="G62" s="36" t="s">
        <v>32</v>
      </c>
      <c r="H62" s="34">
        <v>7.0</v>
      </c>
      <c r="I62" s="35">
        <v>6.87</v>
      </c>
      <c r="J62" s="35">
        <v>13.87</v>
      </c>
      <c r="L62" s="3">
        <f t="shared" si="1"/>
        <v>0</v>
      </c>
    </row>
    <row r="63">
      <c r="A63" s="34">
        <v>62.0</v>
      </c>
      <c r="B63" s="34">
        <v>2017.0</v>
      </c>
      <c r="C63" s="34">
        <v>1.0</v>
      </c>
      <c r="D63" s="34">
        <v>3.0</v>
      </c>
      <c r="E63" s="34">
        <v>1.0</v>
      </c>
      <c r="F63" s="35" t="s">
        <v>16</v>
      </c>
      <c r="G63" s="35" t="s">
        <v>35</v>
      </c>
      <c r="H63" s="35">
        <v>5.47</v>
      </c>
      <c r="I63" s="35">
        <v>7.37</v>
      </c>
      <c r="J63" s="35">
        <v>12.84</v>
      </c>
      <c r="L63" s="3">
        <f t="shared" si="1"/>
        <v>0</v>
      </c>
    </row>
    <row r="64">
      <c r="A64" s="34">
        <v>63.0</v>
      </c>
      <c r="B64" s="34">
        <v>2017.0</v>
      </c>
      <c r="C64" s="34">
        <v>1.0</v>
      </c>
      <c r="D64" s="34">
        <v>3.0</v>
      </c>
      <c r="E64" s="34">
        <v>2.0</v>
      </c>
      <c r="F64" s="35" t="s">
        <v>16</v>
      </c>
      <c r="G64" s="36" t="s">
        <v>42</v>
      </c>
      <c r="H64" s="35">
        <v>7.33</v>
      </c>
      <c r="I64" s="35">
        <v>7.6</v>
      </c>
      <c r="J64" s="35">
        <v>14.93</v>
      </c>
      <c r="L64" s="3">
        <f t="shared" si="1"/>
        <v>0</v>
      </c>
    </row>
    <row r="65">
      <c r="A65" s="34">
        <v>64.0</v>
      </c>
      <c r="B65" s="34">
        <v>2017.0</v>
      </c>
      <c r="C65" s="34">
        <v>1.0</v>
      </c>
      <c r="D65" s="34">
        <v>3.0</v>
      </c>
      <c r="E65" s="34">
        <v>2.0</v>
      </c>
      <c r="F65" s="35" t="s">
        <v>16</v>
      </c>
      <c r="G65" s="35" t="s">
        <v>36</v>
      </c>
      <c r="H65" s="34">
        <v>6.0</v>
      </c>
      <c r="I65" s="35">
        <v>6.07</v>
      </c>
      <c r="J65" s="35">
        <v>12.07</v>
      </c>
      <c r="L65" s="3">
        <f t="shared" si="1"/>
        <v>0</v>
      </c>
    </row>
    <row r="66">
      <c r="A66" s="34">
        <v>65.0</v>
      </c>
      <c r="B66" s="34">
        <v>2017.0</v>
      </c>
      <c r="C66" s="34">
        <v>1.0</v>
      </c>
      <c r="D66" s="34">
        <v>3.0</v>
      </c>
      <c r="E66" s="34">
        <v>3.0</v>
      </c>
      <c r="F66" s="35" t="s">
        <v>16</v>
      </c>
      <c r="G66" s="36" t="s">
        <v>34</v>
      </c>
      <c r="H66" s="35">
        <v>7.17</v>
      </c>
      <c r="I66" s="35">
        <v>7.93</v>
      </c>
      <c r="J66" s="35">
        <v>15.1</v>
      </c>
      <c r="L66" s="3">
        <f t="shared" si="1"/>
        <v>0</v>
      </c>
    </row>
    <row r="67">
      <c r="A67" s="34">
        <v>66.0</v>
      </c>
      <c r="B67" s="34">
        <v>2017.0</v>
      </c>
      <c r="C67" s="34">
        <v>1.0</v>
      </c>
      <c r="D67" s="34">
        <v>3.0</v>
      </c>
      <c r="E67" s="34">
        <v>3.0</v>
      </c>
      <c r="F67" s="35" t="s">
        <v>16</v>
      </c>
      <c r="G67" s="35" t="s">
        <v>50</v>
      </c>
      <c r="H67" s="35">
        <v>6.77</v>
      </c>
      <c r="I67" s="35">
        <v>7.83</v>
      </c>
      <c r="J67" s="35">
        <v>14.6</v>
      </c>
      <c r="L67" s="3">
        <f t="shared" si="1"/>
        <v>0</v>
      </c>
    </row>
    <row r="68">
      <c r="A68" s="34">
        <v>67.0</v>
      </c>
      <c r="B68" s="34">
        <v>2017.0</v>
      </c>
      <c r="C68" s="34">
        <v>1.0</v>
      </c>
      <c r="D68" s="34">
        <v>3.0</v>
      </c>
      <c r="E68" s="34">
        <v>4.0</v>
      </c>
      <c r="F68" s="35" t="s">
        <v>16</v>
      </c>
      <c r="G68" s="36" t="s">
        <v>39</v>
      </c>
      <c r="H68" s="35">
        <v>9.67</v>
      </c>
      <c r="I68" s="35">
        <v>7.57</v>
      </c>
      <c r="J68" s="35">
        <v>17.24</v>
      </c>
      <c r="L68" s="3">
        <f t="shared" si="1"/>
        <v>0</v>
      </c>
    </row>
    <row r="69">
      <c r="A69" s="34">
        <v>68.0</v>
      </c>
      <c r="B69" s="34">
        <v>2017.0</v>
      </c>
      <c r="C69" s="34">
        <v>1.0</v>
      </c>
      <c r="D69" s="34">
        <v>3.0</v>
      </c>
      <c r="E69" s="34">
        <v>4.0</v>
      </c>
      <c r="F69" s="35" t="s">
        <v>16</v>
      </c>
      <c r="G69" s="35" t="s">
        <v>55</v>
      </c>
      <c r="H69" s="35">
        <v>6.57</v>
      </c>
      <c r="I69" s="35">
        <v>6.97</v>
      </c>
      <c r="J69" s="35">
        <v>13.54</v>
      </c>
      <c r="L69" s="3">
        <f t="shared" si="1"/>
        <v>0</v>
      </c>
    </row>
    <row r="70">
      <c r="A70" s="34">
        <v>69.0</v>
      </c>
      <c r="B70" s="34">
        <v>2017.0</v>
      </c>
      <c r="C70" s="34">
        <v>1.0</v>
      </c>
      <c r="D70" s="34">
        <v>3.0</v>
      </c>
      <c r="E70" s="34">
        <v>5.0</v>
      </c>
      <c r="F70" s="35" t="s">
        <v>16</v>
      </c>
      <c r="G70" s="36" t="s">
        <v>17</v>
      </c>
      <c r="H70" s="35">
        <v>9.77</v>
      </c>
      <c r="I70" s="35">
        <v>4.83</v>
      </c>
      <c r="J70" s="35">
        <v>14.6</v>
      </c>
      <c r="L70" s="3">
        <f t="shared" si="1"/>
        <v>0</v>
      </c>
    </row>
    <row r="71">
      <c r="A71" s="34">
        <v>70.0</v>
      </c>
      <c r="B71" s="34">
        <v>2017.0</v>
      </c>
      <c r="C71" s="34">
        <v>1.0</v>
      </c>
      <c r="D71" s="34">
        <v>3.0</v>
      </c>
      <c r="E71" s="34">
        <v>5.0</v>
      </c>
      <c r="F71" s="35" t="s">
        <v>16</v>
      </c>
      <c r="G71" s="35" t="s">
        <v>40</v>
      </c>
      <c r="H71" s="35">
        <v>5.77</v>
      </c>
      <c r="I71" s="35">
        <v>7.5</v>
      </c>
      <c r="J71" s="35">
        <v>13.27</v>
      </c>
      <c r="L71" s="3">
        <f t="shared" si="1"/>
        <v>0</v>
      </c>
    </row>
    <row r="72">
      <c r="A72" s="34">
        <v>71.0</v>
      </c>
      <c r="B72" s="34">
        <v>2017.0</v>
      </c>
      <c r="C72" s="34">
        <v>1.0</v>
      </c>
      <c r="D72" s="34">
        <v>3.0</v>
      </c>
      <c r="E72" s="34">
        <v>6.0</v>
      </c>
      <c r="F72" s="35" t="s">
        <v>16</v>
      </c>
      <c r="G72" s="36" t="s">
        <v>26</v>
      </c>
      <c r="H72" s="35">
        <v>7.57</v>
      </c>
      <c r="I72" s="35">
        <v>7.9</v>
      </c>
      <c r="J72" s="35">
        <v>15.47</v>
      </c>
      <c r="L72" s="3">
        <f t="shared" si="1"/>
        <v>0</v>
      </c>
    </row>
    <row r="73">
      <c r="A73" s="34">
        <v>72.0</v>
      </c>
      <c r="B73" s="34">
        <v>2017.0</v>
      </c>
      <c r="C73" s="34">
        <v>1.0</v>
      </c>
      <c r="D73" s="34">
        <v>3.0</v>
      </c>
      <c r="E73" s="34">
        <v>6.0</v>
      </c>
      <c r="F73" s="35" t="s">
        <v>16</v>
      </c>
      <c r="G73" s="35" t="s">
        <v>46</v>
      </c>
      <c r="H73" s="35">
        <v>8.5</v>
      </c>
      <c r="I73" s="35">
        <v>5.67</v>
      </c>
      <c r="J73" s="35">
        <v>14.17</v>
      </c>
      <c r="L73" s="3">
        <f t="shared" si="1"/>
        <v>0</v>
      </c>
    </row>
    <row r="74">
      <c r="A74" s="34">
        <v>73.0</v>
      </c>
      <c r="B74" s="34">
        <v>2017.0</v>
      </c>
      <c r="C74" s="34">
        <v>1.0</v>
      </c>
      <c r="D74" s="34">
        <v>3.0</v>
      </c>
      <c r="E74" s="34">
        <v>7.0</v>
      </c>
      <c r="F74" s="35" t="s">
        <v>16</v>
      </c>
      <c r="G74" s="36" t="s">
        <v>28</v>
      </c>
      <c r="H74" s="35">
        <v>8.5</v>
      </c>
      <c r="I74" s="35">
        <v>8.8</v>
      </c>
      <c r="J74" s="35">
        <v>17.3</v>
      </c>
      <c r="L74" s="3">
        <f t="shared" si="1"/>
        <v>0</v>
      </c>
    </row>
    <row r="75">
      <c r="A75" s="34">
        <v>74.0</v>
      </c>
      <c r="B75" s="34">
        <v>2017.0</v>
      </c>
      <c r="C75" s="34">
        <v>1.0</v>
      </c>
      <c r="D75" s="34">
        <v>3.0</v>
      </c>
      <c r="E75" s="34">
        <v>7.0</v>
      </c>
      <c r="F75" s="35" t="s">
        <v>16</v>
      </c>
      <c r="G75" s="35" t="s">
        <v>69</v>
      </c>
      <c r="H75" s="34">
        <v>7.0</v>
      </c>
      <c r="I75" s="34">
        <v>10.0</v>
      </c>
      <c r="J75" s="34">
        <v>17.0</v>
      </c>
      <c r="L75" s="3">
        <f t="shared" si="1"/>
        <v>0</v>
      </c>
    </row>
    <row r="76">
      <c r="A76" s="34">
        <v>75.0</v>
      </c>
      <c r="B76" s="34">
        <v>2017.0</v>
      </c>
      <c r="C76" s="34">
        <v>1.0</v>
      </c>
      <c r="D76" s="34">
        <v>3.0</v>
      </c>
      <c r="E76" s="34">
        <v>8.0</v>
      </c>
      <c r="F76" s="35" t="s">
        <v>16</v>
      </c>
      <c r="G76" s="36" t="s">
        <v>57</v>
      </c>
      <c r="H76" s="34">
        <v>7.0</v>
      </c>
      <c r="I76" s="35">
        <v>8.1</v>
      </c>
      <c r="J76" s="35">
        <v>15.1</v>
      </c>
      <c r="L76" s="3">
        <f t="shared" si="1"/>
        <v>0</v>
      </c>
    </row>
    <row r="77">
      <c r="A77" s="34">
        <v>76.0</v>
      </c>
      <c r="B77" s="34">
        <v>2017.0</v>
      </c>
      <c r="C77" s="34">
        <v>1.0</v>
      </c>
      <c r="D77" s="34">
        <v>3.0</v>
      </c>
      <c r="E77" s="34">
        <v>8.0</v>
      </c>
      <c r="F77" s="35" t="s">
        <v>16</v>
      </c>
      <c r="G77" s="35" t="s">
        <v>41</v>
      </c>
      <c r="H77" s="35">
        <v>7.83</v>
      </c>
      <c r="I77" s="35">
        <v>7.17</v>
      </c>
      <c r="J77" s="34">
        <v>15.0</v>
      </c>
      <c r="L77" s="3">
        <f t="shared" si="1"/>
        <v>0</v>
      </c>
    </row>
    <row r="78">
      <c r="A78" s="34">
        <v>77.0</v>
      </c>
      <c r="B78" s="34">
        <v>2017.0</v>
      </c>
      <c r="C78" s="34">
        <v>1.0</v>
      </c>
      <c r="D78" s="34">
        <v>3.0</v>
      </c>
      <c r="E78" s="34">
        <v>9.0</v>
      </c>
      <c r="F78" s="35" t="s">
        <v>16</v>
      </c>
      <c r="G78" s="36" t="s">
        <v>61</v>
      </c>
      <c r="H78" s="35">
        <v>7.33</v>
      </c>
      <c r="I78" s="35">
        <v>7.6</v>
      </c>
      <c r="J78" s="35">
        <v>14.93</v>
      </c>
      <c r="L78" s="3">
        <f t="shared" si="1"/>
        <v>0</v>
      </c>
    </row>
    <row r="79">
      <c r="A79" s="34">
        <v>78.0</v>
      </c>
      <c r="B79" s="34">
        <v>2017.0</v>
      </c>
      <c r="C79" s="34">
        <v>1.0</v>
      </c>
      <c r="D79" s="34">
        <v>3.0</v>
      </c>
      <c r="E79" s="34">
        <v>9.0</v>
      </c>
      <c r="F79" s="35" t="s">
        <v>16</v>
      </c>
      <c r="G79" s="35" t="s">
        <v>31</v>
      </c>
      <c r="H79" s="35">
        <v>5.93</v>
      </c>
      <c r="I79" s="35">
        <v>8.77</v>
      </c>
      <c r="J79" s="35">
        <v>14.7</v>
      </c>
      <c r="L79" s="3">
        <f t="shared" si="1"/>
        <v>0</v>
      </c>
    </row>
    <row r="80">
      <c r="A80" s="34">
        <v>79.0</v>
      </c>
      <c r="B80" s="34">
        <v>2017.0</v>
      </c>
      <c r="C80" s="34">
        <v>1.0</v>
      </c>
      <c r="D80" s="34">
        <v>3.0</v>
      </c>
      <c r="E80" s="34">
        <v>10.0</v>
      </c>
      <c r="F80" s="35" t="s">
        <v>16</v>
      </c>
      <c r="G80" s="36" t="s">
        <v>37</v>
      </c>
      <c r="H80" s="35">
        <v>6.57</v>
      </c>
      <c r="I80" s="35">
        <v>8.33</v>
      </c>
      <c r="J80" s="35">
        <v>14.9</v>
      </c>
      <c r="L80" s="3">
        <f t="shared" si="1"/>
        <v>0</v>
      </c>
    </row>
    <row r="81">
      <c r="A81" s="34">
        <v>80.0</v>
      </c>
      <c r="B81" s="34">
        <v>2017.0</v>
      </c>
      <c r="C81" s="34">
        <v>1.0</v>
      </c>
      <c r="D81" s="34">
        <v>3.0</v>
      </c>
      <c r="E81" s="34">
        <v>10.0</v>
      </c>
      <c r="F81" s="35" t="s">
        <v>16</v>
      </c>
      <c r="G81" s="35" t="s">
        <v>64</v>
      </c>
      <c r="H81" s="35">
        <v>5.17</v>
      </c>
      <c r="I81" s="34">
        <v>6.0</v>
      </c>
      <c r="J81" s="35">
        <v>11.17</v>
      </c>
      <c r="L81" s="3">
        <f t="shared" si="1"/>
        <v>0</v>
      </c>
    </row>
    <row r="82">
      <c r="A82" s="34">
        <v>81.0</v>
      </c>
      <c r="B82" s="34">
        <v>2017.0</v>
      </c>
      <c r="C82" s="34">
        <v>1.0</v>
      </c>
      <c r="D82" s="34">
        <v>3.0</v>
      </c>
      <c r="E82" s="34">
        <v>11.0</v>
      </c>
      <c r="F82" s="35" t="s">
        <v>16</v>
      </c>
      <c r="G82" s="36" t="s">
        <v>52</v>
      </c>
      <c r="H82" s="35">
        <v>7.83</v>
      </c>
      <c r="I82" s="35">
        <v>6.5</v>
      </c>
      <c r="J82" s="35">
        <v>14.33</v>
      </c>
      <c r="L82" s="3">
        <f t="shared" si="1"/>
        <v>0</v>
      </c>
    </row>
    <row r="83">
      <c r="A83" s="34">
        <v>82.0</v>
      </c>
      <c r="B83" s="34">
        <v>2017.0</v>
      </c>
      <c r="C83" s="34">
        <v>1.0</v>
      </c>
      <c r="D83" s="34">
        <v>3.0</v>
      </c>
      <c r="E83" s="34">
        <v>11.0</v>
      </c>
      <c r="F83" s="35" t="s">
        <v>16</v>
      </c>
      <c r="G83" s="35" t="s">
        <v>38</v>
      </c>
      <c r="H83" s="35">
        <v>7.5</v>
      </c>
      <c r="I83" s="35">
        <v>6.7</v>
      </c>
      <c r="J83" s="35">
        <v>14.2</v>
      </c>
      <c r="L83" s="3">
        <f t="shared" si="1"/>
        <v>0</v>
      </c>
    </row>
    <row r="84">
      <c r="A84" s="34">
        <v>83.0</v>
      </c>
      <c r="B84" s="34">
        <v>2017.0</v>
      </c>
      <c r="C84" s="34">
        <v>1.0</v>
      </c>
      <c r="D84" s="34">
        <v>3.0</v>
      </c>
      <c r="E84" s="34">
        <v>12.0</v>
      </c>
      <c r="F84" s="35" t="s">
        <v>16</v>
      </c>
      <c r="G84" s="36" t="s">
        <v>30</v>
      </c>
      <c r="H84" s="35">
        <v>9.8</v>
      </c>
      <c r="I84" s="35">
        <v>9.2</v>
      </c>
      <c r="J84" s="34">
        <v>19.0</v>
      </c>
      <c r="L84" s="3">
        <f t="shared" si="1"/>
        <v>0</v>
      </c>
    </row>
    <row r="85">
      <c r="A85" s="34">
        <v>84.0</v>
      </c>
      <c r="B85" s="34">
        <v>2017.0</v>
      </c>
      <c r="C85" s="34">
        <v>1.0</v>
      </c>
      <c r="D85" s="34">
        <v>3.0</v>
      </c>
      <c r="E85" s="34">
        <v>12.0</v>
      </c>
      <c r="F85" s="35" t="s">
        <v>16</v>
      </c>
      <c r="G85" s="35" t="s">
        <v>67</v>
      </c>
      <c r="H85" s="35">
        <v>7.33</v>
      </c>
      <c r="I85" s="35">
        <v>7.23</v>
      </c>
      <c r="J85" s="35">
        <v>14.56</v>
      </c>
      <c r="L85" s="3">
        <f t="shared" si="1"/>
        <v>0</v>
      </c>
    </row>
    <row r="86">
      <c r="A86" s="34">
        <v>85.0</v>
      </c>
      <c r="B86" s="34">
        <v>2017.0</v>
      </c>
      <c r="C86" s="34">
        <v>1.0</v>
      </c>
      <c r="D86" s="34">
        <v>4.0</v>
      </c>
      <c r="E86" s="34">
        <v>1.0</v>
      </c>
      <c r="F86" s="35" t="s">
        <v>16</v>
      </c>
      <c r="G86" s="36" t="s">
        <v>34</v>
      </c>
      <c r="H86" s="35">
        <v>8.6</v>
      </c>
      <c r="I86" s="35">
        <v>8.47</v>
      </c>
      <c r="J86" s="35">
        <v>17.07</v>
      </c>
      <c r="L86" s="3">
        <f t="shared" si="1"/>
        <v>0</v>
      </c>
    </row>
    <row r="87">
      <c r="A87" s="34">
        <v>86.0</v>
      </c>
      <c r="B87" s="34">
        <v>2017.0</v>
      </c>
      <c r="C87" s="34">
        <v>1.0</v>
      </c>
      <c r="D87" s="34">
        <v>4.0</v>
      </c>
      <c r="E87" s="34">
        <v>1.0</v>
      </c>
      <c r="F87" s="35" t="s">
        <v>16</v>
      </c>
      <c r="G87" s="35" t="s">
        <v>42</v>
      </c>
      <c r="H87" s="35">
        <v>7.5</v>
      </c>
      <c r="I87" s="35">
        <v>7.47</v>
      </c>
      <c r="J87" s="35">
        <v>14.97</v>
      </c>
      <c r="L87" s="3">
        <f t="shared" si="1"/>
        <v>0</v>
      </c>
    </row>
    <row r="88">
      <c r="A88" s="34">
        <v>87.0</v>
      </c>
      <c r="B88" s="34">
        <v>2017.0</v>
      </c>
      <c r="C88" s="34">
        <v>1.0</v>
      </c>
      <c r="D88" s="34">
        <v>4.0</v>
      </c>
      <c r="E88" s="34">
        <v>1.0</v>
      </c>
      <c r="F88" s="35" t="s">
        <v>16</v>
      </c>
      <c r="G88" s="35" t="s">
        <v>32</v>
      </c>
      <c r="H88" s="35">
        <v>8.3</v>
      </c>
      <c r="I88" s="34">
        <v>0.0</v>
      </c>
      <c r="J88" s="35">
        <v>8.3</v>
      </c>
      <c r="L88" s="3">
        <f t="shared" si="1"/>
        <v>0</v>
      </c>
    </row>
    <row r="89">
      <c r="A89" s="34">
        <v>88.0</v>
      </c>
      <c r="B89" s="34">
        <v>2017.0</v>
      </c>
      <c r="C89" s="34">
        <v>1.0</v>
      </c>
      <c r="D89" s="34">
        <v>4.0</v>
      </c>
      <c r="E89" s="34">
        <v>2.0</v>
      </c>
      <c r="F89" s="35" t="s">
        <v>16</v>
      </c>
      <c r="G89" s="36" t="s">
        <v>26</v>
      </c>
      <c r="H89" s="35">
        <v>6.17</v>
      </c>
      <c r="I89" s="34">
        <v>8.0</v>
      </c>
      <c r="J89" s="35">
        <v>14.17</v>
      </c>
      <c r="L89" s="3">
        <f t="shared" si="1"/>
        <v>0</v>
      </c>
    </row>
    <row r="90">
      <c r="A90" s="34">
        <v>89.0</v>
      </c>
      <c r="B90" s="34">
        <v>2017.0</v>
      </c>
      <c r="C90" s="34">
        <v>1.0</v>
      </c>
      <c r="D90" s="34">
        <v>4.0</v>
      </c>
      <c r="E90" s="34">
        <v>2.0</v>
      </c>
      <c r="F90" s="35" t="s">
        <v>16</v>
      </c>
      <c r="G90" s="35" t="s">
        <v>17</v>
      </c>
      <c r="H90" s="35">
        <v>6.83</v>
      </c>
      <c r="I90" s="35">
        <v>6.27</v>
      </c>
      <c r="J90" s="35">
        <v>13.1</v>
      </c>
      <c r="L90" s="3">
        <f t="shared" si="1"/>
        <v>0</v>
      </c>
    </row>
    <row r="91">
      <c r="A91" s="34">
        <v>90.0</v>
      </c>
      <c r="B91" s="34">
        <v>2017.0</v>
      </c>
      <c r="C91" s="34">
        <v>1.0</v>
      </c>
      <c r="D91" s="34">
        <v>4.0</v>
      </c>
      <c r="E91" s="34">
        <v>2.0</v>
      </c>
      <c r="F91" s="35" t="s">
        <v>16</v>
      </c>
      <c r="G91" s="35" t="s">
        <v>39</v>
      </c>
      <c r="H91" s="35">
        <v>4.33</v>
      </c>
      <c r="I91" s="35">
        <v>5.4</v>
      </c>
      <c r="J91" s="35">
        <v>9.73</v>
      </c>
      <c r="L91" s="3">
        <f t="shared" si="1"/>
        <v>0</v>
      </c>
    </row>
    <row r="92">
      <c r="A92" s="34">
        <v>91.0</v>
      </c>
      <c r="B92" s="34">
        <v>2017.0</v>
      </c>
      <c r="C92" s="34">
        <v>1.0</v>
      </c>
      <c r="D92" s="34">
        <v>4.0</v>
      </c>
      <c r="E92" s="34">
        <v>3.0</v>
      </c>
      <c r="F92" s="35" t="s">
        <v>16</v>
      </c>
      <c r="G92" s="36" t="s">
        <v>61</v>
      </c>
      <c r="H92" s="35">
        <v>6.67</v>
      </c>
      <c r="I92" s="35">
        <v>4.1</v>
      </c>
      <c r="J92" s="35">
        <v>10.77</v>
      </c>
      <c r="L92" s="3">
        <f t="shared" si="1"/>
        <v>0</v>
      </c>
    </row>
    <row r="93">
      <c r="A93" s="34">
        <v>92.0</v>
      </c>
      <c r="B93" s="34">
        <v>2017.0</v>
      </c>
      <c r="C93" s="34">
        <v>1.0</v>
      </c>
      <c r="D93" s="34">
        <v>4.0</v>
      </c>
      <c r="E93" s="34">
        <v>3.0</v>
      </c>
      <c r="F93" s="35" t="s">
        <v>16</v>
      </c>
      <c r="G93" s="35" t="s">
        <v>57</v>
      </c>
      <c r="H93" s="35">
        <v>5.93</v>
      </c>
      <c r="I93" s="35">
        <v>4.73</v>
      </c>
      <c r="J93" s="35">
        <v>10.66</v>
      </c>
      <c r="L93" s="3">
        <f t="shared" si="1"/>
        <v>0</v>
      </c>
    </row>
    <row r="94">
      <c r="A94" s="34">
        <v>93.0</v>
      </c>
      <c r="B94" s="34">
        <v>2017.0</v>
      </c>
      <c r="C94" s="34">
        <v>1.0</v>
      </c>
      <c r="D94" s="34">
        <v>4.0</v>
      </c>
      <c r="E94" s="34">
        <v>3.0</v>
      </c>
      <c r="F94" s="35" t="s">
        <v>16</v>
      </c>
      <c r="G94" s="35" t="s">
        <v>28</v>
      </c>
      <c r="H94" s="35">
        <v>4.5</v>
      </c>
      <c r="I94" s="35">
        <v>5.27</v>
      </c>
      <c r="J94" s="35">
        <v>9.77</v>
      </c>
      <c r="L94" s="3">
        <f t="shared" si="1"/>
        <v>0</v>
      </c>
    </row>
    <row r="95">
      <c r="A95" s="34">
        <v>94.0</v>
      </c>
      <c r="B95" s="34">
        <v>2017.0</v>
      </c>
      <c r="C95" s="34">
        <v>1.0</v>
      </c>
      <c r="D95" s="34">
        <v>4.0</v>
      </c>
      <c r="E95" s="34">
        <v>4.0</v>
      </c>
      <c r="F95" s="35" t="s">
        <v>16</v>
      </c>
      <c r="G95" s="36" t="s">
        <v>30</v>
      </c>
      <c r="H95" s="35">
        <v>6.93</v>
      </c>
      <c r="I95" s="35">
        <v>8.83</v>
      </c>
      <c r="J95" s="35">
        <v>15.76</v>
      </c>
      <c r="L95" s="3">
        <f t="shared" si="1"/>
        <v>0</v>
      </c>
    </row>
    <row r="96">
      <c r="A96" s="34">
        <v>95.0</v>
      </c>
      <c r="B96" s="34">
        <v>2017.0</v>
      </c>
      <c r="C96" s="34">
        <v>1.0</v>
      </c>
      <c r="D96" s="34">
        <v>4.0</v>
      </c>
      <c r="E96" s="34">
        <v>4.0</v>
      </c>
      <c r="F96" s="35" t="s">
        <v>16</v>
      </c>
      <c r="G96" s="35" t="s">
        <v>37</v>
      </c>
      <c r="H96" s="35">
        <v>7.17</v>
      </c>
      <c r="I96" s="35">
        <v>4.9</v>
      </c>
      <c r="J96" s="35">
        <v>12.07</v>
      </c>
      <c r="L96" s="3">
        <f t="shared" si="1"/>
        <v>0</v>
      </c>
    </row>
    <row r="97">
      <c r="A97" s="34">
        <v>96.0</v>
      </c>
      <c r="B97" s="34">
        <v>2017.0</v>
      </c>
      <c r="C97" s="34">
        <v>1.0</v>
      </c>
      <c r="D97" s="34">
        <v>4.0</v>
      </c>
      <c r="E97" s="34">
        <v>4.0</v>
      </c>
      <c r="F97" s="35" t="s">
        <v>16</v>
      </c>
      <c r="G97" s="35" t="s">
        <v>52</v>
      </c>
      <c r="H97" s="35">
        <v>6.67</v>
      </c>
      <c r="I97" s="35">
        <v>4.5</v>
      </c>
      <c r="J97" s="35">
        <v>11.17</v>
      </c>
      <c r="L97" s="3">
        <f t="shared" si="1"/>
        <v>0</v>
      </c>
    </row>
    <row r="98">
      <c r="A98" s="34">
        <v>97.0</v>
      </c>
      <c r="B98" s="34">
        <v>2017.0</v>
      </c>
      <c r="C98" s="34">
        <v>1.0</v>
      </c>
      <c r="D98" s="34">
        <v>5.0</v>
      </c>
      <c r="E98" s="34">
        <v>1.0</v>
      </c>
      <c r="F98" s="35" t="s">
        <v>16</v>
      </c>
      <c r="G98" s="36" t="s">
        <v>39</v>
      </c>
      <c r="H98" s="35">
        <v>8.83</v>
      </c>
      <c r="I98" s="35">
        <v>8.4</v>
      </c>
      <c r="J98" s="35">
        <v>17.23</v>
      </c>
      <c r="L98" s="3">
        <f t="shared" si="1"/>
        <v>0</v>
      </c>
    </row>
    <row r="99">
      <c r="A99" s="34">
        <v>98.0</v>
      </c>
      <c r="B99" s="34">
        <v>2017.0</v>
      </c>
      <c r="C99" s="34">
        <v>1.0</v>
      </c>
      <c r="D99" s="34">
        <v>5.0</v>
      </c>
      <c r="E99" s="34">
        <v>1.0</v>
      </c>
      <c r="F99" s="35" t="s">
        <v>16</v>
      </c>
      <c r="G99" s="35" t="s">
        <v>42</v>
      </c>
      <c r="H99" s="35">
        <v>5.5</v>
      </c>
      <c r="I99" s="35">
        <v>6.93</v>
      </c>
      <c r="J99" s="35">
        <v>12.43</v>
      </c>
      <c r="L99" s="3">
        <f t="shared" si="1"/>
        <v>0</v>
      </c>
    </row>
    <row r="100">
      <c r="A100" s="34">
        <v>99.0</v>
      </c>
      <c r="B100" s="34">
        <v>2017.0</v>
      </c>
      <c r="C100" s="34">
        <v>1.0</v>
      </c>
      <c r="D100" s="34">
        <v>5.0</v>
      </c>
      <c r="E100" s="34">
        <v>2.0</v>
      </c>
      <c r="F100" s="35" t="s">
        <v>16</v>
      </c>
      <c r="G100" s="36" t="s">
        <v>17</v>
      </c>
      <c r="H100" s="35">
        <v>6.33</v>
      </c>
      <c r="I100" s="35">
        <v>6.47</v>
      </c>
      <c r="J100" s="35">
        <v>12.8</v>
      </c>
      <c r="L100" s="3">
        <f t="shared" si="1"/>
        <v>0</v>
      </c>
    </row>
    <row r="101">
      <c r="A101" s="34">
        <v>100.0</v>
      </c>
      <c r="B101" s="34">
        <v>2017.0</v>
      </c>
      <c r="C101" s="34">
        <v>1.0</v>
      </c>
      <c r="D101" s="34">
        <v>5.0</v>
      </c>
      <c r="E101" s="34">
        <v>2.0</v>
      </c>
      <c r="F101" s="35" t="s">
        <v>16</v>
      </c>
      <c r="G101" s="35" t="s">
        <v>32</v>
      </c>
      <c r="H101" s="35">
        <v>5.83</v>
      </c>
      <c r="I101" s="35">
        <v>4.73</v>
      </c>
      <c r="J101" s="35">
        <v>10.56</v>
      </c>
      <c r="L101" s="3">
        <f t="shared" si="1"/>
        <v>0</v>
      </c>
    </row>
    <row r="102">
      <c r="A102" s="34">
        <v>101.0</v>
      </c>
      <c r="B102" s="34">
        <v>2017.0</v>
      </c>
      <c r="C102" s="34">
        <v>1.0</v>
      </c>
      <c r="D102" s="34">
        <v>5.0</v>
      </c>
      <c r="E102" s="34">
        <v>3.0</v>
      </c>
      <c r="F102" s="35" t="s">
        <v>16</v>
      </c>
      <c r="G102" s="36" t="s">
        <v>57</v>
      </c>
      <c r="H102" s="35">
        <v>7.83</v>
      </c>
      <c r="I102" s="35">
        <v>6.93</v>
      </c>
      <c r="J102" s="35">
        <v>14.76</v>
      </c>
      <c r="L102" s="3">
        <f t="shared" si="1"/>
        <v>0</v>
      </c>
    </row>
    <row r="103">
      <c r="A103" s="34">
        <v>102.0</v>
      </c>
      <c r="B103" s="34">
        <v>2017.0</v>
      </c>
      <c r="C103" s="34">
        <v>1.0</v>
      </c>
      <c r="D103" s="34">
        <v>5.0</v>
      </c>
      <c r="E103" s="34">
        <v>3.0</v>
      </c>
      <c r="F103" s="35" t="s">
        <v>16</v>
      </c>
      <c r="G103" s="35" t="s">
        <v>52</v>
      </c>
      <c r="H103" s="35">
        <v>5.67</v>
      </c>
      <c r="I103" s="35">
        <v>8.5</v>
      </c>
      <c r="J103" s="35">
        <v>14.17</v>
      </c>
      <c r="L103" s="3">
        <f t="shared" si="1"/>
        <v>0</v>
      </c>
    </row>
    <row r="104">
      <c r="A104" s="34">
        <v>103.0</v>
      </c>
      <c r="B104" s="34">
        <v>2017.0</v>
      </c>
      <c r="C104" s="34">
        <v>1.0</v>
      </c>
      <c r="D104" s="34">
        <v>5.0</v>
      </c>
      <c r="E104" s="34">
        <v>4.0</v>
      </c>
      <c r="F104" s="35" t="s">
        <v>16</v>
      </c>
      <c r="G104" s="36" t="s">
        <v>37</v>
      </c>
      <c r="H104" s="35">
        <v>7.27</v>
      </c>
      <c r="I104" s="35">
        <v>7.43</v>
      </c>
      <c r="J104" s="35">
        <v>14.7</v>
      </c>
      <c r="L104" s="3">
        <f t="shared" si="1"/>
        <v>0</v>
      </c>
    </row>
    <row r="105">
      <c r="A105" s="34">
        <v>104.0</v>
      </c>
      <c r="B105" s="34">
        <v>2017.0</v>
      </c>
      <c r="C105" s="34">
        <v>1.0</v>
      </c>
      <c r="D105" s="34">
        <v>5.0</v>
      </c>
      <c r="E105" s="34">
        <v>4.0</v>
      </c>
      <c r="F105" s="35" t="s">
        <v>16</v>
      </c>
      <c r="G105" s="35" t="s">
        <v>28</v>
      </c>
      <c r="H105" s="35">
        <v>6.07</v>
      </c>
      <c r="I105" s="35">
        <v>7.23</v>
      </c>
      <c r="J105" s="35">
        <v>13.3</v>
      </c>
      <c r="L105" s="3">
        <f t="shared" si="1"/>
        <v>0</v>
      </c>
    </row>
    <row r="106">
      <c r="A106" s="34">
        <v>105.0</v>
      </c>
      <c r="B106" s="34">
        <v>2017.0</v>
      </c>
      <c r="C106" s="34">
        <v>1.0</v>
      </c>
      <c r="D106" s="34">
        <v>6.0</v>
      </c>
      <c r="E106" s="34">
        <v>1.0</v>
      </c>
      <c r="F106" s="35" t="s">
        <v>16</v>
      </c>
      <c r="G106" s="36" t="s">
        <v>34</v>
      </c>
      <c r="H106" s="35">
        <v>7.33</v>
      </c>
      <c r="I106" s="35">
        <v>7.67</v>
      </c>
      <c r="J106" s="34">
        <v>15.0</v>
      </c>
      <c r="L106" s="3">
        <f t="shared" si="1"/>
        <v>0</v>
      </c>
    </row>
    <row r="107">
      <c r="A107" s="34">
        <v>106.0</v>
      </c>
      <c r="B107" s="34">
        <v>2017.0</v>
      </c>
      <c r="C107" s="34">
        <v>1.0</v>
      </c>
      <c r="D107" s="34">
        <v>6.0</v>
      </c>
      <c r="E107" s="34">
        <v>1.0</v>
      </c>
      <c r="F107" s="35" t="s">
        <v>16</v>
      </c>
      <c r="G107" s="35" t="s">
        <v>39</v>
      </c>
      <c r="H107" s="35">
        <v>6.17</v>
      </c>
      <c r="I107" s="35">
        <v>6.2</v>
      </c>
      <c r="J107" s="35">
        <v>12.37</v>
      </c>
      <c r="L107" s="3">
        <f t="shared" si="1"/>
        <v>0</v>
      </c>
    </row>
    <row r="108">
      <c r="A108" s="34">
        <v>107.0</v>
      </c>
      <c r="B108" s="34">
        <v>2017.0</v>
      </c>
      <c r="C108" s="34">
        <v>1.0</v>
      </c>
      <c r="D108" s="34">
        <v>6.0</v>
      </c>
      <c r="E108" s="34">
        <v>2.0</v>
      </c>
      <c r="F108" s="35" t="s">
        <v>16</v>
      </c>
      <c r="G108" s="36" t="s">
        <v>26</v>
      </c>
      <c r="H108" s="35">
        <v>8.83</v>
      </c>
      <c r="I108" s="35">
        <v>6.03</v>
      </c>
      <c r="J108" s="35">
        <v>14.86</v>
      </c>
      <c r="L108" s="3">
        <f t="shared" si="1"/>
        <v>0</v>
      </c>
    </row>
    <row r="109">
      <c r="A109" s="34">
        <v>108.0</v>
      </c>
      <c r="B109" s="34">
        <v>2017.0</v>
      </c>
      <c r="C109" s="34">
        <v>1.0</v>
      </c>
      <c r="D109" s="34">
        <v>6.0</v>
      </c>
      <c r="E109" s="34">
        <v>2.0</v>
      </c>
      <c r="F109" s="35" t="s">
        <v>16</v>
      </c>
      <c r="G109" s="35" t="s">
        <v>17</v>
      </c>
      <c r="H109" s="35">
        <v>6.5</v>
      </c>
      <c r="I109" s="35">
        <v>5.83</v>
      </c>
      <c r="J109" s="35">
        <v>12.33</v>
      </c>
      <c r="L109" s="3">
        <f t="shared" si="1"/>
        <v>0</v>
      </c>
    </row>
    <row r="110">
      <c r="A110" s="34">
        <v>109.0</v>
      </c>
      <c r="B110" s="34">
        <v>2017.0</v>
      </c>
      <c r="C110" s="34">
        <v>1.0</v>
      </c>
      <c r="D110" s="34">
        <v>6.0</v>
      </c>
      <c r="E110" s="34">
        <v>3.0</v>
      </c>
      <c r="F110" s="35" t="s">
        <v>16</v>
      </c>
      <c r="G110" s="36" t="s">
        <v>57</v>
      </c>
      <c r="H110" s="35">
        <v>5.67</v>
      </c>
      <c r="I110" s="35">
        <v>7.33</v>
      </c>
      <c r="J110" s="34">
        <v>13.0</v>
      </c>
      <c r="L110" s="3">
        <f t="shared" si="1"/>
        <v>0</v>
      </c>
    </row>
    <row r="111">
      <c r="A111" s="34">
        <v>110.0</v>
      </c>
      <c r="B111" s="34">
        <v>2017.0</v>
      </c>
      <c r="C111" s="34">
        <v>1.0</v>
      </c>
      <c r="D111" s="34">
        <v>6.0</v>
      </c>
      <c r="E111" s="34">
        <v>3.0</v>
      </c>
      <c r="F111" s="35" t="s">
        <v>16</v>
      </c>
      <c r="G111" s="35" t="s">
        <v>61</v>
      </c>
      <c r="H111" s="35">
        <v>4.83</v>
      </c>
      <c r="I111" s="35">
        <v>6.93</v>
      </c>
      <c r="J111" s="35">
        <v>11.76</v>
      </c>
      <c r="L111" s="3">
        <f t="shared" si="1"/>
        <v>0</v>
      </c>
    </row>
    <row r="112">
      <c r="A112" s="34">
        <v>111.0</v>
      </c>
      <c r="B112" s="34">
        <v>2017.0</v>
      </c>
      <c r="C112" s="34">
        <v>1.0</v>
      </c>
      <c r="D112" s="34">
        <v>6.0</v>
      </c>
      <c r="E112" s="34">
        <v>4.0</v>
      </c>
      <c r="F112" s="35" t="s">
        <v>16</v>
      </c>
      <c r="G112" s="36" t="s">
        <v>30</v>
      </c>
      <c r="H112" s="35">
        <v>5.17</v>
      </c>
      <c r="I112" s="35">
        <v>9.17</v>
      </c>
      <c r="J112" s="35">
        <v>14.34</v>
      </c>
      <c r="L112" s="3">
        <f t="shared" si="1"/>
        <v>0</v>
      </c>
    </row>
    <row r="113">
      <c r="A113" s="34">
        <v>112.0</v>
      </c>
      <c r="B113" s="34">
        <v>2017.0</v>
      </c>
      <c r="C113" s="34">
        <v>1.0</v>
      </c>
      <c r="D113" s="34">
        <v>6.0</v>
      </c>
      <c r="E113" s="34">
        <v>4.0</v>
      </c>
      <c r="F113" s="35" t="s">
        <v>16</v>
      </c>
      <c r="G113" s="35" t="s">
        <v>37</v>
      </c>
      <c r="H113" s="35">
        <v>6.33</v>
      </c>
      <c r="I113" s="35">
        <v>7.5</v>
      </c>
      <c r="J113" s="35">
        <v>13.83</v>
      </c>
      <c r="L113" s="3">
        <f t="shared" si="1"/>
        <v>0</v>
      </c>
    </row>
    <row r="114">
      <c r="A114" s="34">
        <v>113.0</v>
      </c>
      <c r="B114" s="34">
        <v>2017.0</v>
      </c>
      <c r="C114" s="34">
        <v>1.0</v>
      </c>
      <c r="D114" s="34">
        <v>7.0</v>
      </c>
      <c r="E114" s="34">
        <v>1.0</v>
      </c>
      <c r="F114" s="35" t="s">
        <v>16</v>
      </c>
      <c r="G114" s="36" t="s">
        <v>34</v>
      </c>
      <c r="H114" s="35">
        <v>7.83</v>
      </c>
      <c r="I114" s="35">
        <v>8.07</v>
      </c>
      <c r="J114" s="35">
        <v>15.9</v>
      </c>
      <c r="L114" s="3">
        <f t="shared" si="1"/>
        <v>0</v>
      </c>
    </row>
    <row r="115">
      <c r="A115" s="34">
        <v>114.0</v>
      </c>
      <c r="B115" s="34">
        <v>2017.0</v>
      </c>
      <c r="C115" s="34">
        <v>1.0</v>
      </c>
      <c r="D115" s="34">
        <v>7.0</v>
      </c>
      <c r="E115" s="34">
        <v>1.0</v>
      </c>
      <c r="F115" s="35" t="s">
        <v>16</v>
      </c>
      <c r="G115" s="35" t="s">
        <v>26</v>
      </c>
      <c r="H115" s="35">
        <v>9.5</v>
      </c>
      <c r="I115" s="34">
        <v>6.0</v>
      </c>
      <c r="J115" s="35">
        <v>15.5</v>
      </c>
      <c r="L115" s="3">
        <f t="shared" si="1"/>
        <v>0</v>
      </c>
    </row>
    <row r="116">
      <c r="A116" s="34">
        <v>115.0</v>
      </c>
      <c r="B116" s="34">
        <v>2017.0</v>
      </c>
      <c r="C116" s="34">
        <v>1.0</v>
      </c>
      <c r="D116" s="34">
        <v>7.0</v>
      </c>
      <c r="E116" s="34">
        <v>2.0</v>
      </c>
      <c r="F116" s="35" t="s">
        <v>16</v>
      </c>
      <c r="G116" s="36" t="s">
        <v>57</v>
      </c>
      <c r="H116" s="35">
        <v>7.17</v>
      </c>
      <c r="I116" s="35">
        <v>8.57</v>
      </c>
      <c r="J116" s="35">
        <v>15.74</v>
      </c>
      <c r="L116" s="3">
        <f t="shared" si="1"/>
        <v>0</v>
      </c>
    </row>
    <row r="117">
      <c r="A117" s="34">
        <v>116.0</v>
      </c>
      <c r="B117" s="34">
        <v>2017.0</v>
      </c>
      <c r="C117" s="34">
        <v>1.0</v>
      </c>
      <c r="D117" s="34">
        <v>7.0</v>
      </c>
      <c r="E117" s="34">
        <v>2.0</v>
      </c>
      <c r="F117" s="35" t="s">
        <v>16</v>
      </c>
      <c r="G117" s="35" t="s">
        <v>30</v>
      </c>
      <c r="H117" s="35">
        <v>6.17</v>
      </c>
      <c r="I117" s="35">
        <v>4.27</v>
      </c>
      <c r="J117" s="35">
        <v>10.44</v>
      </c>
      <c r="L117" s="3">
        <f t="shared" si="1"/>
        <v>0</v>
      </c>
    </row>
    <row r="118">
      <c r="A118" s="34">
        <v>117.0</v>
      </c>
      <c r="B118" s="34">
        <v>2017.0</v>
      </c>
      <c r="C118" s="34">
        <v>1.0</v>
      </c>
      <c r="D118" s="34">
        <v>8.0</v>
      </c>
      <c r="E118" s="34">
        <v>1.0</v>
      </c>
      <c r="F118" s="35" t="s">
        <v>16</v>
      </c>
      <c r="G118" s="36" t="s">
        <v>57</v>
      </c>
      <c r="H118" s="35">
        <v>6.33</v>
      </c>
      <c r="I118" s="35">
        <v>8.33</v>
      </c>
      <c r="J118" s="35">
        <v>14.66</v>
      </c>
      <c r="L118" s="3">
        <f t="shared" si="1"/>
        <v>0</v>
      </c>
    </row>
    <row r="119">
      <c r="A119" s="34">
        <v>118.0</v>
      </c>
      <c r="B119" s="34">
        <v>2017.0</v>
      </c>
      <c r="C119" s="34">
        <v>1.0</v>
      </c>
      <c r="D119" s="34">
        <v>8.0</v>
      </c>
      <c r="E119" s="34">
        <v>1.0</v>
      </c>
      <c r="F119" s="35" t="s">
        <v>16</v>
      </c>
      <c r="G119" s="39" t="s">
        <v>34</v>
      </c>
      <c r="H119" s="35">
        <v>6.6</v>
      </c>
      <c r="I119" s="35">
        <v>6.9</v>
      </c>
      <c r="J119" s="35">
        <v>13.5</v>
      </c>
    </row>
    <row r="120">
      <c r="A120" s="34">
        <v>119.0</v>
      </c>
      <c r="B120" s="34">
        <v>2017.0</v>
      </c>
      <c r="C120" s="34">
        <v>2.0</v>
      </c>
      <c r="D120" s="34">
        <v>1.0</v>
      </c>
      <c r="E120" s="34">
        <v>1.0</v>
      </c>
      <c r="F120" s="35" t="s">
        <v>16</v>
      </c>
      <c r="G120" s="40" t="s">
        <v>37</v>
      </c>
      <c r="H120" s="35">
        <v>4.17</v>
      </c>
      <c r="I120" s="35">
        <v>3.9</v>
      </c>
      <c r="J120" s="35">
        <v>8.07</v>
      </c>
      <c r="L120" s="3">
        <f t="shared" ref="L120:L236" si="2">IF(G120="Josh Kerr",J120,0)</f>
        <v>0</v>
      </c>
    </row>
    <row r="121">
      <c r="A121" s="34">
        <v>120.0</v>
      </c>
      <c r="B121" s="34">
        <v>2017.0</v>
      </c>
      <c r="C121" s="34">
        <v>2.0</v>
      </c>
      <c r="D121" s="34">
        <v>1.0</v>
      </c>
      <c r="E121" s="34">
        <v>1.0</v>
      </c>
      <c r="F121" s="35" t="s">
        <v>16</v>
      </c>
      <c r="G121" s="35" t="s">
        <v>41</v>
      </c>
      <c r="H121" s="35">
        <v>3.17</v>
      </c>
      <c r="I121" s="35">
        <v>3.5</v>
      </c>
      <c r="J121" s="35">
        <v>6.67</v>
      </c>
      <c r="L121" s="3">
        <f t="shared" si="2"/>
        <v>0</v>
      </c>
    </row>
    <row r="122">
      <c r="A122" s="34">
        <v>121.0</v>
      </c>
      <c r="B122" s="34">
        <v>2017.0</v>
      </c>
      <c r="C122" s="34">
        <v>2.0</v>
      </c>
      <c r="D122" s="34">
        <v>1.0</v>
      </c>
      <c r="E122" s="34">
        <v>1.0</v>
      </c>
      <c r="F122" s="35" t="s">
        <v>16</v>
      </c>
      <c r="G122" s="39" t="s">
        <v>141</v>
      </c>
      <c r="H122" s="34">
        <v>1.0</v>
      </c>
      <c r="I122" s="34">
        <v>0.0</v>
      </c>
      <c r="J122" s="34">
        <v>1.0</v>
      </c>
      <c r="L122" s="3">
        <f t="shared" si="2"/>
        <v>0</v>
      </c>
    </row>
    <row r="123">
      <c r="A123" s="34">
        <v>122.0</v>
      </c>
      <c r="B123" s="34">
        <v>2017.0</v>
      </c>
      <c r="C123" s="34">
        <v>2.0</v>
      </c>
      <c r="D123" s="34">
        <v>1.0</v>
      </c>
      <c r="E123" s="34">
        <v>2.0</v>
      </c>
      <c r="F123" s="35" t="s">
        <v>16</v>
      </c>
      <c r="G123" s="40" t="s">
        <v>32</v>
      </c>
      <c r="H123" s="34">
        <v>7.0</v>
      </c>
      <c r="I123" s="35">
        <v>1.77</v>
      </c>
      <c r="J123" s="35">
        <v>8.77</v>
      </c>
      <c r="L123" s="3">
        <f t="shared" si="2"/>
        <v>0</v>
      </c>
    </row>
    <row r="124">
      <c r="A124" s="34">
        <v>123.0</v>
      </c>
      <c r="B124" s="34">
        <v>2017.0</v>
      </c>
      <c r="C124" s="34">
        <v>2.0</v>
      </c>
      <c r="D124" s="34">
        <v>1.0</v>
      </c>
      <c r="E124" s="34">
        <v>2.0</v>
      </c>
      <c r="F124" s="35" t="s">
        <v>16</v>
      </c>
      <c r="G124" s="35" t="s">
        <v>69</v>
      </c>
      <c r="H124" s="35">
        <v>4.17</v>
      </c>
      <c r="I124" s="35">
        <v>2.83</v>
      </c>
      <c r="J124" s="34">
        <v>7.0</v>
      </c>
      <c r="L124" s="3">
        <f t="shared" si="2"/>
        <v>0</v>
      </c>
    </row>
    <row r="125">
      <c r="A125" s="34">
        <v>124.0</v>
      </c>
      <c r="B125" s="34">
        <v>2017.0</v>
      </c>
      <c r="C125" s="34">
        <v>2.0</v>
      </c>
      <c r="D125" s="34">
        <v>1.0</v>
      </c>
      <c r="E125" s="34">
        <v>2.0</v>
      </c>
      <c r="F125" s="35" t="s">
        <v>16</v>
      </c>
      <c r="G125" s="35" t="s">
        <v>36</v>
      </c>
      <c r="H125" s="35">
        <v>0.5</v>
      </c>
      <c r="I125" s="35">
        <v>0.7</v>
      </c>
      <c r="J125" s="35">
        <v>1.2</v>
      </c>
      <c r="L125" s="3">
        <f t="shared" si="2"/>
        <v>0</v>
      </c>
    </row>
    <row r="126">
      <c r="A126" s="34">
        <v>125.0</v>
      </c>
      <c r="B126" s="34">
        <v>2017.0</v>
      </c>
      <c r="C126" s="34">
        <v>2.0</v>
      </c>
      <c r="D126" s="34">
        <v>1.0</v>
      </c>
      <c r="E126" s="34">
        <v>3.0</v>
      </c>
      <c r="F126" s="35" t="s">
        <v>16</v>
      </c>
      <c r="G126" s="40" t="s">
        <v>68</v>
      </c>
      <c r="H126" s="34">
        <v>3.0</v>
      </c>
      <c r="I126" s="35">
        <v>3.77</v>
      </c>
      <c r="J126" s="35">
        <v>6.77</v>
      </c>
      <c r="L126" s="3">
        <f t="shared" si="2"/>
        <v>0</v>
      </c>
    </row>
    <row r="127">
      <c r="A127" s="34">
        <v>126.0</v>
      </c>
      <c r="B127" s="34">
        <v>2017.0</v>
      </c>
      <c r="C127" s="34">
        <v>2.0</v>
      </c>
      <c r="D127" s="34">
        <v>1.0</v>
      </c>
      <c r="E127" s="34">
        <v>3.0</v>
      </c>
      <c r="F127" s="35" t="s">
        <v>16</v>
      </c>
      <c r="G127" s="35" t="s">
        <v>55</v>
      </c>
      <c r="H127" s="35">
        <v>2.1</v>
      </c>
      <c r="I127" s="35">
        <v>1.07</v>
      </c>
      <c r="J127" s="35">
        <v>3.17</v>
      </c>
      <c r="L127" s="3">
        <f t="shared" si="2"/>
        <v>0</v>
      </c>
    </row>
    <row r="128">
      <c r="A128" s="34">
        <v>127.0</v>
      </c>
      <c r="B128" s="34">
        <v>2017.0</v>
      </c>
      <c r="C128" s="34">
        <v>2.0</v>
      </c>
      <c r="D128" s="34">
        <v>1.0</v>
      </c>
      <c r="E128" s="34">
        <v>3.0</v>
      </c>
      <c r="F128" s="35" t="s">
        <v>16</v>
      </c>
      <c r="G128" s="35" t="s">
        <v>34</v>
      </c>
      <c r="H128" s="35">
        <v>1.1</v>
      </c>
      <c r="I128" s="34">
        <v>2.0</v>
      </c>
      <c r="J128" s="35">
        <v>3.1</v>
      </c>
      <c r="L128" s="3">
        <f t="shared" si="2"/>
        <v>0</v>
      </c>
    </row>
    <row r="129">
      <c r="A129" s="34">
        <v>128.0</v>
      </c>
      <c r="B129" s="34">
        <v>2017.0</v>
      </c>
      <c r="C129" s="34">
        <v>2.0</v>
      </c>
      <c r="D129" s="34">
        <v>1.0</v>
      </c>
      <c r="E129" s="34">
        <v>4.0</v>
      </c>
      <c r="F129" s="35" t="s">
        <v>16</v>
      </c>
      <c r="G129" s="40" t="s">
        <v>28</v>
      </c>
      <c r="H129" s="35">
        <v>5.93</v>
      </c>
      <c r="I129" s="35">
        <v>7.83</v>
      </c>
      <c r="J129" s="35">
        <v>13.76</v>
      </c>
      <c r="L129" s="3">
        <f t="shared" si="2"/>
        <v>0</v>
      </c>
    </row>
    <row r="130">
      <c r="A130" s="34">
        <v>129.0</v>
      </c>
      <c r="B130" s="34">
        <v>2017.0</v>
      </c>
      <c r="C130" s="34">
        <v>2.0</v>
      </c>
      <c r="D130" s="34">
        <v>1.0</v>
      </c>
      <c r="E130" s="34">
        <v>4.0</v>
      </c>
      <c r="F130" s="35" t="s">
        <v>16</v>
      </c>
      <c r="G130" s="35" t="s">
        <v>56</v>
      </c>
      <c r="H130" s="35">
        <v>5.33</v>
      </c>
      <c r="I130" s="35">
        <v>6.67</v>
      </c>
      <c r="J130" s="34">
        <v>12.0</v>
      </c>
      <c r="L130" s="3">
        <f t="shared" si="2"/>
        <v>0</v>
      </c>
    </row>
    <row r="131">
      <c r="A131" s="34">
        <v>130.0</v>
      </c>
      <c r="B131" s="34">
        <v>2017.0</v>
      </c>
      <c r="C131" s="34">
        <v>2.0</v>
      </c>
      <c r="D131" s="34">
        <v>1.0</v>
      </c>
      <c r="E131" s="34">
        <v>4.0</v>
      </c>
      <c r="F131" s="35" t="s">
        <v>16</v>
      </c>
      <c r="G131" s="35" t="s">
        <v>53</v>
      </c>
      <c r="H131" s="35">
        <v>0.5</v>
      </c>
      <c r="I131" s="35">
        <v>1.27</v>
      </c>
      <c r="J131" s="35">
        <v>1.77</v>
      </c>
      <c r="L131" s="3">
        <f t="shared" si="2"/>
        <v>0</v>
      </c>
    </row>
    <row r="132">
      <c r="A132" s="34">
        <v>131.0</v>
      </c>
      <c r="B132" s="34">
        <v>2017.0</v>
      </c>
      <c r="C132" s="34">
        <v>2.0</v>
      </c>
      <c r="D132" s="34">
        <v>1.0</v>
      </c>
      <c r="E132" s="34">
        <v>5.0</v>
      </c>
      <c r="F132" s="35" t="s">
        <v>16</v>
      </c>
      <c r="G132" s="40" t="s">
        <v>142</v>
      </c>
      <c r="H132" s="35">
        <v>3.67</v>
      </c>
      <c r="I132" s="35">
        <v>7.4</v>
      </c>
      <c r="J132" s="35">
        <v>11.07</v>
      </c>
      <c r="L132" s="3">
        <f t="shared" si="2"/>
        <v>0</v>
      </c>
    </row>
    <row r="133">
      <c r="A133" s="34">
        <v>132.0</v>
      </c>
      <c r="B133" s="34">
        <v>2017.0</v>
      </c>
      <c r="C133" s="34">
        <v>2.0</v>
      </c>
      <c r="D133" s="34">
        <v>1.0</v>
      </c>
      <c r="E133" s="34">
        <v>5.0</v>
      </c>
      <c r="F133" s="35" t="s">
        <v>16</v>
      </c>
      <c r="G133" s="35" t="s">
        <v>30</v>
      </c>
      <c r="H133" s="35">
        <v>3.33</v>
      </c>
      <c r="I133" s="35">
        <v>3.93</v>
      </c>
      <c r="J133" s="35">
        <v>7.26</v>
      </c>
      <c r="L133" s="3">
        <f t="shared" si="2"/>
        <v>0</v>
      </c>
    </row>
    <row r="134">
      <c r="A134" s="34">
        <v>133.0</v>
      </c>
      <c r="B134" s="34">
        <v>2017.0</v>
      </c>
      <c r="C134" s="34">
        <v>2.0</v>
      </c>
      <c r="D134" s="34">
        <v>1.0</v>
      </c>
      <c r="E134" s="34">
        <v>5.0</v>
      </c>
      <c r="F134" s="35" t="s">
        <v>16</v>
      </c>
      <c r="G134" s="35" t="s">
        <v>54</v>
      </c>
      <c r="H134" s="35">
        <v>1.77</v>
      </c>
      <c r="I134" s="35">
        <v>3.53</v>
      </c>
      <c r="J134" s="35">
        <v>5.3</v>
      </c>
      <c r="L134" s="3">
        <f t="shared" si="2"/>
        <v>0</v>
      </c>
    </row>
    <row r="135">
      <c r="A135" s="34">
        <v>134.0</v>
      </c>
      <c r="B135" s="34">
        <v>2017.0</v>
      </c>
      <c r="C135" s="34">
        <v>2.0</v>
      </c>
      <c r="D135" s="34">
        <v>1.0</v>
      </c>
      <c r="E135" s="34">
        <v>6.0</v>
      </c>
      <c r="F135" s="35" t="s">
        <v>16</v>
      </c>
      <c r="G135" s="40" t="s">
        <v>26</v>
      </c>
      <c r="H135" s="35">
        <v>7.17</v>
      </c>
      <c r="I135" s="35">
        <v>6.5</v>
      </c>
      <c r="J135" s="35">
        <v>13.67</v>
      </c>
      <c r="L135" s="3">
        <f t="shared" si="2"/>
        <v>0</v>
      </c>
    </row>
    <row r="136">
      <c r="A136" s="34">
        <v>135.0</v>
      </c>
      <c r="B136" s="34">
        <v>2017.0</v>
      </c>
      <c r="C136" s="34">
        <v>2.0</v>
      </c>
      <c r="D136" s="34">
        <v>1.0</v>
      </c>
      <c r="E136" s="34">
        <v>6.0</v>
      </c>
      <c r="F136" s="35" t="s">
        <v>16</v>
      </c>
      <c r="G136" s="35" t="s">
        <v>75</v>
      </c>
      <c r="H136" s="35">
        <v>0.93</v>
      </c>
      <c r="I136" s="35">
        <v>3.47</v>
      </c>
      <c r="J136" s="35">
        <v>4.4</v>
      </c>
      <c r="L136" s="3">
        <f t="shared" si="2"/>
        <v>0</v>
      </c>
    </row>
    <row r="137">
      <c r="A137" s="34">
        <v>136.0</v>
      </c>
      <c r="B137" s="34">
        <v>2017.0</v>
      </c>
      <c r="C137" s="34">
        <v>2.0</v>
      </c>
      <c r="D137" s="34">
        <v>1.0</v>
      </c>
      <c r="E137" s="34">
        <v>6.0</v>
      </c>
      <c r="F137" s="35" t="s">
        <v>16</v>
      </c>
      <c r="G137" s="35" t="s">
        <v>64</v>
      </c>
      <c r="H137" s="35">
        <v>2.83</v>
      </c>
      <c r="I137" s="35">
        <v>0.57</v>
      </c>
      <c r="J137" s="35">
        <v>3.4</v>
      </c>
      <c r="L137" s="3">
        <f t="shared" si="2"/>
        <v>0</v>
      </c>
    </row>
    <row r="138">
      <c r="A138" s="34">
        <v>137.0</v>
      </c>
      <c r="B138" s="34">
        <v>2017.0</v>
      </c>
      <c r="C138" s="34">
        <v>2.0</v>
      </c>
      <c r="D138" s="34">
        <v>1.0</v>
      </c>
      <c r="E138" s="34">
        <v>7.0</v>
      </c>
      <c r="F138" s="35" t="s">
        <v>16</v>
      </c>
      <c r="G138" s="40" t="s">
        <v>67</v>
      </c>
      <c r="H138" s="35">
        <v>4.5</v>
      </c>
      <c r="I138" s="34">
        <v>8.0</v>
      </c>
      <c r="J138" s="35">
        <v>12.5</v>
      </c>
      <c r="L138" s="3">
        <f t="shared" si="2"/>
        <v>0</v>
      </c>
    </row>
    <row r="139">
      <c r="A139" s="34">
        <v>138.0</v>
      </c>
      <c r="B139" s="34">
        <v>2017.0</v>
      </c>
      <c r="C139" s="34">
        <v>2.0</v>
      </c>
      <c r="D139" s="34">
        <v>1.0</v>
      </c>
      <c r="E139" s="34">
        <v>7.0</v>
      </c>
      <c r="F139" s="35" t="s">
        <v>16</v>
      </c>
      <c r="G139" s="35" t="s">
        <v>61</v>
      </c>
      <c r="H139" s="35">
        <v>6.07</v>
      </c>
      <c r="I139" s="35">
        <v>6.33</v>
      </c>
      <c r="J139" s="35">
        <v>12.4</v>
      </c>
      <c r="L139" s="3">
        <f t="shared" si="2"/>
        <v>0</v>
      </c>
    </row>
    <row r="140">
      <c r="A140" s="34">
        <v>139.0</v>
      </c>
      <c r="B140" s="34">
        <v>2017.0</v>
      </c>
      <c r="C140" s="34">
        <v>2.0</v>
      </c>
      <c r="D140" s="34">
        <v>1.0</v>
      </c>
      <c r="E140" s="34">
        <v>7.0</v>
      </c>
      <c r="F140" s="35" t="s">
        <v>16</v>
      </c>
      <c r="G140" s="35" t="s">
        <v>57</v>
      </c>
      <c r="H140" s="35">
        <v>3.93</v>
      </c>
      <c r="I140" s="35">
        <v>4.77</v>
      </c>
      <c r="J140" s="35">
        <v>8.7</v>
      </c>
      <c r="L140" s="3">
        <f t="shared" si="2"/>
        <v>0</v>
      </c>
    </row>
    <row r="141">
      <c r="A141" s="34">
        <v>140.0</v>
      </c>
      <c r="B141" s="34">
        <v>2017.0</v>
      </c>
      <c r="C141" s="34">
        <v>2.0</v>
      </c>
      <c r="D141" s="34">
        <v>1.0</v>
      </c>
      <c r="E141" s="34">
        <v>8.0</v>
      </c>
      <c r="F141" s="35" t="s">
        <v>16</v>
      </c>
      <c r="G141" s="40" t="s">
        <v>40</v>
      </c>
      <c r="H141" s="35">
        <v>6.33</v>
      </c>
      <c r="I141" s="35">
        <v>2.83</v>
      </c>
      <c r="J141" s="35">
        <v>9.16</v>
      </c>
      <c r="L141" s="3">
        <f t="shared" si="2"/>
        <v>0</v>
      </c>
    </row>
    <row r="142">
      <c r="A142" s="34">
        <v>141.0</v>
      </c>
      <c r="B142" s="34">
        <v>2017.0</v>
      </c>
      <c r="C142" s="34">
        <v>2.0</v>
      </c>
      <c r="D142" s="34">
        <v>1.0</v>
      </c>
      <c r="E142" s="34">
        <v>8.0</v>
      </c>
      <c r="F142" s="35" t="s">
        <v>16</v>
      </c>
      <c r="G142" s="35" t="s">
        <v>39</v>
      </c>
      <c r="H142" s="35">
        <v>5.37</v>
      </c>
      <c r="I142" s="35">
        <v>3.33</v>
      </c>
      <c r="J142" s="35">
        <v>8.7</v>
      </c>
      <c r="L142" s="3">
        <f t="shared" si="2"/>
        <v>0</v>
      </c>
    </row>
    <row r="143">
      <c r="A143" s="34">
        <v>142.0</v>
      </c>
      <c r="B143" s="34">
        <v>2017.0</v>
      </c>
      <c r="C143" s="34">
        <v>2.0</v>
      </c>
      <c r="D143" s="34">
        <v>1.0</v>
      </c>
      <c r="E143" s="34">
        <v>8.0</v>
      </c>
      <c r="F143" s="35" t="s">
        <v>16</v>
      </c>
      <c r="G143" s="35" t="s">
        <v>35</v>
      </c>
      <c r="H143" s="35">
        <v>4.17</v>
      </c>
      <c r="I143" s="35">
        <v>0.63</v>
      </c>
      <c r="J143" s="35">
        <v>4.8</v>
      </c>
      <c r="L143" s="3">
        <f t="shared" si="2"/>
        <v>0</v>
      </c>
    </row>
    <row r="144">
      <c r="A144" s="34">
        <v>143.0</v>
      </c>
      <c r="B144" s="34">
        <v>2017.0</v>
      </c>
      <c r="C144" s="34">
        <v>2.0</v>
      </c>
      <c r="D144" s="34">
        <v>1.0</v>
      </c>
      <c r="E144" s="34">
        <v>9.0</v>
      </c>
      <c r="F144" s="35" t="s">
        <v>16</v>
      </c>
      <c r="G144" s="40" t="s">
        <v>50</v>
      </c>
      <c r="H144" s="35">
        <v>4.5</v>
      </c>
      <c r="I144" s="35">
        <v>8.1</v>
      </c>
      <c r="J144" s="35">
        <v>12.6</v>
      </c>
      <c r="L144" s="3">
        <f t="shared" si="2"/>
        <v>0</v>
      </c>
    </row>
    <row r="145">
      <c r="A145" s="34">
        <v>144.0</v>
      </c>
      <c r="B145" s="34">
        <v>2017.0</v>
      </c>
      <c r="C145" s="34">
        <v>2.0</v>
      </c>
      <c r="D145" s="34">
        <v>1.0</v>
      </c>
      <c r="E145" s="34">
        <v>9.0</v>
      </c>
      <c r="F145" s="35" t="s">
        <v>16</v>
      </c>
      <c r="G145" s="35" t="s">
        <v>42</v>
      </c>
      <c r="H145" s="35">
        <v>5.33</v>
      </c>
      <c r="I145" s="35">
        <v>5.17</v>
      </c>
      <c r="J145" s="35">
        <v>10.5</v>
      </c>
      <c r="L145" s="3">
        <f t="shared" si="2"/>
        <v>0</v>
      </c>
    </row>
    <row r="146">
      <c r="A146" s="34">
        <v>145.0</v>
      </c>
      <c r="B146" s="34">
        <v>2017.0</v>
      </c>
      <c r="C146" s="34">
        <v>2.0</v>
      </c>
      <c r="D146" s="34">
        <v>1.0</v>
      </c>
      <c r="E146" s="34">
        <v>9.0</v>
      </c>
      <c r="F146" s="35" t="s">
        <v>16</v>
      </c>
      <c r="G146" s="35" t="s">
        <v>47</v>
      </c>
      <c r="H146" s="35">
        <v>2.77</v>
      </c>
      <c r="I146" s="35">
        <v>3.47</v>
      </c>
      <c r="J146" s="35">
        <v>6.24</v>
      </c>
      <c r="L146" s="3">
        <f t="shared" si="2"/>
        <v>0</v>
      </c>
    </row>
    <row r="147">
      <c r="A147" s="34">
        <v>146.0</v>
      </c>
      <c r="B147" s="34">
        <v>2017.0</v>
      </c>
      <c r="C147" s="34">
        <v>2.0</v>
      </c>
      <c r="D147" s="34">
        <v>1.0</v>
      </c>
      <c r="E147" s="34">
        <v>10.0</v>
      </c>
      <c r="F147" s="35" t="s">
        <v>16</v>
      </c>
      <c r="G147" s="40" t="s">
        <v>27</v>
      </c>
      <c r="H147" s="35">
        <v>6.83</v>
      </c>
      <c r="I147" s="35">
        <v>3.57</v>
      </c>
      <c r="J147" s="35">
        <v>10.4</v>
      </c>
      <c r="L147" s="3">
        <f t="shared" si="2"/>
        <v>0</v>
      </c>
    </row>
    <row r="148">
      <c r="A148" s="34">
        <v>147.0</v>
      </c>
      <c r="B148" s="34">
        <v>2017.0</v>
      </c>
      <c r="C148" s="34">
        <v>2.0</v>
      </c>
      <c r="D148" s="34">
        <v>1.0</v>
      </c>
      <c r="E148" s="34">
        <v>10.0</v>
      </c>
      <c r="F148" s="35" t="s">
        <v>16</v>
      </c>
      <c r="G148" s="35" t="s">
        <v>65</v>
      </c>
      <c r="H148" s="34">
        <v>3.0</v>
      </c>
      <c r="I148" s="35">
        <v>1.5</v>
      </c>
      <c r="J148" s="35">
        <v>4.5</v>
      </c>
      <c r="L148" s="3">
        <f t="shared" si="2"/>
        <v>0</v>
      </c>
    </row>
    <row r="149">
      <c r="A149" s="34">
        <v>148.0</v>
      </c>
      <c r="B149" s="34">
        <v>2017.0</v>
      </c>
      <c r="C149" s="34">
        <v>2.0</v>
      </c>
      <c r="D149" s="34">
        <v>1.0</v>
      </c>
      <c r="E149" s="34">
        <v>10.0</v>
      </c>
      <c r="F149" s="35" t="s">
        <v>16</v>
      </c>
      <c r="G149" s="35" t="s">
        <v>52</v>
      </c>
      <c r="H149" s="35">
        <v>1.33</v>
      </c>
      <c r="I149" s="35">
        <v>1.23</v>
      </c>
      <c r="J149" s="35">
        <v>2.56</v>
      </c>
      <c r="L149" s="3">
        <f t="shared" si="2"/>
        <v>0</v>
      </c>
    </row>
    <row r="150">
      <c r="A150" s="34">
        <v>149.0</v>
      </c>
      <c r="B150" s="34">
        <v>2017.0</v>
      </c>
      <c r="C150" s="34">
        <v>2.0</v>
      </c>
      <c r="D150" s="34">
        <v>1.0</v>
      </c>
      <c r="E150" s="34">
        <v>11.0</v>
      </c>
      <c r="F150" s="35" t="s">
        <v>16</v>
      </c>
      <c r="G150" s="40" t="s">
        <v>31</v>
      </c>
      <c r="H150" s="35">
        <v>1.73</v>
      </c>
      <c r="I150" s="35">
        <v>3.17</v>
      </c>
      <c r="J150" s="35">
        <v>4.9</v>
      </c>
      <c r="L150" s="3">
        <f t="shared" si="2"/>
        <v>0</v>
      </c>
    </row>
    <row r="151">
      <c r="A151" s="34">
        <v>150.0</v>
      </c>
      <c r="B151" s="34">
        <v>2017.0</v>
      </c>
      <c r="C151" s="34">
        <v>2.0</v>
      </c>
      <c r="D151" s="34">
        <v>1.0</v>
      </c>
      <c r="E151" s="34">
        <v>11.0</v>
      </c>
      <c r="F151" s="35" t="s">
        <v>16</v>
      </c>
      <c r="G151" s="35" t="s">
        <v>59</v>
      </c>
      <c r="H151" s="35">
        <v>2.1</v>
      </c>
      <c r="I151" s="35">
        <v>1.23</v>
      </c>
      <c r="J151" s="35">
        <v>3.33</v>
      </c>
      <c r="L151" s="3">
        <f t="shared" si="2"/>
        <v>0</v>
      </c>
    </row>
    <row r="152">
      <c r="A152" s="34">
        <v>151.0</v>
      </c>
      <c r="B152" s="34">
        <v>2017.0</v>
      </c>
      <c r="C152" s="34">
        <v>2.0</v>
      </c>
      <c r="D152" s="34">
        <v>1.0</v>
      </c>
      <c r="E152" s="34">
        <v>11.0</v>
      </c>
      <c r="F152" s="35" t="s">
        <v>16</v>
      </c>
      <c r="G152" s="35" t="s">
        <v>45</v>
      </c>
      <c r="H152" s="34">
        <v>0.0</v>
      </c>
      <c r="I152" s="34">
        <v>0.0</v>
      </c>
      <c r="J152" s="34">
        <v>0.0</v>
      </c>
      <c r="L152" s="3">
        <f t="shared" si="2"/>
        <v>0</v>
      </c>
    </row>
    <row r="153">
      <c r="A153" s="34">
        <v>152.0</v>
      </c>
      <c r="B153" s="34">
        <v>2017.0</v>
      </c>
      <c r="C153" s="34">
        <v>2.0</v>
      </c>
      <c r="D153" s="34">
        <v>1.0</v>
      </c>
      <c r="E153" s="34">
        <v>12.0</v>
      </c>
      <c r="F153" s="35" t="s">
        <v>16</v>
      </c>
      <c r="G153" s="40" t="s">
        <v>38</v>
      </c>
      <c r="H153" s="35">
        <v>4.83</v>
      </c>
      <c r="I153" s="34">
        <v>10.0</v>
      </c>
      <c r="J153" s="35">
        <v>14.83</v>
      </c>
      <c r="L153" s="3">
        <f t="shared" si="2"/>
        <v>0</v>
      </c>
    </row>
    <row r="154">
      <c r="A154" s="34">
        <v>153.0</v>
      </c>
      <c r="B154" s="34">
        <v>2017.0</v>
      </c>
      <c r="C154" s="34">
        <v>2.0</v>
      </c>
      <c r="D154" s="34">
        <v>1.0</v>
      </c>
      <c r="E154" s="34">
        <v>12.0</v>
      </c>
      <c r="F154" s="35" t="s">
        <v>16</v>
      </c>
      <c r="G154" s="35" t="s">
        <v>63</v>
      </c>
      <c r="H154" s="35">
        <v>1.5</v>
      </c>
      <c r="I154" s="35">
        <v>3.67</v>
      </c>
      <c r="J154" s="35">
        <v>5.17</v>
      </c>
      <c r="L154" s="3">
        <f t="shared" si="2"/>
        <v>0</v>
      </c>
    </row>
    <row r="155">
      <c r="A155" s="34">
        <v>154.0</v>
      </c>
      <c r="B155" s="34">
        <v>2017.0</v>
      </c>
      <c r="C155" s="34">
        <v>2.0</v>
      </c>
      <c r="D155" s="34">
        <v>1.0</v>
      </c>
      <c r="E155" s="34">
        <v>12.0</v>
      </c>
      <c r="F155" s="35" t="s">
        <v>16</v>
      </c>
      <c r="G155" s="35" t="s">
        <v>33</v>
      </c>
      <c r="H155" s="35">
        <v>0.7</v>
      </c>
      <c r="I155" s="35">
        <v>1.07</v>
      </c>
      <c r="J155" s="35">
        <v>1.77</v>
      </c>
      <c r="L155" s="3">
        <f t="shared" si="2"/>
        <v>0</v>
      </c>
    </row>
    <row r="156">
      <c r="A156" s="34">
        <v>155.0</v>
      </c>
      <c r="B156" s="34">
        <v>2017.0</v>
      </c>
      <c r="C156" s="34">
        <v>2.0</v>
      </c>
      <c r="D156" s="34">
        <v>2.0</v>
      </c>
      <c r="E156" s="34">
        <v>1.0</v>
      </c>
      <c r="F156" s="35" t="s">
        <v>16</v>
      </c>
      <c r="G156" s="40" t="s">
        <v>75</v>
      </c>
      <c r="H156" s="35">
        <v>5.43</v>
      </c>
      <c r="I156" s="35">
        <v>5.1</v>
      </c>
      <c r="J156" s="35">
        <v>10.53</v>
      </c>
      <c r="L156" s="3">
        <f t="shared" si="2"/>
        <v>0</v>
      </c>
    </row>
    <row r="157">
      <c r="A157" s="34">
        <v>156.0</v>
      </c>
      <c r="B157" s="34">
        <v>2017.0</v>
      </c>
      <c r="C157" s="34">
        <v>2.0</v>
      </c>
      <c r="D157" s="34">
        <v>2.0</v>
      </c>
      <c r="E157" s="34">
        <v>1.0</v>
      </c>
      <c r="F157" s="35" t="s">
        <v>16</v>
      </c>
      <c r="G157" s="35" t="s">
        <v>30</v>
      </c>
      <c r="H157" s="35">
        <v>5.67</v>
      </c>
      <c r="I157" s="35">
        <v>3.33</v>
      </c>
      <c r="J157" s="34">
        <v>9.0</v>
      </c>
      <c r="L157" s="3">
        <f t="shared" si="2"/>
        <v>0</v>
      </c>
    </row>
    <row r="158">
      <c r="A158" s="34">
        <v>157.0</v>
      </c>
      <c r="B158" s="34">
        <v>2017.0</v>
      </c>
      <c r="C158" s="34">
        <v>2.0</v>
      </c>
      <c r="D158" s="34">
        <v>2.0</v>
      </c>
      <c r="E158" s="34">
        <v>2.0</v>
      </c>
      <c r="F158" s="35" t="s">
        <v>16</v>
      </c>
      <c r="G158" s="40" t="s">
        <v>56</v>
      </c>
      <c r="H158" s="35">
        <v>6.77</v>
      </c>
      <c r="I158" s="35">
        <v>7.83</v>
      </c>
      <c r="J158" s="35">
        <v>14.6</v>
      </c>
      <c r="L158" s="3">
        <f t="shared" si="2"/>
        <v>0</v>
      </c>
    </row>
    <row r="159">
      <c r="A159" s="34">
        <v>158.0</v>
      </c>
      <c r="B159" s="34">
        <v>2017.0</v>
      </c>
      <c r="C159" s="34">
        <v>2.0</v>
      </c>
      <c r="D159" s="34">
        <v>2.0</v>
      </c>
      <c r="E159" s="34">
        <v>2.0</v>
      </c>
      <c r="F159" s="35" t="s">
        <v>16</v>
      </c>
      <c r="G159" s="35" t="s">
        <v>34</v>
      </c>
      <c r="H159" s="35">
        <v>4.67</v>
      </c>
      <c r="I159" s="35">
        <v>7.17</v>
      </c>
      <c r="J159" s="35">
        <v>11.84</v>
      </c>
      <c r="L159" s="3">
        <f t="shared" si="2"/>
        <v>0</v>
      </c>
    </row>
    <row r="160">
      <c r="A160" s="34">
        <v>159.0</v>
      </c>
      <c r="B160" s="34">
        <v>2017.0</v>
      </c>
      <c r="C160" s="34">
        <v>2.0</v>
      </c>
      <c r="D160" s="34">
        <v>2.0</v>
      </c>
      <c r="E160" s="34">
        <v>3.0</v>
      </c>
      <c r="F160" s="35" t="s">
        <v>16</v>
      </c>
      <c r="G160" s="40" t="s">
        <v>57</v>
      </c>
      <c r="H160" s="35">
        <v>5.9</v>
      </c>
      <c r="I160" s="35">
        <v>8.5</v>
      </c>
      <c r="J160" s="35">
        <v>14.4</v>
      </c>
      <c r="L160" s="3">
        <f t="shared" si="2"/>
        <v>0</v>
      </c>
    </row>
    <row r="161">
      <c r="A161" s="34">
        <v>160.0</v>
      </c>
      <c r="B161" s="34">
        <v>2017.0</v>
      </c>
      <c r="C161" s="34">
        <v>2.0</v>
      </c>
      <c r="D161" s="34">
        <v>2.0</v>
      </c>
      <c r="E161" s="34">
        <v>3.0</v>
      </c>
      <c r="F161" s="35" t="s">
        <v>16</v>
      </c>
      <c r="G161" s="35" t="s">
        <v>69</v>
      </c>
      <c r="H161" s="35">
        <v>5.67</v>
      </c>
      <c r="I161" s="35">
        <v>7.33</v>
      </c>
      <c r="J161" s="34">
        <v>13.0</v>
      </c>
      <c r="L161" s="3">
        <f t="shared" si="2"/>
        <v>0</v>
      </c>
    </row>
    <row r="162">
      <c r="A162" s="34">
        <v>161.0</v>
      </c>
      <c r="B162" s="34">
        <v>2017.0</v>
      </c>
      <c r="C162" s="34">
        <v>2.0</v>
      </c>
      <c r="D162" s="34">
        <v>2.0</v>
      </c>
      <c r="E162" s="34">
        <v>4.0</v>
      </c>
      <c r="F162" s="35" t="s">
        <v>16</v>
      </c>
      <c r="G162" s="40" t="s">
        <v>39</v>
      </c>
      <c r="H162" s="35">
        <v>7.53</v>
      </c>
      <c r="I162" s="35">
        <v>8.33</v>
      </c>
      <c r="J162" s="35">
        <v>15.86</v>
      </c>
      <c r="L162" s="3">
        <f t="shared" si="2"/>
        <v>0</v>
      </c>
    </row>
    <row r="163">
      <c r="A163" s="34">
        <v>162.0</v>
      </c>
      <c r="B163" s="34">
        <v>2017.0</v>
      </c>
      <c r="C163" s="34">
        <v>2.0</v>
      </c>
      <c r="D163" s="34">
        <v>2.0</v>
      </c>
      <c r="E163" s="34">
        <v>4.0</v>
      </c>
      <c r="F163" s="35" t="s">
        <v>16</v>
      </c>
      <c r="G163" s="35" t="s">
        <v>141</v>
      </c>
      <c r="H163" s="35">
        <v>7.83</v>
      </c>
      <c r="I163" s="34">
        <v>7.0</v>
      </c>
      <c r="J163" s="35">
        <v>14.83</v>
      </c>
      <c r="L163" s="3">
        <f t="shared" si="2"/>
        <v>0</v>
      </c>
    </row>
    <row r="164">
      <c r="A164" s="34">
        <v>163.0</v>
      </c>
      <c r="B164" s="34">
        <v>2017.0</v>
      </c>
      <c r="C164" s="34">
        <v>2.0</v>
      </c>
      <c r="D164" s="34">
        <v>2.0</v>
      </c>
      <c r="E164" s="34">
        <v>5.0</v>
      </c>
      <c r="F164" s="35" t="s">
        <v>16</v>
      </c>
      <c r="G164" s="40" t="s">
        <v>42</v>
      </c>
      <c r="H164" s="35">
        <v>6.5</v>
      </c>
      <c r="I164" s="35">
        <v>8.1</v>
      </c>
      <c r="J164" s="35">
        <v>14.6</v>
      </c>
      <c r="L164" s="3">
        <f t="shared" si="2"/>
        <v>0</v>
      </c>
    </row>
    <row r="165">
      <c r="A165" s="34">
        <v>164.0</v>
      </c>
      <c r="B165" s="34">
        <v>2017.0</v>
      </c>
      <c r="C165" s="34">
        <v>2.0</v>
      </c>
      <c r="D165" s="34">
        <v>2.0</v>
      </c>
      <c r="E165" s="34">
        <v>5.0</v>
      </c>
      <c r="F165" s="35" t="s">
        <v>16</v>
      </c>
      <c r="G165" s="35" t="s">
        <v>35</v>
      </c>
      <c r="H165" s="35">
        <v>5.27</v>
      </c>
      <c r="I165" s="35">
        <v>5.57</v>
      </c>
      <c r="J165" s="35">
        <v>10.84</v>
      </c>
      <c r="L165" s="3">
        <f t="shared" si="2"/>
        <v>0</v>
      </c>
    </row>
    <row r="166">
      <c r="A166" s="34">
        <v>165.0</v>
      </c>
      <c r="B166" s="34">
        <v>2017.0</v>
      </c>
      <c r="C166" s="34">
        <v>2.0</v>
      </c>
      <c r="D166" s="34">
        <v>2.0</v>
      </c>
      <c r="E166" s="34">
        <v>6.0</v>
      </c>
      <c r="F166" s="35" t="s">
        <v>16</v>
      </c>
      <c r="G166" s="40" t="s">
        <v>33</v>
      </c>
      <c r="H166" s="35">
        <v>7.33</v>
      </c>
      <c r="I166" s="35">
        <v>7.67</v>
      </c>
      <c r="J166" s="34">
        <v>15.0</v>
      </c>
      <c r="L166" s="3">
        <f t="shared" si="2"/>
        <v>0</v>
      </c>
    </row>
    <row r="167">
      <c r="A167" s="34">
        <v>166.0</v>
      </c>
      <c r="B167" s="34">
        <v>2017.0</v>
      </c>
      <c r="C167" s="34">
        <v>2.0</v>
      </c>
      <c r="D167" s="34">
        <v>2.0</v>
      </c>
      <c r="E167" s="34">
        <v>6.0</v>
      </c>
      <c r="F167" s="35" t="s">
        <v>16</v>
      </c>
      <c r="G167" s="35" t="s">
        <v>65</v>
      </c>
      <c r="H167" s="35">
        <v>5.33</v>
      </c>
      <c r="I167" s="35">
        <v>6.7</v>
      </c>
      <c r="J167" s="35">
        <v>12.03</v>
      </c>
      <c r="L167" s="3">
        <f t="shared" si="2"/>
        <v>0</v>
      </c>
    </row>
    <row r="168">
      <c r="A168" s="34">
        <v>167.0</v>
      </c>
      <c r="B168" s="34">
        <v>2017.0</v>
      </c>
      <c r="C168" s="34">
        <v>2.0</v>
      </c>
      <c r="D168" s="34">
        <v>2.0</v>
      </c>
      <c r="E168" s="34">
        <v>7.0</v>
      </c>
      <c r="F168" s="35" t="s">
        <v>16</v>
      </c>
      <c r="G168" s="40" t="s">
        <v>59</v>
      </c>
      <c r="H168" s="35">
        <v>6.33</v>
      </c>
      <c r="I168" s="35">
        <v>5.5</v>
      </c>
      <c r="J168" s="35">
        <v>11.83</v>
      </c>
      <c r="L168" s="3">
        <f t="shared" si="2"/>
        <v>0</v>
      </c>
    </row>
    <row r="169">
      <c r="A169" s="34">
        <v>168.0</v>
      </c>
      <c r="B169" s="34">
        <v>2017.0</v>
      </c>
      <c r="C169" s="34">
        <v>2.0</v>
      </c>
      <c r="D169" s="34">
        <v>2.0</v>
      </c>
      <c r="E169" s="34">
        <v>7.0</v>
      </c>
      <c r="F169" s="35" t="s">
        <v>16</v>
      </c>
      <c r="G169" s="35" t="s">
        <v>45</v>
      </c>
      <c r="H169" s="35">
        <v>4.17</v>
      </c>
      <c r="I169" s="35">
        <v>7.17</v>
      </c>
      <c r="J169" s="35">
        <v>11.34</v>
      </c>
      <c r="L169" s="3">
        <f t="shared" si="2"/>
        <v>11.34</v>
      </c>
    </row>
    <row r="170">
      <c r="A170" s="34">
        <v>169.0</v>
      </c>
      <c r="B170" s="34">
        <v>2017.0</v>
      </c>
      <c r="C170" s="34">
        <v>2.0</v>
      </c>
      <c r="D170" s="34">
        <v>2.0</v>
      </c>
      <c r="E170" s="34">
        <v>8.0</v>
      </c>
      <c r="F170" s="35" t="s">
        <v>16</v>
      </c>
      <c r="G170" s="40" t="s">
        <v>52</v>
      </c>
      <c r="H170" s="35">
        <v>7.33</v>
      </c>
      <c r="I170" s="35">
        <v>7.17</v>
      </c>
      <c r="J170" s="35">
        <v>14.5</v>
      </c>
      <c r="L170" s="3">
        <f t="shared" si="2"/>
        <v>0</v>
      </c>
    </row>
    <row r="171">
      <c r="A171" s="34">
        <v>170.0</v>
      </c>
      <c r="B171" s="34">
        <v>2017.0</v>
      </c>
      <c r="C171" s="34">
        <v>2.0</v>
      </c>
      <c r="D171" s="34">
        <v>2.0</v>
      </c>
      <c r="E171" s="34">
        <v>8.0</v>
      </c>
      <c r="F171" s="35" t="s">
        <v>16</v>
      </c>
      <c r="G171" s="35" t="s">
        <v>63</v>
      </c>
      <c r="H171" s="35">
        <v>4.17</v>
      </c>
      <c r="I171" s="35">
        <v>8.6</v>
      </c>
      <c r="J171" s="35">
        <v>12.77</v>
      </c>
      <c r="L171" s="3">
        <f t="shared" si="2"/>
        <v>0</v>
      </c>
    </row>
    <row r="172">
      <c r="A172" s="34">
        <v>171.0</v>
      </c>
      <c r="B172" s="34">
        <v>2017.0</v>
      </c>
      <c r="C172" s="34">
        <v>2.0</v>
      </c>
      <c r="D172" s="34">
        <v>2.0</v>
      </c>
      <c r="E172" s="34">
        <v>9.0</v>
      </c>
      <c r="F172" s="35" t="s">
        <v>16</v>
      </c>
      <c r="G172" s="40" t="s">
        <v>47</v>
      </c>
      <c r="H172" s="35">
        <v>8.83</v>
      </c>
      <c r="I172" s="35">
        <v>7.67</v>
      </c>
      <c r="J172" s="35">
        <v>16.5</v>
      </c>
      <c r="L172" s="3">
        <f t="shared" si="2"/>
        <v>0</v>
      </c>
    </row>
    <row r="173">
      <c r="A173" s="34">
        <v>172.0</v>
      </c>
      <c r="B173" s="34">
        <v>2017.0</v>
      </c>
      <c r="C173" s="34">
        <v>2.0</v>
      </c>
      <c r="D173" s="34">
        <v>2.0</v>
      </c>
      <c r="E173" s="34">
        <v>9.0</v>
      </c>
      <c r="F173" s="35" t="s">
        <v>16</v>
      </c>
      <c r="G173" s="35" t="s">
        <v>64</v>
      </c>
      <c r="H173" s="35">
        <v>6.93</v>
      </c>
      <c r="I173" s="35">
        <v>8.57</v>
      </c>
      <c r="J173" s="35">
        <v>15.5</v>
      </c>
      <c r="L173" s="3">
        <f t="shared" si="2"/>
        <v>0</v>
      </c>
    </row>
    <row r="174">
      <c r="A174" s="34">
        <v>173.0</v>
      </c>
      <c r="B174" s="34">
        <v>2017.0</v>
      </c>
      <c r="C174" s="34">
        <v>2.0</v>
      </c>
      <c r="D174" s="34">
        <v>2.0</v>
      </c>
      <c r="E174" s="34">
        <v>10.0</v>
      </c>
      <c r="F174" s="35" t="s">
        <v>16</v>
      </c>
      <c r="G174" s="40" t="s">
        <v>61</v>
      </c>
      <c r="H174" s="35">
        <v>5.43</v>
      </c>
      <c r="I174" s="34">
        <v>8.0</v>
      </c>
      <c r="J174" s="35">
        <v>13.43</v>
      </c>
      <c r="L174" s="3">
        <f t="shared" si="2"/>
        <v>0</v>
      </c>
    </row>
    <row r="175">
      <c r="A175" s="34">
        <v>174.0</v>
      </c>
      <c r="B175" s="34">
        <v>2017.0</v>
      </c>
      <c r="C175" s="34">
        <v>2.0</v>
      </c>
      <c r="D175" s="34">
        <v>2.0</v>
      </c>
      <c r="E175" s="34">
        <v>10.0</v>
      </c>
      <c r="F175" s="35" t="s">
        <v>16</v>
      </c>
      <c r="G175" s="35" t="s">
        <v>54</v>
      </c>
      <c r="H175" s="35">
        <v>4.87</v>
      </c>
      <c r="I175" s="35">
        <v>4.07</v>
      </c>
      <c r="J175" s="35">
        <v>8.94</v>
      </c>
      <c r="L175" s="3">
        <f t="shared" si="2"/>
        <v>0</v>
      </c>
    </row>
    <row r="176">
      <c r="A176" s="34">
        <v>175.0</v>
      </c>
      <c r="B176" s="34">
        <v>2017.0</v>
      </c>
      <c r="C176" s="34">
        <v>2.0</v>
      </c>
      <c r="D176" s="34">
        <v>2.0</v>
      </c>
      <c r="E176" s="34">
        <v>11.0</v>
      </c>
      <c r="F176" s="35" t="s">
        <v>16</v>
      </c>
      <c r="G176" s="40" t="s">
        <v>53</v>
      </c>
      <c r="H176" s="35">
        <v>7.67</v>
      </c>
      <c r="I176" s="35">
        <v>5.1</v>
      </c>
      <c r="J176" s="35">
        <v>12.77</v>
      </c>
      <c r="L176" s="3">
        <f t="shared" si="2"/>
        <v>0</v>
      </c>
    </row>
    <row r="177">
      <c r="A177" s="34">
        <v>176.0</v>
      </c>
      <c r="B177" s="34">
        <v>2017.0</v>
      </c>
      <c r="C177" s="34">
        <v>2.0</v>
      </c>
      <c r="D177" s="34">
        <v>2.0</v>
      </c>
      <c r="E177" s="34">
        <v>11.0</v>
      </c>
      <c r="F177" s="35" t="s">
        <v>16</v>
      </c>
      <c r="G177" s="35" t="s">
        <v>41</v>
      </c>
      <c r="H177" s="35">
        <v>7.43</v>
      </c>
      <c r="I177" s="35">
        <v>5.33</v>
      </c>
      <c r="J177" s="35">
        <v>12.76</v>
      </c>
      <c r="L177" s="3">
        <f t="shared" si="2"/>
        <v>0</v>
      </c>
    </row>
    <row r="178">
      <c r="A178" s="34">
        <v>177.0</v>
      </c>
      <c r="B178" s="34">
        <v>2017.0</v>
      </c>
      <c r="C178" s="34">
        <v>2.0</v>
      </c>
      <c r="D178" s="34">
        <v>2.0</v>
      </c>
      <c r="E178" s="34">
        <v>12.0</v>
      </c>
      <c r="F178" s="35" t="s">
        <v>16</v>
      </c>
      <c r="G178" s="40" t="s">
        <v>55</v>
      </c>
      <c r="H178" s="35">
        <v>5.17</v>
      </c>
      <c r="I178" s="35">
        <v>5.7</v>
      </c>
      <c r="J178" s="35">
        <v>10.87</v>
      </c>
      <c r="L178" s="3">
        <f t="shared" si="2"/>
        <v>0</v>
      </c>
    </row>
    <row r="179">
      <c r="A179" s="34">
        <v>178.0</v>
      </c>
      <c r="B179" s="34">
        <v>2017.0</v>
      </c>
      <c r="C179" s="34">
        <v>2.0</v>
      </c>
      <c r="D179" s="34">
        <v>2.0</v>
      </c>
      <c r="E179" s="34">
        <v>12.0</v>
      </c>
      <c r="F179" s="35" t="s">
        <v>16</v>
      </c>
      <c r="G179" s="35" t="s">
        <v>36</v>
      </c>
      <c r="H179" s="35">
        <v>4.9</v>
      </c>
      <c r="I179" s="35">
        <v>4.27</v>
      </c>
      <c r="J179" s="35">
        <v>9.17</v>
      </c>
      <c r="L179" s="3">
        <f t="shared" si="2"/>
        <v>0</v>
      </c>
    </row>
    <row r="180">
      <c r="A180" s="34">
        <v>179.0</v>
      </c>
      <c r="B180" s="34">
        <v>2017.0</v>
      </c>
      <c r="C180" s="34">
        <v>2.0</v>
      </c>
      <c r="D180" s="34">
        <v>3.0</v>
      </c>
      <c r="E180" s="34">
        <v>1.0</v>
      </c>
      <c r="F180" s="35" t="s">
        <v>16</v>
      </c>
      <c r="G180" s="40" t="s">
        <v>68</v>
      </c>
      <c r="H180" s="35">
        <v>7.33</v>
      </c>
      <c r="I180" s="35">
        <v>6.5</v>
      </c>
      <c r="J180" s="35">
        <v>13.83</v>
      </c>
      <c r="L180" s="3">
        <f t="shared" si="2"/>
        <v>0</v>
      </c>
    </row>
    <row r="181">
      <c r="A181" s="34">
        <v>180.0</v>
      </c>
      <c r="B181" s="34">
        <v>2017.0</v>
      </c>
      <c r="C181" s="34">
        <v>2.0</v>
      </c>
      <c r="D181" s="34">
        <v>3.0</v>
      </c>
      <c r="E181" s="34">
        <v>1.0</v>
      </c>
      <c r="F181" s="35" t="s">
        <v>16</v>
      </c>
      <c r="G181" s="35" t="s">
        <v>37</v>
      </c>
      <c r="H181" s="35">
        <v>5.6</v>
      </c>
      <c r="I181" s="35">
        <v>5.47</v>
      </c>
      <c r="J181" s="35">
        <v>11.07</v>
      </c>
      <c r="L181" s="3">
        <f t="shared" si="2"/>
        <v>0</v>
      </c>
    </row>
    <row r="182">
      <c r="A182" s="34">
        <v>181.0</v>
      </c>
      <c r="B182" s="34">
        <v>2017.0</v>
      </c>
      <c r="C182" s="34">
        <v>2.0</v>
      </c>
      <c r="D182" s="34">
        <v>3.0</v>
      </c>
      <c r="E182" s="34">
        <v>2.0</v>
      </c>
      <c r="F182" s="35" t="s">
        <v>16</v>
      </c>
      <c r="G182" s="40" t="s">
        <v>31</v>
      </c>
      <c r="H182" s="35">
        <v>8.17</v>
      </c>
      <c r="I182" s="35">
        <v>8.67</v>
      </c>
      <c r="J182" s="35">
        <v>16.84</v>
      </c>
      <c r="L182" s="3">
        <f t="shared" si="2"/>
        <v>0</v>
      </c>
    </row>
    <row r="183">
      <c r="A183" s="34">
        <v>182.0</v>
      </c>
      <c r="B183" s="34">
        <v>2017.0</v>
      </c>
      <c r="C183" s="34">
        <v>2.0</v>
      </c>
      <c r="D183" s="34">
        <v>3.0</v>
      </c>
      <c r="E183" s="34">
        <v>2.0</v>
      </c>
      <c r="F183" s="35" t="s">
        <v>16</v>
      </c>
      <c r="G183" s="35" t="s">
        <v>55</v>
      </c>
      <c r="H183" s="35">
        <v>0.83</v>
      </c>
      <c r="I183" s="35">
        <v>2.5</v>
      </c>
      <c r="J183" s="35">
        <v>3.33</v>
      </c>
      <c r="L183" s="3">
        <f t="shared" si="2"/>
        <v>0</v>
      </c>
    </row>
    <row r="184">
      <c r="A184" s="34">
        <v>183.0</v>
      </c>
      <c r="B184" s="34">
        <v>2017.0</v>
      </c>
      <c r="C184" s="34">
        <v>2.0</v>
      </c>
      <c r="D184" s="34">
        <v>3.0</v>
      </c>
      <c r="E184" s="34">
        <v>3.0</v>
      </c>
      <c r="F184" s="35" t="s">
        <v>16</v>
      </c>
      <c r="G184" s="40" t="s">
        <v>57</v>
      </c>
      <c r="H184" s="35">
        <v>6.17</v>
      </c>
      <c r="I184" s="35">
        <v>8.07</v>
      </c>
      <c r="J184" s="35">
        <v>14.24</v>
      </c>
      <c r="L184" s="3">
        <f t="shared" si="2"/>
        <v>0</v>
      </c>
    </row>
    <row r="185">
      <c r="A185" s="34">
        <v>184.0</v>
      </c>
      <c r="B185" s="34">
        <v>2017.0</v>
      </c>
      <c r="C185" s="34">
        <v>2.0</v>
      </c>
      <c r="D185" s="34">
        <v>3.0</v>
      </c>
      <c r="E185" s="34">
        <v>3.0</v>
      </c>
      <c r="F185" s="35" t="s">
        <v>16</v>
      </c>
      <c r="G185" s="35" t="s">
        <v>67</v>
      </c>
      <c r="H185" s="35">
        <v>7.17</v>
      </c>
      <c r="I185" s="35">
        <v>4.5</v>
      </c>
      <c r="J185" s="35">
        <v>11.67</v>
      </c>
      <c r="L185" s="3">
        <f t="shared" si="2"/>
        <v>0</v>
      </c>
    </row>
    <row r="186">
      <c r="A186" s="34">
        <v>185.0</v>
      </c>
      <c r="B186" s="34">
        <v>2017.0</v>
      </c>
      <c r="C186" s="34">
        <v>2.0</v>
      </c>
      <c r="D186" s="34">
        <v>3.0</v>
      </c>
      <c r="E186" s="34">
        <v>4.0</v>
      </c>
      <c r="F186" s="35" t="s">
        <v>16</v>
      </c>
      <c r="G186" s="40" t="s">
        <v>27</v>
      </c>
      <c r="H186" s="35">
        <v>8.67</v>
      </c>
      <c r="I186" s="35">
        <v>4.6</v>
      </c>
      <c r="J186" s="35">
        <v>13.27</v>
      </c>
      <c r="L186" s="3">
        <f t="shared" si="2"/>
        <v>0</v>
      </c>
    </row>
    <row r="187">
      <c r="A187" s="34">
        <v>186.0</v>
      </c>
      <c r="B187" s="34">
        <v>2017.0</v>
      </c>
      <c r="C187" s="34">
        <v>2.0</v>
      </c>
      <c r="D187" s="34">
        <v>3.0</v>
      </c>
      <c r="E187" s="34">
        <v>4.0</v>
      </c>
      <c r="F187" s="35" t="s">
        <v>16</v>
      </c>
      <c r="G187" s="35" t="s">
        <v>53</v>
      </c>
      <c r="H187" s="34">
        <v>4.0</v>
      </c>
      <c r="I187" s="35">
        <v>6.83</v>
      </c>
      <c r="J187" s="35">
        <v>10.83</v>
      </c>
      <c r="L187" s="3">
        <f t="shared" si="2"/>
        <v>0</v>
      </c>
    </row>
    <row r="188">
      <c r="A188" s="34">
        <v>187.0</v>
      </c>
      <c r="B188" s="34">
        <v>2017.0</v>
      </c>
      <c r="C188" s="34">
        <v>2.0</v>
      </c>
      <c r="D188" s="34">
        <v>3.0</v>
      </c>
      <c r="E188" s="34">
        <v>5.0</v>
      </c>
      <c r="F188" s="35" t="s">
        <v>16</v>
      </c>
      <c r="G188" s="40" t="s">
        <v>52</v>
      </c>
      <c r="H188" s="35">
        <v>7.67</v>
      </c>
      <c r="I188" s="35">
        <v>7.9</v>
      </c>
      <c r="J188" s="35">
        <v>15.57</v>
      </c>
      <c r="L188" s="3">
        <f t="shared" si="2"/>
        <v>0</v>
      </c>
    </row>
    <row r="189">
      <c r="A189" s="34">
        <v>188.0</v>
      </c>
      <c r="B189" s="34">
        <v>2017.0</v>
      </c>
      <c r="C189" s="34">
        <v>2.0</v>
      </c>
      <c r="D189" s="34">
        <v>3.0</v>
      </c>
      <c r="E189" s="34">
        <v>5.0</v>
      </c>
      <c r="F189" s="35" t="s">
        <v>16</v>
      </c>
      <c r="G189" s="35" t="s">
        <v>47</v>
      </c>
      <c r="H189" s="34">
        <v>4.0</v>
      </c>
      <c r="I189" s="35">
        <v>7.43</v>
      </c>
      <c r="J189" s="35">
        <v>11.43</v>
      </c>
      <c r="L189" s="3">
        <f t="shared" si="2"/>
        <v>0</v>
      </c>
    </row>
    <row r="190">
      <c r="A190" s="34">
        <v>189.0</v>
      </c>
      <c r="B190" s="34">
        <v>2017.0</v>
      </c>
      <c r="C190" s="34">
        <v>2.0</v>
      </c>
      <c r="D190" s="34">
        <v>3.0</v>
      </c>
      <c r="E190" s="34">
        <v>6.0</v>
      </c>
      <c r="F190" s="35" t="s">
        <v>16</v>
      </c>
      <c r="G190" s="40" t="s">
        <v>26</v>
      </c>
      <c r="H190" s="35">
        <v>9.57</v>
      </c>
      <c r="I190" s="35">
        <v>9.7</v>
      </c>
      <c r="J190" s="35">
        <v>19.27</v>
      </c>
      <c r="L190" s="3">
        <f t="shared" si="2"/>
        <v>0</v>
      </c>
    </row>
    <row r="191">
      <c r="A191" s="34">
        <v>190.0</v>
      </c>
      <c r="B191" s="34">
        <v>2017.0</v>
      </c>
      <c r="C191" s="34">
        <v>2.0</v>
      </c>
      <c r="D191" s="34">
        <v>3.0</v>
      </c>
      <c r="E191" s="34">
        <v>6.0</v>
      </c>
      <c r="F191" s="35" t="s">
        <v>16</v>
      </c>
      <c r="G191" s="35" t="s">
        <v>75</v>
      </c>
      <c r="H191" s="35">
        <v>6.77</v>
      </c>
      <c r="I191" s="35">
        <v>8.17</v>
      </c>
      <c r="J191" s="35">
        <v>14.94</v>
      </c>
      <c r="L191" s="3">
        <f t="shared" si="2"/>
        <v>0</v>
      </c>
    </row>
    <row r="192">
      <c r="A192" s="34">
        <v>191.0</v>
      </c>
      <c r="B192" s="34">
        <v>2017.0</v>
      </c>
      <c r="C192" s="34">
        <v>2.0</v>
      </c>
      <c r="D192" s="34">
        <v>3.0</v>
      </c>
      <c r="E192" s="34">
        <v>7.0</v>
      </c>
      <c r="F192" s="35" t="s">
        <v>16</v>
      </c>
      <c r="G192" s="40" t="s">
        <v>28</v>
      </c>
      <c r="H192" s="35">
        <v>6.83</v>
      </c>
      <c r="I192" s="34">
        <v>6.0</v>
      </c>
      <c r="J192" s="35">
        <v>12.83</v>
      </c>
      <c r="L192" s="3">
        <f t="shared" si="2"/>
        <v>0</v>
      </c>
    </row>
    <row r="193">
      <c r="A193" s="34">
        <v>192.0</v>
      </c>
      <c r="B193" s="34">
        <v>2017.0</v>
      </c>
      <c r="C193" s="34">
        <v>2.0</v>
      </c>
      <c r="D193" s="34">
        <v>3.0</v>
      </c>
      <c r="E193" s="34">
        <v>7.0</v>
      </c>
      <c r="F193" s="35" t="s">
        <v>16</v>
      </c>
      <c r="G193" s="35" t="s">
        <v>142</v>
      </c>
      <c r="H193" s="35">
        <v>5.17</v>
      </c>
      <c r="I193" s="35">
        <v>4.5</v>
      </c>
      <c r="J193" s="35">
        <v>9.67</v>
      </c>
      <c r="L193" s="3">
        <f t="shared" si="2"/>
        <v>0</v>
      </c>
    </row>
    <row r="194">
      <c r="A194" s="34">
        <v>193.0</v>
      </c>
      <c r="B194" s="34">
        <v>2017.0</v>
      </c>
      <c r="C194" s="34">
        <v>2.0</v>
      </c>
      <c r="D194" s="34">
        <v>3.0</v>
      </c>
      <c r="E194" s="34">
        <v>8.0</v>
      </c>
      <c r="F194" s="35" t="s">
        <v>16</v>
      </c>
      <c r="G194" s="40" t="s">
        <v>38</v>
      </c>
      <c r="H194" s="35">
        <v>8.17</v>
      </c>
      <c r="I194" s="35">
        <v>7.17</v>
      </c>
      <c r="J194" s="35">
        <v>15.34</v>
      </c>
      <c r="L194" s="3">
        <f t="shared" si="2"/>
        <v>0</v>
      </c>
    </row>
    <row r="195">
      <c r="A195" s="34">
        <v>194.0</v>
      </c>
      <c r="B195" s="34">
        <v>2017.0</v>
      </c>
      <c r="C195" s="34">
        <v>2.0</v>
      </c>
      <c r="D195" s="34">
        <v>3.0</v>
      </c>
      <c r="E195" s="34">
        <v>8.0</v>
      </c>
      <c r="F195" s="35" t="s">
        <v>16</v>
      </c>
      <c r="G195" s="35" t="s">
        <v>40</v>
      </c>
      <c r="H195" s="35">
        <v>6.33</v>
      </c>
      <c r="I195" s="35">
        <v>7.83</v>
      </c>
      <c r="J195" s="35">
        <v>14.16</v>
      </c>
      <c r="L195" s="3">
        <f t="shared" si="2"/>
        <v>0</v>
      </c>
    </row>
    <row r="196">
      <c r="A196" s="34">
        <v>195.0</v>
      </c>
      <c r="B196" s="34">
        <v>2017.0</v>
      </c>
      <c r="C196" s="34">
        <v>2.0</v>
      </c>
      <c r="D196" s="34">
        <v>3.0</v>
      </c>
      <c r="E196" s="34">
        <v>9.0</v>
      </c>
      <c r="F196" s="35" t="s">
        <v>16</v>
      </c>
      <c r="G196" s="40" t="s">
        <v>42</v>
      </c>
      <c r="H196" s="35">
        <v>8.5</v>
      </c>
      <c r="I196" s="35">
        <v>9.17</v>
      </c>
      <c r="J196" s="35">
        <v>17.67</v>
      </c>
      <c r="L196" s="3">
        <f t="shared" si="2"/>
        <v>0</v>
      </c>
    </row>
    <row r="197">
      <c r="A197" s="34">
        <v>196.0</v>
      </c>
      <c r="B197" s="34">
        <v>2017.0</v>
      </c>
      <c r="C197" s="34">
        <v>2.0</v>
      </c>
      <c r="D197" s="34">
        <v>3.0</v>
      </c>
      <c r="E197" s="34">
        <v>9.0</v>
      </c>
      <c r="F197" s="35" t="s">
        <v>16</v>
      </c>
      <c r="G197" s="35" t="s">
        <v>59</v>
      </c>
      <c r="H197" s="35">
        <v>8.43</v>
      </c>
      <c r="I197" s="35">
        <v>7.23</v>
      </c>
      <c r="J197" s="35">
        <v>15.66</v>
      </c>
      <c r="L197" s="3">
        <f t="shared" si="2"/>
        <v>0</v>
      </c>
    </row>
    <row r="198">
      <c r="A198" s="34">
        <v>197.0</v>
      </c>
      <c r="B198" s="34">
        <v>2017.0</v>
      </c>
      <c r="C198" s="34">
        <v>2.0</v>
      </c>
      <c r="D198" s="34">
        <v>3.0</v>
      </c>
      <c r="E198" s="34">
        <v>10.0</v>
      </c>
      <c r="F198" s="35" t="s">
        <v>16</v>
      </c>
      <c r="G198" s="40" t="s">
        <v>50</v>
      </c>
      <c r="H198" s="35">
        <v>9.13</v>
      </c>
      <c r="I198" s="35">
        <v>7.67</v>
      </c>
      <c r="J198" s="35">
        <v>16.8</v>
      </c>
      <c r="L198" s="3">
        <f t="shared" si="2"/>
        <v>0</v>
      </c>
    </row>
    <row r="199">
      <c r="A199" s="34">
        <v>198.0</v>
      </c>
      <c r="B199" s="34">
        <v>2017.0</v>
      </c>
      <c r="C199" s="34">
        <v>2.0</v>
      </c>
      <c r="D199" s="34">
        <v>3.0</v>
      </c>
      <c r="E199" s="34">
        <v>10.0</v>
      </c>
      <c r="F199" s="35" t="s">
        <v>16</v>
      </c>
      <c r="G199" s="35" t="s">
        <v>39</v>
      </c>
      <c r="H199" s="34">
        <v>1.0</v>
      </c>
      <c r="I199" s="35">
        <v>7.53</v>
      </c>
      <c r="J199" s="35">
        <v>8.53</v>
      </c>
      <c r="L199" s="3">
        <f t="shared" si="2"/>
        <v>0</v>
      </c>
    </row>
    <row r="200">
      <c r="A200" s="34">
        <v>199.0</v>
      </c>
      <c r="B200" s="34">
        <v>2017.0</v>
      </c>
      <c r="C200" s="34">
        <v>2.0</v>
      </c>
      <c r="D200" s="34">
        <v>3.0</v>
      </c>
      <c r="E200" s="34">
        <v>11.0</v>
      </c>
      <c r="F200" s="35" t="s">
        <v>16</v>
      </c>
      <c r="G200" s="40" t="s">
        <v>33</v>
      </c>
      <c r="H200" s="35">
        <v>5.83</v>
      </c>
      <c r="I200" s="35">
        <v>6.13</v>
      </c>
      <c r="J200" s="35">
        <v>11.96</v>
      </c>
      <c r="L200" s="3">
        <f t="shared" si="2"/>
        <v>0</v>
      </c>
    </row>
    <row r="201">
      <c r="A201" s="34">
        <v>200.0</v>
      </c>
      <c r="B201" s="34">
        <v>2017.0</v>
      </c>
      <c r="C201" s="34">
        <v>2.0</v>
      </c>
      <c r="D201" s="34">
        <v>3.0</v>
      </c>
      <c r="E201" s="34">
        <v>11.0</v>
      </c>
      <c r="F201" s="35" t="s">
        <v>16</v>
      </c>
      <c r="G201" s="35" t="s">
        <v>61</v>
      </c>
      <c r="H201" s="35">
        <v>4.17</v>
      </c>
      <c r="I201" s="35">
        <v>5.67</v>
      </c>
      <c r="J201" s="35">
        <v>9.84</v>
      </c>
      <c r="L201" s="3">
        <f t="shared" si="2"/>
        <v>0</v>
      </c>
    </row>
    <row r="202">
      <c r="A202" s="34">
        <v>201.0</v>
      </c>
      <c r="B202" s="34">
        <v>2017.0</v>
      </c>
      <c r="C202" s="34">
        <v>2.0</v>
      </c>
      <c r="D202" s="34">
        <v>3.0</v>
      </c>
      <c r="E202" s="34">
        <v>12.0</v>
      </c>
      <c r="F202" s="35" t="s">
        <v>16</v>
      </c>
      <c r="G202" s="40" t="s">
        <v>32</v>
      </c>
      <c r="H202" s="35">
        <v>5.77</v>
      </c>
      <c r="I202" s="35">
        <v>6.77</v>
      </c>
      <c r="J202" s="35">
        <v>12.54</v>
      </c>
      <c r="L202" s="3">
        <f t="shared" si="2"/>
        <v>0</v>
      </c>
    </row>
    <row r="203">
      <c r="A203" s="34">
        <v>202.0</v>
      </c>
      <c r="B203" s="34">
        <v>2017.0</v>
      </c>
      <c r="C203" s="34">
        <v>2.0</v>
      </c>
      <c r="D203" s="34">
        <v>3.0</v>
      </c>
      <c r="E203" s="34">
        <v>12.0</v>
      </c>
      <c r="F203" s="35" t="s">
        <v>16</v>
      </c>
      <c r="G203" s="35" t="s">
        <v>56</v>
      </c>
      <c r="H203" s="35">
        <v>6.43</v>
      </c>
      <c r="I203" s="35">
        <v>4.4</v>
      </c>
      <c r="J203" s="35">
        <v>10.83</v>
      </c>
      <c r="L203" s="3">
        <f t="shared" si="2"/>
        <v>0</v>
      </c>
    </row>
    <row r="204">
      <c r="A204" s="34">
        <v>203.0</v>
      </c>
      <c r="B204" s="34">
        <v>2017.0</v>
      </c>
      <c r="C204" s="34">
        <v>2.0</v>
      </c>
      <c r="D204" s="34">
        <v>4.0</v>
      </c>
      <c r="E204" s="34">
        <v>1.0</v>
      </c>
      <c r="F204" s="35" t="s">
        <v>16</v>
      </c>
      <c r="G204" s="40" t="s">
        <v>57</v>
      </c>
      <c r="H204" s="35">
        <v>8.27</v>
      </c>
      <c r="I204" s="35">
        <v>9.17</v>
      </c>
      <c r="J204" s="35">
        <v>17.44</v>
      </c>
      <c r="L204" s="3">
        <f t="shared" si="2"/>
        <v>0</v>
      </c>
    </row>
    <row r="205">
      <c r="A205" s="34">
        <v>204.0</v>
      </c>
      <c r="B205" s="34">
        <v>2017.0</v>
      </c>
      <c r="C205" s="34">
        <v>2.0</v>
      </c>
      <c r="D205" s="34">
        <v>4.0</v>
      </c>
      <c r="E205" s="34">
        <v>1.0</v>
      </c>
      <c r="F205" s="35" t="s">
        <v>16</v>
      </c>
      <c r="G205" s="35" t="s">
        <v>68</v>
      </c>
      <c r="H205" s="35">
        <v>8.9</v>
      </c>
      <c r="I205" s="35">
        <v>6.9</v>
      </c>
      <c r="J205" s="35">
        <v>15.8</v>
      </c>
      <c r="L205" s="3">
        <f t="shared" si="2"/>
        <v>0</v>
      </c>
    </row>
    <row r="206">
      <c r="A206" s="34">
        <v>205.0</v>
      </c>
      <c r="B206" s="34">
        <v>2017.0</v>
      </c>
      <c r="C206" s="34">
        <v>2.0</v>
      </c>
      <c r="D206" s="34">
        <v>4.0</v>
      </c>
      <c r="E206" s="34">
        <v>1.0</v>
      </c>
      <c r="F206" s="35" t="s">
        <v>16</v>
      </c>
      <c r="G206" s="35" t="s">
        <v>31</v>
      </c>
      <c r="H206" s="35">
        <v>5.93</v>
      </c>
      <c r="I206" s="35">
        <v>5.93</v>
      </c>
      <c r="J206" s="35">
        <v>11.86</v>
      </c>
      <c r="L206" s="3">
        <f t="shared" si="2"/>
        <v>0</v>
      </c>
    </row>
    <row r="207">
      <c r="A207" s="34">
        <v>206.0</v>
      </c>
      <c r="B207" s="34">
        <v>2017.0</v>
      </c>
      <c r="C207" s="34">
        <v>2.0</v>
      </c>
      <c r="D207" s="34">
        <v>4.0</v>
      </c>
      <c r="E207" s="34">
        <v>2.0</v>
      </c>
      <c r="F207" s="35" t="s">
        <v>16</v>
      </c>
      <c r="G207" s="40" t="s">
        <v>26</v>
      </c>
      <c r="H207" s="35">
        <v>9.43</v>
      </c>
      <c r="I207" s="35">
        <v>9.73</v>
      </c>
      <c r="J207" s="35">
        <v>19.16</v>
      </c>
      <c r="L207" s="3">
        <f t="shared" si="2"/>
        <v>0</v>
      </c>
    </row>
    <row r="208">
      <c r="A208" s="34">
        <v>207.0</v>
      </c>
      <c r="B208" s="34">
        <v>2017.0</v>
      </c>
      <c r="C208" s="34">
        <v>2.0</v>
      </c>
      <c r="D208" s="34">
        <v>4.0</v>
      </c>
      <c r="E208" s="34">
        <v>2.0</v>
      </c>
      <c r="F208" s="35" t="s">
        <v>16</v>
      </c>
      <c r="G208" s="35" t="s">
        <v>27</v>
      </c>
      <c r="H208" s="35">
        <v>7.83</v>
      </c>
      <c r="I208" s="35">
        <v>7.4</v>
      </c>
      <c r="J208" s="35">
        <v>15.23</v>
      </c>
      <c r="L208" s="3">
        <f t="shared" si="2"/>
        <v>0</v>
      </c>
    </row>
    <row r="209">
      <c r="A209" s="34">
        <v>208.0</v>
      </c>
      <c r="B209" s="34">
        <v>2017.0</v>
      </c>
      <c r="C209" s="34">
        <v>2.0</v>
      </c>
      <c r="D209" s="34">
        <v>4.0</v>
      </c>
      <c r="E209" s="34">
        <v>2.0</v>
      </c>
      <c r="F209" s="35" t="s">
        <v>16</v>
      </c>
      <c r="G209" s="35" t="s">
        <v>52</v>
      </c>
      <c r="H209" s="35">
        <v>4.5</v>
      </c>
      <c r="I209" s="34">
        <v>7.0</v>
      </c>
      <c r="J209" s="35">
        <v>11.5</v>
      </c>
      <c r="L209" s="3">
        <f t="shared" si="2"/>
        <v>0</v>
      </c>
    </row>
    <row r="210">
      <c r="A210" s="34">
        <v>209.0</v>
      </c>
      <c r="B210" s="34">
        <v>2017.0</v>
      </c>
      <c r="C210" s="34">
        <v>2.0</v>
      </c>
      <c r="D210" s="34">
        <v>4.0</v>
      </c>
      <c r="E210" s="34">
        <v>3.0</v>
      </c>
      <c r="F210" s="35" t="s">
        <v>16</v>
      </c>
      <c r="G210" s="40" t="s">
        <v>42</v>
      </c>
      <c r="H210" s="35">
        <v>8.43</v>
      </c>
      <c r="I210" s="35">
        <v>8.4</v>
      </c>
      <c r="J210" s="35">
        <v>16.83</v>
      </c>
      <c r="L210" s="3">
        <f t="shared" si="2"/>
        <v>0</v>
      </c>
    </row>
    <row r="211">
      <c r="A211" s="34">
        <v>210.0</v>
      </c>
      <c r="B211" s="34">
        <v>2017.0</v>
      </c>
      <c r="C211" s="34">
        <v>2.0</v>
      </c>
      <c r="D211" s="34">
        <v>4.0</v>
      </c>
      <c r="E211" s="34">
        <v>3.0</v>
      </c>
      <c r="F211" s="35" t="s">
        <v>16</v>
      </c>
      <c r="G211" s="35" t="s">
        <v>38</v>
      </c>
      <c r="H211" s="35">
        <v>7.07</v>
      </c>
      <c r="I211" s="35">
        <v>6.33</v>
      </c>
      <c r="J211" s="35">
        <v>13.4</v>
      </c>
      <c r="L211" s="3">
        <f t="shared" si="2"/>
        <v>0</v>
      </c>
    </row>
    <row r="212">
      <c r="A212" s="34">
        <v>211.0</v>
      </c>
      <c r="B212" s="34">
        <v>2017.0</v>
      </c>
      <c r="C212" s="34">
        <v>2.0</v>
      </c>
      <c r="D212" s="34">
        <v>4.0</v>
      </c>
      <c r="E212" s="34">
        <v>3.0</v>
      </c>
      <c r="F212" s="35" t="s">
        <v>16</v>
      </c>
      <c r="G212" s="35" t="s">
        <v>28</v>
      </c>
      <c r="H212" s="35">
        <v>5.83</v>
      </c>
      <c r="I212" s="35">
        <v>4.13</v>
      </c>
      <c r="J212" s="35">
        <v>9.96</v>
      </c>
      <c r="L212" s="3">
        <f t="shared" si="2"/>
        <v>0</v>
      </c>
    </row>
    <row r="213">
      <c r="A213" s="34">
        <v>212.0</v>
      </c>
      <c r="B213" s="34">
        <v>2017.0</v>
      </c>
      <c r="C213" s="34">
        <v>2.0</v>
      </c>
      <c r="D213" s="34">
        <v>4.0</v>
      </c>
      <c r="E213" s="34">
        <v>4.0</v>
      </c>
      <c r="F213" s="35" t="s">
        <v>16</v>
      </c>
      <c r="G213" s="40" t="s">
        <v>32</v>
      </c>
      <c r="H213" s="35">
        <v>6.77</v>
      </c>
      <c r="I213" s="34">
        <v>8.0</v>
      </c>
      <c r="J213" s="35">
        <v>14.77</v>
      </c>
      <c r="L213" s="3">
        <f t="shared" si="2"/>
        <v>0</v>
      </c>
    </row>
    <row r="214">
      <c r="A214" s="34">
        <v>213.0</v>
      </c>
      <c r="B214" s="34">
        <v>2017.0</v>
      </c>
      <c r="C214" s="34">
        <v>2.0</v>
      </c>
      <c r="D214" s="34">
        <v>4.0</v>
      </c>
      <c r="E214" s="34">
        <v>4.0</v>
      </c>
      <c r="F214" s="35" t="s">
        <v>16</v>
      </c>
      <c r="G214" s="35" t="s">
        <v>50</v>
      </c>
      <c r="H214" s="35">
        <v>4.4</v>
      </c>
      <c r="I214" s="35">
        <v>9.6</v>
      </c>
      <c r="J214" s="34">
        <v>14.0</v>
      </c>
      <c r="L214" s="3">
        <f t="shared" si="2"/>
        <v>0</v>
      </c>
    </row>
    <row r="215">
      <c r="A215" s="34">
        <v>214.0</v>
      </c>
      <c r="B215" s="34">
        <v>2017.0</v>
      </c>
      <c r="C215" s="34">
        <v>2.0</v>
      </c>
      <c r="D215" s="34">
        <v>4.0</v>
      </c>
      <c r="E215" s="34">
        <v>4.0</v>
      </c>
      <c r="F215" s="35" t="s">
        <v>16</v>
      </c>
      <c r="G215" s="35" t="s">
        <v>33</v>
      </c>
      <c r="H215" s="34">
        <v>7.0</v>
      </c>
      <c r="I215" s="35">
        <v>6.43</v>
      </c>
      <c r="J215" s="35">
        <v>13.43</v>
      </c>
      <c r="L215" s="3">
        <f t="shared" si="2"/>
        <v>0</v>
      </c>
    </row>
    <row r="216">
      <c r="A216" s="34">
        <v>215.0</v>
      </c>
      <c r="B216" s="34">
        <v>2017.0</v>
      </c>
      <c r="C216" s="34">
        <v>2.0</v>
      </c>
      <c r="D216" s="34">
        <v>5.0</v>
      </c>
      <c r="E216" s="34">
        <v>1.0</v>
      </c>
      <c r="F216" s="35" t="s">
        <v>16</v>
      </c>
      <c r="G216" s="40" t="s">
        <v>68</v>
      </c>
      <c r="H216" s="35">
        <v>8.5</v>
      </c>
      <c r="I216" s="35">
        <v>5.83</v>
      </c>
      <c r="J216" s="35">
        <v>14.33</v>
      </c>
      <c r="L216" s="3">
        <f t="shared" si="2"/>
        <v>0</v>
      </c>
    </row>
    <row r="217">
      <c r="A217" s="34">
        <v>216.0</v>
      </c>
      <c r="B217" s="34">
        <v>2017.0</v>
      </c>
      <c r="C217" s="34">
        <v>2.0</v>
      </c>
      <c r="D217" s="34">
        <v>5.0</v>
      </c>
      <c r="E217" s="34">
        <v>1.0</v>
      </c>
      <c r="F217" s="35" t="s">
        <v>16</v>
      </c>
      <c r="G217" s="35" t="s">
        <v>52</v>
      </c>
      <c r="H217" s="35">
        <v>2.93</v>
      </c>
      <c r="I217" s="35">
        <v>4.77</v>
      </c>
      <c r="J217" s="35">
        <v>7.7</v>
      </c>
      <c r="L217" s="3">
        <f t="shared" si="2"/>
        <v>0</v>
      </c>
    </row>
    <row r="218">
      <c r="A218" s="34">
        <v>217.0</v>
      </c>
      <c r="B218" s="34">
        <v>2017.0</v>
      </c>
      <c r="C218" s="34">
        <v>2.0</v>
      </c>
      <c r="D218" s="34">
        <v>5.0</v>
      </c>
      <c r="E218" s="34">
        <v>2.0</v>
      </c>
      <c r="F218" s="35" t="s">
        <v>16</v>
      </c>
      <c r="G218" s="40" t="s">
        <v>27</v>
      </c>
      <c r="H218" s="35">
        <v>7.17</v>
      </c>
      <c r="I218" s="35">
        <v>8.27</v>
      </c>
      <c r="J218" s="35">
        <v>15.44</v>
      </c>
      <c r="L218" s="3">
        <f t="shared" si="2"/>
        <v>0</v>
      </c>
    </row>
    <row r="219">
      <c r="A219" s="34">
        <v>218.0</v>
      </c>
      <c r="B219" s="34">
        <v>2017.0</v>
      </c>
      <c r="C219" s="34">
        <v>2.0</v>
      </c>
      <c r="D219" s="34">
        <v>5.0</v>
      </c>
      <c r="E219" s="34">
        <v>2.0</v>
      </c>
      <c r="F219" s="35" t="s">
        <v>16</v>
      </c>
      <c r="G219" s="35" t="s">
        <v>31</v>
      </c>
      <c r="H219" s="35">
        <v>6.63</v>
      </c>
      <c r="I219" s="35">
        <v>7.57</v>
      </c>
      <c r="J219" s="35">
        <v>14.2</v>
      </c>
      <c r="L219" s="3">
        <f t="shared" si="2"/>
        <v>0</v>
      </c>
    </row>
    <row r="220">
      <c r="A220" s="34">
        <v>219.0</v>
      </c>
      <c r="B220" s="34">
        <v>2017.0</v>
      </c>
      <c r="C220" s="34">
        <v>2.0</v>
      </c>
      <c r="D220" s="34">
        <v>5.0</v>
      </c>
      <c r="E220" s="34">
        <v>3.0</v>
      </c>
      <c r="F220" s="35" t="s">
        <v>16</v>
      </c>
      <c r="G220" s="40" t="s">
        <v>33</v>
      </c>
      <c r="H220" s="35">
        <v>8.5</v>
      </c>
      <c r="I220" s="35">
        <v>6.93</v>
      </c>
      <c r="J220" s="35">
        <v>15.43</v>
      </c>
      <c r="L220" s="3">
        <f t="shared" si="2"/>
        <v>0</v>
      </c>
    </row>
    <row r="221">
      <c r="A221" s="34">
        <v>220.0</v>
      </c>
      <c r="B221" s="34">
        <v>2017.0</v>
      </c>
      <c r="C221" s="34">
        <v>2.0</v>
      </c>
      <c r="D221" s="34">
        <v>5.0</v>
      </c>
      <c r="E221" s="34">
        <v>3.0</v>
      </c>
      <c r="F221" s="35" t="s">
        <v>16</v>
      </c>
      <c r="G221" s="35" t="s">
        <v>38</v>
      </c>
      <c r="H221" s="35">
        <v>6.33</v>
      </c>
      <c r="I221" s="34">
        <v>8.0</v>
      </c>
      <c r="J221" s="35">
        <v>14.33</v>
      </c>
      <c r="L221" s="3">
        <f t="shared" si="2"/>
        <v>0</v>
      </c>
    </row>
    <row r="222">
      <c r="A222" s="34">
        <v>221.0</v>
      </c>
      <c r="B222" s="34">
        <v>2017.0</v>
      </c>
      <c r="C222" s="34">
        <v>2.0</v>
      </c>
      <c r="D222" s="34">
        <v>5.0</v>
      </c>
      <c r="E222" s="34">
        <v>4.0</v>
      </c>
      <c r="F222" s="35" t="s">
        <v>16</v>
      </c>
      <c r="G222" s="40" t="s">
        <v>28</v>
      </c>
      <c r="H222" s="34">
        <v>9.0</v>
      </c>
      <c r="I222" s="35">
        <v>7.83</v>
      </c>
      <c r="J222" s="35">
        <v>16.83</v>
      </c>
      <c r="L222" s="3">
        <f t="shared" si="2"/>
        <v>0</v>
      </c>
    </row>
    <row r="223">
      <c r="A223" s="34">
        <v>222.0</v>
      </c>
      <c r="B223" s="34">
        <v>2017.0</v>
      </c>
      <c r="C223" s="34">
        <v>2.0</v>
      </c>
      <c r="D223" s="34">
        <v>5.0</v>
      </c>
      <c r="E223" s="34">
        <v>4.0</v>
      </c>
      <c r="F223" s="35" t="s">
        <v>16</v>
      </c>
      <c r="G223" s="35" t="s">
        <v>50</v>
      </c>
      <c r="H223" s="35">
        <v>6.33</v>
      </c>
      <c r="I223" s="35">
        <v>7.33</v>
      </c>
      <c r="J223" s="35">
        <v>13.66</v>
      </c>
      <c r="L223" s="3">
        <f t="shared" si="2"/>
        <v>0</v>
      </c>
    </row>
    <row r="224">
      <c r="A224" s="34">
        <v>223.0</v>
      </c>
      <c r="B224" s="34">
        <v>2017.0</v>
      </c>
      <c r="C224" s="34">
        <v>2.0</v>
      </c>
      <c r="D224" s="34">
        <v>6.0</v>
      </c>
      <c r="E224" s="34">
        <v>1.0</v>
      </c>
      <c r="F224" s="35" t="s">
        <v>16</v>
      </c>
      <c r="G224" s="40" t="s">
        <v>68</v>
      </c>
      <c r="H224" s="35">
        <v>6.5</v>
      </c>
      <c r="I224" s="34">
        <v>4.0</v>
      </c>
      <c r="J224" s="35">
        <v>10.5</v>
      </c>
      <c r="L224" s="3">
        <f t="shared" si="2"/>
        <v>0</v>
      </c>
    </row>
    <row r="225">
      <c r="A225" s="34">
        <v>224.0</v>
      </c>
      <c r="B225" s="34">
        <v>2017.0</v>
      </c>
      <c r="C225" s="34">
        <v>2.0</v>
      </c>
      <c r="D225" s="34">
        <v>6.0</v>
      </c>
      <c r="E225" s="34">
        <v>1.0</v>
      </c>
      <c r="F225" s="35" t="s">
        <v>16</v>
      </c>
      <c r="G225" s="35" t="s">
        <v>57</v>
      </c>
      <c r="H225" s="34">
        <v>5.0</v>
      </c>
      <c r="I225" s="35">
        <v>0.5</v>
      </c>
      <c r="J225" s="35">
        <v>5.5</v>
      </c>
      <c r="L225" s="3">
        <f t="shared" si="2"/>
        <v>0</v>
      </c>
    </row>
    <row r="226">
      <c r="A226" s="34">
        <v>225.0</v>
      </c>
      <c r="B226" s="34">
        <v>2017.0</v>
      </c>
      <c r="C226" s="34">
        <v>2.0</v>
      </c>
      <c r="D226" s="34">
        <v>6.0</v>
      </c>
      <c r="E226" s="34">
        <v>2.0</v>
      </c>
      <c r="F226" s="35" t="s">
        <v>16</v>
      </c>
      <c r="G226" s="40" t="s">
        <v>26</v>
      </c>
      <c r="H226" s="35">
        <v>9.27</v>
      </c>
      <c r="I226" s="35">
        <v>8.77</v>
      </c>
      <c r="J226" s="35">
        <v>18.04</v>
      </c>
      <c r="L226" s="3">
        <f t="shared" si="2"/>
        <v>0</v>
      </c>
    </row>
    <row r="227">
      <c r="A227" s="34">
        <v>226.0</v>
      </c>
      <c r="B227" s="34">
        <v>2017.0</v>
      </c>
      <c r="C227" s="34">
        <v>2.0</v>
      </c>
      <c r="D227" s="34">
        <v>6.0</v>
      </c>
      <c r="E227" s="34">
        <v>2.0</v>
      </c>
      <c r="F227" s="35" t="s">
        <v>16</v>
      </c>
      <c r="G227" s="35" t="s">
        <v>27</v>
      </c>
      <c r="H227" s="34">
        <v>7.0</v>
      </c>
      <c r="I227" s="35">
        <v>8.77</v>
      </c>
      <c r="J227" s="35">
        <v>15.77</v>
      </c>
      <c r="L227" s="3">
        <f t="shared" si="2"/>
        <v>0</v>
      </c>
    </row>
    <row r="228">
      <c r="A228" s="34">
        <v>227.0</v>
      </c>
      <c r="B228" s="34">
        <v>2017.0</v>
      </c>
      <c r="C228" s="34">
        <v>2.0</v>
      </c>
      <c r="D228" s="34">
        <v>6.0</v>
      </c>
      <c r="E228" s="34">
        <v>3.0</v>
      </c>
      <c r="F228" s="35" t="s">
        <v>16</v>
      </c>
      <c r="G228" s="40" t="s">
        <v>33</v>
      </c>
      <c r="H228" s="34">
        <v>6.0</v>
      </c>
      <c r="I228" s="35">
        <v>6.83</v>
      </c>
      <c r="J228" s="35">
        <v>12.83</v>
      </c>
      <c r="L228" s="3">
        <f t="shared" si="2"/>
        <v>0</v>
      </c>
    </row>
    <row r="229">
      <c r="A229" s="34">
        <v>228.0</v>
      </c>
      <c r="B229" s="34">
        <v>2017.0</v>
      </c>
      <c r="C229" s="34">
        <v>2.0</v>
      </c>
      <c r="D229" s="34">
        <v>6.0</v>
      </c>
      <c r="E229" s="34">
        <v>3.0</v>
      </c>
      <c r="F229" s="35" t="s">
        <v>16</v>
      </c>
      <c r="G229" s="35" t="s">
        <v>42</v>
      </c>
      <c r="H229" s="34">
        <v>4.0</v>
      </c>
      <c r="I229" s="35">
        <v>6.33</v>
      </c>
      <c r="J229" s="35">
        <v>10.33</v>
      </c>
      <c r="L229" s="3">
        <f t="shared" si="2"/>
        <v>0</v>
      </c>
    </row>
    <row r="230">
      <c r="A230" s="34">
        <v>229.0</v>
      </c>
      <c r="B230" s="34">
        <v>2017.0</v>
      </c>
      <c r="C230" s="34">
        <v>2.0</v>
      </c>
      <c r="D230" s="34">
        <v>6.0</v>
      </c>
      <c r="E230" s="34">
        <v>4.0</v>
      </c>
      <c r="F230" s="35" t="s">
        <v>16</v>
      </c>
      <c r="G230" s="40" t="s">
        <v>32</v>
      </c>
      <c r="H230" s="35">
        <v>9.17</v>
      </c>
      <c r="I230" s="35">
        <v>9.6</v>
      </c>
      <c r="J230" s="35">
        <v>18.77</v>
      </c>
      <c r="L230" s="3">
        <f t="shared" si="2"/>
        <v>0</v>
      </c>
    </row>
    <row r="231">
      <c r="A231" s="34">
        <v>230.0</v>
      </c>
      <c r="B231" s="34">
        <v>2017.0</v>
      </c>
      <c r="C231" s="34">
        <v>2.0</v>
      </c>
      <c r="D231" s="34">
        <v>6.0</v>
      </c>
      <c r="E231" s="34">
        <v>4.0</v>
      </c>
      <c r="F231" s="35" t="s">
        <v>16</v>
      </c>
      <c r="G231" s="35" t="s">
        <v>28</v>
      </c>
      <c r="H231" s="35">
        <v>8.33</v>
      </c>
      <c r="I231" s="35">
        <v>8.53</v>
      </c>
      <c r="J231" s="35">
        <v>16.86</v>
      </c>
      <c r="L231" s="3">
        <f t="shared" si="2"/>
        <v>0</v>
      </c>
    </row>
    <row r="232">
      <c r="A232" s="34">
        <v>231.0</v>
      </c>
      <c r="B232" s="34">
        <v>2017.0</v>
      </c>
      <c r="C232" s="34">
        <v>2.0</v>
      </c>
      <c r="D232" s="34">
        <v>7.0</v>
      </c>
      <c r="E232" s="34">
        <v>1.0</v>
      </c>
      <c r="F232" s="35" t="s">
        <v>16</v>
      </c>
      <c r="G232" s="40" t="s">
        <v>26</v>
      </c>
      <c r="H232" s="35">
        <v>9.37</v>
      </c>
      <c r="I232" s="35">
        <v>9.9</v>
      </c>
      <c r="J232" s="35">
        <v>19.27</v>
      </c>
      <c r="L232" s="3">
        <f t="shared" si="2"/>
        <v>0</v>
      </c>
    </row>
    <row r="233">
      <c r="A233" s="34">
        <v>232.0</v>
      </c>
      <c r="B233" s="34">
        <v>2017.0</v>
      </c>
      <c r="C233" s="34">
        <v>2.0</v>
      </c>
      <c r="D233" s="34">
        <v>7.0</v>
      </c>
      <c r="E233" s="34">
        <v>1.0</v>
      </c>
      <c r="F233" s="35" t="s">
        <v>16</v>
      </c>
      <c r="G233" s="35" t="s">
        <v>68</v>
      </c>
      <c r="H233" s="35">
        <v>4.67</v>
      </c>
      <c r="I233" s="35">
        <v>5.9</v>
      </c>
      <c r="J233" s="35">
        <v>10.57</v>
      </c>
      <c r="L233" s="3">
        <f t="shared" si="2"/>
        <v>0</v>
      </c>
    </row>
    <row r="234">
      <c r="A234" s="34">
        <v>233.0</v>
      </c>
      <c r="B234" s="34">
        <v>2017.0</v>
      </c>
      <c r="C234" s="34">
        <v>2.0</v>
      </c>
      <c r="D234" s="34">
        <v>7.0</v>
      </c>
      <c r="E234" s="34">
        <v>2.0</v>
      </c>
      <c r="F234" s="35" t="s">
        <v>16</v>
      </c>
      <c r="G234" s="40" t="s">
        <v>32</v>
      </c>
      <c r="H234" s="35">
        <v>7.83</v>
      </c>
      <c r="I234" s="35">
        <v>7.8</v>
      </c>
      <c r="J234" s="35">
        <v>15.63</v>
      </c>
      <c r="L234" s="3">
        <f t="shared" si="2"/>
        <v>0</v>
      </c>
    </row>
    <row r="235">
      <c r="A235" s="34">
        <v>234.0</v>
      </c>
      <c r="B235" s="34">
        <v>2017.0</v>
      </c>
      <c r="C235" s="34">
        <v>2.0</v>
      </c>
      <c r="D235" s="34">
        <v>7.0</v>
      </c>
      <c r="E235" s="34">
        <v>2.0</v>
      </c>
      <c r="F235" s="35" t="s">
        <v>16</v>
      </c>
      <c r="G235" s="35" t="s">
        <v>33</v>
      </c>
      <c r="H235" s="35">
        <v>6.33</v>
      </c>
      <c r="I235" s="35">
        <v>8.67</v>
      </c>
      <c r="J235" s="34">
        <v>15.0</v>
      </c>
      <c r="L235" s="3">
        <f t="shared" si="2"/>
        <v>0</v>
      </c>
    </row>
    <row r="236">
      <c r="A236" s="34">
        <v>235.0</v>
      </c>
      <c r="B236" s="34">
        <v>2017.0</v>
      </c>
      <c r="C236" s="34">
        <v>2.0</v>
      </c>
      <c r="D236" s="34">
        <v>8.0</v>
      </c>
      <c r="E236" s="34">
        <v>1.0</v>
      </c>
      <c r="F236" s="35" t="s">
        <v>16</v>
      </c>
      <c r="G236" s="40" t="s">
        <v>26</v>
      </c>
      <c r="H236" s="35">
        <v>9.63</v>
      </c>
      <c r="I236" s="35">
        <v>9.4</v>
      </c>
      <c r="J236" s="35">
        <v>19.03</v>
      </c>
      <c r="L236" s="3">
        <f t="shared" si="2"/>
        <v>0</v>
      </c>
    </row>
    <row r="237">
      <c r="A237" s="34">
        <v>236.0</v>
      </c>
      <c r="B237" s="34">
        <v>2017.0</v>
      </c>
      <c r="C237" s="34">
        <v>2.0</v>
      </c>
      <c r="D237" s="34">
        <v>8.0</v>
      </c>
      <c r="E237" s="34">
        <v>1.0</v>
      </c>
      <c r="F237" s="35" t="s">
        <v>16</v>
      </c>
      <c r="G237" s="35" t="s">
        <v>32</v>
      </c>
      <c r="H237" s="35">
        <v>6.57</v>
      </c>
      <c r="I237" s="35">
        <v>7.03</v>
      </c>
      <c r="J237" s="35">
        <v>13.6</v>
      </c>
    </row>
    <row r="238">
      <c r="A238" s="34">
        <v>237.0</v>
      </c>
      <c r="B238" s="34">
        <v>2017.0</v>
      </c>
      <c r="C238" s="34">
        <v>3.0</v>
      </c>
      <c r="D238" s="34">
        <v>1.0</v>
      </c>
      <c r="E238" s="34">
        <v>1.0</v>
      </c>
      <c r="F238" s="35" t="s">
        <v>16</v>
      </c>
      <c r="G238" s="41" t="s">
        <v>34</v>
      </c>
      <c r="H238" s="35">
        <v>6.9</v>
      </c>
      <c r="I238" s="35">
        <v>5.83</v>
      </c>
      <c r="J238" s="35">
        <v>12.73</v>
      </c>
      <c r="L238" s="7">
        <f t="shared" ref="L238:L355" si="3">IF(G238="Glyndyn Ringrose",J238,0)</f>
        <v>0</v>
      </c>
    </row>
    <row r="239">
      <c r="A239" s="34">
        <v>238.0</v>
      </c>
      <c r="B239" s="34">
        <v>2017.0</v>
      </c>
      <c r="C239" s="34">
        <v>3.0</v>
      </c>
      <c r="D239" s="34">
        <v>1.0</v>
      </c>
      <c r="E239" s="34">
        <v>1.0</v>
      </c>
      <c r="F239" s="35" t="s">
        <v>16</v>
      </c>
      <c r="G239" s="35" t="s">
        <v>41</v>
      </c>
      <c r="H239" s="34">
        <v>6.0</v>
      </c>
      <c r="I239" s="35">
        <v>6.4</v>
      </c>
      <c r="J239" s="35">
        <v>12.4</v>
      </c>
      <c r="L239" s="7">
        <f t="shared" si="3"/>
        <v>0</v>
      </c>
    </row>
    <row r="240">
      <c r="A240" s="34">
        <v>239.0</v>
      </c>
      <c r="B240" s="34">
        <v>2017.0</v>
      </c>
      <c r="C240" s="34">
        <v>3.0</v>
      </c>
      <c r="D240" s="34">
        <v>1.0</v>
      </c>
      <c r="E240" s="34">
        <v>1.0</v>
      </c>
      <c r="F240" s="35" t="s">
        <v>16</v>
      </c>
      <c r="G240" s="35" t="s">
        <v>35</v>
      </c>
      <c r="H240" s="34">
        <v>4.0</v>
      </c>
      <c r="I240" s="35">
        <v>7.7</v>
      </c>
      <c r="J240" s="35">
        <v>11.7</v>
      </c>
      <c r="L240" s="7">
        <f t="shared" si="3"/>
        <v>0</v>
      </c>
    </row>
    <row r="241">
      <c r="A241" s="34">
        <v>240.0</v>
      </c>
      <c r="B241" s="34">
        <v>2017.0</v>
      </c>
      <c r="C241" s="34">
        <v>3.0</v>
      </c>
      <c r="D241" s="34">
        <v>1.0</v>
      </c>
      <c r="E241" s="34">
        <v>2.0</v>
      </c>
      <c r="F241" s="35" t="s">
        <v>16</v>
      </c>
      <c r="G241" s="41" t="s">
        <v>57</v>
      </c>
      <c r="H241" s="35">
        <v>7.5</v>
      </c>
      <c r="I241" s="35">
        <v>7.17</v>
      </c>
      <c r="J241" s="35">
        <v>14.67</v>
      </c>
      <c r="L241" s="7">
        <f t="shared" si="3"/>
        <v>0</v>
      </c>
    </row>
    <row r="242">
      <c r="A242" s="34">
        <v>241.0</v>
      </c>
      <c r="B242" s="34">
        <v>2017.0</v>
      </c>
      <c r="C242" s="34">
        <v>3.0</v>
      </c>
      <c r="D242" s="34">
        <v>1.0</v>
      </c>
      <c r="E242" s="34">
        <v>2.0</v>
      </c>
      <c r="F242" s="35" t="s">
        <v>16</v>
      </c>
      <c r="G242" s="35" t="s">
        <v>55</v>
      </c>
      <c r="H242" s="35">
        <v>4.83</v>
      </c>
      <c r="I242" s="35">
        <v>8.5</v>
      </c>
      <c r="J242" s="35">
        <v>13.33</v>
      </c>
      <c r="L242" s="7">
        <f t="shared" si="3"/>
        <v>0</v>
      </c>
    </row>
    <row r="243">
      <c r="A243" s="34">
        <v>242.0</v>
      </c>
      <c r="B243" s="34">
        <v>2017.0</v>
      </c>
      <c r="C243" s="34">
        <v>3.0</v>
      </c>
      <c r="D243" s="34">
        <v>1.0</v>
      </c>
      <c r="E243" s="34">
        <v>2.0</v>
      </c>
      <c r="F243" s="35" t="s">
        <v>16</v>
      </c>
      <c r="G243" s="35" t="s">
        <v>69</v>
      </c>
      <c r="H243" s="35">
        <v>2.17</v>
      </c>
      <c r="I243" s="35">
        <v>7.6</v>
      </c>
      <c r="J243" s="35">
        <v>9.77</v>
      </c>
      <c r="L243" s="7">
        <f t="shared" si="3"/>
        <v>0</v>
      </c>
    </row>
    <row r="244">
      <c r="A244" s="34">
        <v>243.0</v>
      </c>
      <c r="B244" s="34">
        <v>2017.0</v>
      </c>
      <c r="C244" s="34">
        <v>3.0</v>
      </c>
      <c r="D244" s="34">
        <v>1.0</v>
      </c>
      <c r="E244" s="34">
        <v>3.0</v>
      </c>
      <c r="F244" s="35" t="s">
        <v>16</v>
      </c>
      <c r="G244" s="41" t="s">
        <v>30</v>
      </c>
      <c r="H244" s="35">
        <v>7.07</v>
      </c>
      <c r="I244" s="35">
        <v>7.97</v>
      </c>
      <c r="J244" s="35">
        <v>15.04</v>
      </c>
      <c r="L244" s="7">
        <f t="shared" si="3"/>
        <v>0</v>
      </c>
    </row>
    <row r="245">
      <c r="A245" s="34">
        <v>244.0</v>
      </c>
      <c r="B245" s="34">
        <v>2017.0</v>
      </c>
      <c r="C245" s="34">
        <v>3.0</v>
      </c>
      <c r="D245" s="34">
        <v>1.0</v>
      </c>
      <c r="E245" s="34">
        <v>3.0</v>
      </c>
      <c r="F245" s="35" t="s">
        <v>16</v>
      </c>
      <c r="G245" s="35" t="s">
        <v>36</v>
      </c>
      <c r="H245" s="35">
        <v>7.93</v>
      </c>
      <c r="I245" s="35">
        <v>4.1</v>
      </c>
      <c r="J245" s="35">
        <v>12.03</v>
      </c>
      <c r="L245" s="7">
        <f t="shared" si="3"/>
        <v>0</v>
      </c>
    </row>
    <row r="246">
      <c r="A246" s="34">
        <v>245.0</v>
      </c>
      <c r="B246" s="34">
        <v>2017.0</v>
      </c>
      <c r="C246" s="34">
        <v>3.0</v>
      </c>
      <c r="D246" s="34">
        <v>1.0</v>
      </c>
      <c r="E246" s="34">
        <v>3.0</v>
      </c>
      <c r="F246" s="35" t="s">
        <v>16</v>
      </c>
      <c r="G246" s="35" t="s">
        <v>141</v>
      </c>
      <c r="H246" s="35">
        <v>3.67</v>
      </c>
      <c r="I246" s="35">
        <v>2.5</v>
      </c>
      <c r="J246" s="35">
        <v>6.17</v>
      </c>
      <c r="L246" s="7">
        <f t="shared" si="3"/>
        <v>0</v>
      </c>
    </row>
    <row r="247">
      <c r="A247" s="34">
        <v>246.0</v>
      </c>
      <c r="B247" s="34">
        <v>2017.0</v>
      </c>
      <c r="C247" s="34">
        <v>3.0</v>
      </c>
      <c r="D247" s="34">
        <v>1.0</v>
      </c>
      <c r="E247" s="34">
        <v>4.0</v>
      </c>
      <c r="F247" s="35" t="s">
        <v>16</v>
      </c>
      <c r="G247" s="41" t="s">
        <v>56</v>
      </c>
      <c r="H247" s="35">
        <v>8.83</v>
      </c>
      <c r="I247" s="35">
        <v>7.83</v>
      </c>
      <c r="J247" s="35">
        <v>16.66</v>
      </c>
      <c r="L247" s="7">
        <f t="shared" si="3"/>
        <v>0</v>
      </c>
    </row>
    <row r="248">
      <c r="A248" s="34">
        <v>247.0</v>
      </c>
      <c r="B248" s="34">
        <v>2017.0</v>
      </c>
      <c r="C248" s="34">
        <v>3.0</v>
      </c>
      <c r="D248" s="34">
        <v>1.0</v>
      </c>
      <c r="E248" s="34">
        <v>4.0</v>
      </c>
      <c r="F248" s="35" t="s">
        <v>16</v>
      </c>
      <c r="G248" s="35" t="s">
        <v>53</v>
      </c>
      <c r="H248" s="35">
        <v>6.7</v>
      </c>
      <c r="I248" s="35">
        <v>7.73</v>
      </c>
      <c r="J248" s="35">
        <v>14.43</v>
      </c>
      <c r="L248" s="7">
        <f t="shared" si="3"/>
        <v>0</v>
      </c>
    </row>
    <row r="249">
      <c r="A249" s="34">
        <v>248.0</v>
      </c>
      <c r="B249" s="34">
        <v>2017.0</v>
      </c>
      <c r="C249" s="34">
        <v>3.0</v>
      </c>
      <c r="D249" s="34">
        <v>1.0</v>
      </c>
      <c r="E249" s="34">
        <v>4.0</v>
      </c>
      <c r="F249" s="35" t="s">
        <v>16</v>
      </c>
      <c r="G249" s="35" t="s">
        <v>28</v>
      </c>
      <c r="H249" s="35">
        <v>7.33</v>
      </c>
      <c r="I249" s="35">
        <v>6.53</v>
      </c>
      <c r="J249" s="35">
        <v>13.86</v>
      </c>
      <c r="L249" s="7">
        <f t="shared" si="3"/>
        <v>0</v>
      </c>
    </row>
    <row r="250">
      <c r="A250" s="34">
        <v>249.0</v>
      </c>
      <c r="B250" s="34">
        <v>2017.0</v>
      </c>
      <c r="C250" s="34">
        <v>3.0</v>
      </c>
      <c r="D250" s="34">
        <v>1.0</v>
      </c>
      <c r="E250" s="34">
        <v>5.0</v>
      </c>
      <c r="F250" s="35" t="s">
        <v>16</v>
      </c>
      <c r="G250" s="41" t="s">
        <v>32</v>
      </c>
      <c r="H250" s="34">
        <v>9.0</v>
      </c>
      <c r="I250" s="35">
        <v>8.17</v>
      </c>
      <c r="J250" s="35">
        <v>17.17</v>
      </c>
      <c r="L250" s="7">
        <f t="shared" si="3"/>
        <v>0</v>
      </c>
    </row>
    <row r="251">
      <c r="A251" s="34">
        <v>250.0</v>
      </c>
      <c r="B251" s="34">
        <v>2017.0</v>
      </c>
      <c r="C251" s="34">
        <v>3.0</v>
      </c>
      <c r="D251" s="34">
        <v>1.0</v>
      </c>
      <c r="E251" s="34">
        <v>5.0</v>
      </c>
      <c r="F251" s="35" t="s">
        <v>16</v>
      </c>
      <c r="G251" s="35" t="s">
        <v>68</v>
      </c>
      <c r="H251" s="35">
        <v>6.23</v>
      </c>
      <c r="I251" s="35">
        <v>5.27</v>
      </c>
      <c r="J251" s="35">
        <v>11.5</v>
      </c>
      <c r="L251" s="7">
        <f t="shared" si="3"/>
        <v>0</v>
      </c>
    </row>
    <row r="252">
      <c r="A252" s="34">
        <v>251.0</v>
      </c>
      <c r="B252" s="34">
        <v>2017.0</v>
      </c>
      <c r="C252" s="34">
        <v>3.0</v>
      </c>
      <c r="D252" s="34">
        <v>1.0</v>
      </c>
      <c r="E252" s="34">
        <v>5.0</v>
      </c>
      <c r="F252" s="35" t="s">
        <v>16</v>
      </c>
      <c r="G252" s="39" t="s">
        <v>143</v>
      </c>
      <c r="H252" s="35">
        <v>3.33</v>
      </c>
      <c r="I252" s="35">
        <v>2.87</v>
      </c>
      <c r="J252" s="35">
        <v>6.2</v>
      </c>
      <c r="L252" s="7">
        <f t="shared" si="3"/>
        <v>0</v>
      </c>
    </row>
    <row r="253">
      <c r="A253" s="34">
        <v>252.0</v>
      </c>
      <c r="B253" s="34">
        <v>2017.0</v>
      </c>
      <c r="C253" s="34">
        <v>3.0</v>
      </c>
      <c r="D253" s="34">
        <v>1.0</v>
      </c>
      <c r="E253" s="34">
        <v>6.0</v>
      </c>
      <c r="F253" s="35" t="s">
        <v>16</v>
      </c>
      <c r="G253" s="41" t="s">
        <v>26</v>
      </c>
      <c r="H253" s="35">
        <v>8.17</v>
      </c>
      <c r="I253" s="35">
        <v>9.03</v>
      </c>
      <c r="J253" s="35">
        <v>17.2</v>
      </c>
      <c r="L253" s="7">
        <f t="shared" si="3"/>
        <v>0</v>
      </c>
    </row>
    <row r="254">
      <c r="A254" s="34">
        <v>253.0</v>
      </c>
      <c r="B254" s="34">
        <v>2017.0</v>
      </c>
      <c r="C254" s="34">
        <v>3.0</v>
      </c>
      <c r="D254" s="34">
        <v>1.0</v>
      </c>
      <c r="E254" s="34">
        <v>6.0</v>
      </c>
      <c r="F254" s="35" t="s">
        <v>16</v>
      </c>
      <c r="G254" s="35" t="s">
        <v>50</v>
      </c>
      <c r="H254" s="35">
        <v>6.8</v>
      </c>
      <c r="I254" s="35">
        <v>7.07</v>
      </c>
      <c r="J254" s="35">
        <v>13.87</v>
      </c>
      <c r="L254" s="7">
        <f t="shared" si="3"/>
        <v>0</v>
      </c>
    </row>
    <row r="255">
      <c r="A255" s="34">
        <v>254.0</v>
      </c>
      <c r="B255" s="34">
        <v>2017.0</v>
      </c>
      <c r="C255" s="34">
        <v>3.0</v>
      </c>
      <c r="D255" s="34">
        <v>1.0</v>
      </c>
      <c r="E255" s="34">
        <v>6.0</v>
      </c>
      <c r="F255" s="35" t="s">
        <v>16</v>
      </c>
      <c r="G255" s="39" t="s">
        <v>144</v>
      </c>
      <c r="H255" s="35">
        <v>4.67</v>
      </c>
      <c r="I255" s="35">
        <v>6.57</v>
      </c>
      <c r="J255" s="35">
        <v>11.24</v>
      </c>
      <c r="L255" s="7">
        <f t="shared" si="3"/>
        <v>11.24</v>
      </c>
    </row>
    <row r="256">
      <c r="A256" s="34">
        <v>255.0</v>
      </c>
      <c r="B256" s="34">
        <v>2017.0</v>
      </c>
      <c r="C256" s="34">
        <v>3.0</v>
      </c>
      <c r="D256" s="34">
        <v>1.0</v>
      </c>
      <c r="E256" s="34">
        <v>7.0</v>
      </c>
      <c r="F256" s="35" t="s">
        <v>16</v>
      </c>
      <c r="G256" s="41" t="s">
        <v>42</v>
      </c>
      <c r="H256" s="35">
        <v>8.17</v>
      </c>
      <c r="I256" s="35">
        <v>8.03</v>
      </c>
      <c r="J256" s="35">
        <v>16.2</v>
      </c>
      <c r="L256" s="7">
        <f t="shared" si="3"/>
        <v>0</v>
      </c>
    </row>
    <row r="257">
      <c r="A257" s="34">
        <v>256.0</v>
      </c>
      <c r="B257" s="34">
        <v>2017.0</v>
      </c>
      <c r="C257" s="34">
        <v>3.0</v>
      </c>
      <c r="D257" s="34">
        <v>1.0</v>
      </c>
      <c r="E257" s="34">
        <v>7.0</v>
      </c>
      <c r="F257" s="35" t="s">
        <v>16</v>
      </c>
      <c r="G257" s="35" t="s">
        <v>65</v>
      </c>
      <c r="H257" s="35">
        <v>7.27</v>
      </c>
      <c r="I257" s="35">
        <v>6.9</v>
      </c>
      <c r="J257" s="35">
        <v>14.17</v>
      </c>
      <c r="L257" s="7">
        <f t="shared" si="3"/>
        <v>0</v>
      </c>
    </row>
    <row r="258">
      <c r="A258" s="34">
        <v>257.0</v>
      </c>
      <c r="B258" s="34">
        <v>2017.0</v>
      </c>
      <c r="C258" s="34">
        <v>3.0</v>
      </c>
      <c r="D258" s="34">
        <v>1.0</v>
      </c>
      <c r="E258" s="34">
        <v>7.0</v>
      </c>
      <c r="F258" s="35" t="s">
        <v>16</v>
      </c>
      <c r="G258" s="35" t="s">
        <v>40</v>
      </c>
      <c r="H258" s="35">
        <v>5.07</v>
      </c>
      <c r="I258" s="35">
        <v>5.53</v>
      </c>
      <c r="J258" s="35">
        <v>10.6</v>
      </c>
      <c r="L258" s="7">
        <f t="shared" si="3"/>
        <v>0</v>
      </c>
    </row>
    <row r="259">
      <c r="A259" s="34">
        <v>258.0</v>
      </c>
      <c r="B259" s="34">
        <v>2017.0</v>
      </c>
      <c r="C259" s="34">
        <v>3.0</v>
      </c>
      <c r="D259" s="34">
        <v>1.0</v>
      </c>
      <c r="E259" s="34">
        <v>8.0</v>
      </c>
      <c r="F259" s="35" t="s">
        <v>16</v>
      </c>
      <c r="G259" s="41" t="s">
        <v>37</v>
      </c>
      <c r="H259" s="35">
        <v>8.5</v>
      </c>
      <c r="I259" s="35">
        <v>6.1</v>
      </c>
      <c r="J259" s="35">
        <v>14.6</v>
      </c>
      <c r="L259" s="7">
        <f t="shared" si="3"/>
        <v>0</v>
      </c>
    </row>
    <row r="260">
      <c r="A260" s="34">
        <v>259.0</v>
      </c>
      <c r="B260" s="34">
        <v>2017.0</v>
      </c>
      <c r="C260" s="34">
        <v>3.0</v>
      </c>
      <c r="D260" s="34">
        <v>1.0</v>
      </c>
      <c r="E260" s="34">
        <v>8.0</v>
      </c>
      <c r="F260" s="35" t="s">
        <v>16</v>
      </c>
      <c r="G260" s="35" t="s">
        <v>45</v>
      </c>
      <c r="H260" s="35">
        <v>5.33</v>
      </c>
      <c r="I260" s="35">
        <v>6.97</v>
      </c>
      <c r="J260" s="35">
        <v>12.3</v>
      </c>
      <c r="L260" s="7">
        <f t="shared" si="3"/>
        <v>0</v>
      </c>
    </row>
    <row r="261">
      <c r="A261" s="34">
        <v>260.0</v>
      </c>
      <c r="B261" s="34">
        <v>2017.0</v>
      </c>
      <c r="C261" s="34">
        <v>3.0</v>
      </c>
      <c r="D261" s="34">
        <v>1.0</v>
      </c>
      <c r="E261" s="34">
        <v>8.0</v>
      </c>
      <c r="F261" s="35" t="s">
        <v>16</v>
      </c>
      <c r="G261" s="35" t="s">
        <v>67</v>
      </c>
      <c r="H261" s="35">
        <v>3.5</v>
      </c>
      <c r="I261" s="35">
        <v>6.5</v>
      </c>
      <c r="J261" s="34">
        <v>10.0</v>
      </c>
      <c r="L261" s="7">
        <f t="shared" si="3"/>
        <v>0</v>
      </c>
    </row>
    <row r="262">
      <c r="A262" s="34">
        <v>261.0</v>
      </c>
      <c r="B262" s="34">
        <v>2017.0</v>
      </c>
      <c r="C262" s="34">
        <v>3.0</v>
      </c>
      <c r="D262" s="34">
        <v>1.0</v>
      </c>
      <c r="E262" s="34">
        <v>9.0</v>
      </c>
      <c r="F262" s="35" t="s">
        <v>16</v>
      </c>
      <c r="G262" s="41" t="s">
        <v>27</v>
      </c>
      <c r="H262" s="35">
        <v>7.17</v>
      </c>
      <c r="I262" s="35">
        <v>8.03</v>
      </c>
      <c r="J262" s="35">
        <v>15.2</v>
      </c>
      <c r="L262" s="7">
        <f t="shared" si="3"/>
        <v>0</v>
      </c>
    </row>
    <row r="263">
      <c r="A263" s="34">
        <v>262.0</v>
      </c>
      <c r="B263" s="34">
        <v>2017.0</v>
      </c>
      <c r="C263" s="34">
        <v>3.0</v>
      </c>
      <c r="D263" s="34">
        <v>1.0</v>
      </c>
      <c r="E263" s="34">
        <v>9.0</v>
      </c>
      <c r="F263" s="35" t="s">
        <v>16</v>
      </c>
      <c r="G263" s="35" t="s">
        <v>63</v>
      </c>
      <c r="H263" s="35">
        <v>7.93</v>
      </c>
      <c r="I263" s="35">
        <v>6.93</v>
      </c>
      <c r="J263" s="35">
        <v>14.86</v>
      </c>
      <c r="L263" s="7">
        <f t="shared" si="3"/>
        <v>0</v>
      </c>
    </row>
    <row r="264">
      <c r="A264" s="34">
        <v>263.0</v>
      </c>
      <c r="B264" s="34">
        <v>2017.0</v>
      </c>
      <c r="C264" s="34">
        <v>3.0</v>
      </c>
      <c r="D264" s="34">
        <v>1.0</v>
      </c>
      <c r="E264" s="34">
        <v>9.0</v>
      </c>
      <c r="F264" s="35" t="s">
        <v>16</v>
      </c>
      <c r="G264" s="35" t="s">
        <v>61</v>
      </c>
      <c r="H264" s="35">
        <v>2.87</v>
      </c>
      <c r="I264" s="35">
        <v>6.77</v>
      </c>
      <c r="J264" s="35">
        <v>9.64</v>
      </c>
      <c r="L264" s="7">
        <f t="shared" si="3"/>
        <v>0</v>
      </c>
    </row>
    <row r="265">
      <c r="A265" s="34">
        <v>264.0</v>
      </c>
      <c r="B265" s="34">
        <v>2017.0</v>
      </c>
      <c r="C265" s="34">
        <v>3.0</v>
      </c>
      <c r="D265" s="34">
        <v>1.0</v>
      </c>
      <c r="E265" s="34">
        <v>10.0</v>
      </c>
      <c r="F265" s="35" t="s">
        <v>16</v>
      </c>
      <c r="G265" s="42" t="s">
        <v>47</v>
      </c>
      <c r="H265" s="35">
        <v>7.67</v>
      </c>
      <c r="I265" s="35">
        <v>7.07</v>
      </c>
      <c r="J265" s="35">
        <v>14.74</v>
      </c>
      <c r="L265" s="7">
        <f t="shared" si="3"/>
        <v>0</v>
      </c>
    </row>
    <row r="266">
      <c r="A266" s="34">
        <v>265.0</v>
      </c>
      <c r="B266" s="34">
        <v>2017.0</v>
      </c>
      <c r="C266" s="34">
        <v>3.0</v>
      </c>
      <c r="D266" s="34">
        <v>1.0</v>
      </c>
      <c r="E266" s="34">
        <v>10.0</v>
      </c>
      <c r="F266" s="35" t="s">
        <v>16</v>
      </c>
      <c r="G266" s="35" t="s">
        <v>39</v>
      </c>
      <c r="H266" s="35">
        <v>6.27</v>
      </c>
      <c r="I266" s="35">
        <v>6.43</v>
      </c>
      <c r="J266" s="35">
        <v>12.7</v>
      </c>
      <c r="L266" s="7">
        <f t="shared" si="3"/>
        <v>0</v>
      </c>
    </row>
    <row r="267">
      <c r="A267" s="34">
        <v>266.0</v>
      </c>
      <c r="B267" s="34">
        <v>2017.0</v>
      </c>
      <c r="C267" s="34">
        <v>3.0</v>
      </c>
      <c r="D267" s="34">
        <v>1.0</v>
      </c>
      <c r="E267" s="34">
        <v>10.0</v>
      </c>
      <c r="F267" s="35" t="s">
        <v>16</v>
      </c>
      <c r="G267" s="35" t="s">
        <v>64</v>
      </c>
      <c r="H267" s="35">
        <v>5.83</v>
      </c>
      <c r="I267" s="35">
        <v>5.7</v>
      </c>
      <c r="J267" s="35">
        <v>11.53</v>
      </c>
      <c r="L267" s="7">
        <f t="shared" si="3"/>
        <v>0</v>
      </c>
    </row>
    <row r="268">
      <c r="A268" s="34">
        <v>267.0</v>
      </c>
      <c r="B268" s="34">
        <v>2017.0</v>
      </c>
      <c r="C268" s="34">
        <v>3.0</v>
      </c>
      <c r="D268" s="34">
        <v>1.0</v>
      </c>
      <c r="E268" s="34">
        <v>11.0</v>
      </c>
      <c r="F268" s="35" t="s">
        <v>16</v>
      </c>
      <c r="G268" s="41" t="s">
        <v>33</v>
      </c>
      <c r="H268" s="35">
        <v>9.7</v>
      </c>
      <c r="I268" s="34">
        <v>10.0</v>
      </c>
      <c r="J268" s="35">
        <v>19.7</v>
      </c>
      <c r="L268" s="7">
        <f t="shared" si="3"/>
        <v>0</v>
      </c>
    </row>
    <row r="269">
      <c r="A269" s="34">
        <v>268.0</v>
      </c>
      <c r="B269" s="34">
        <v>2017.0</v>
      </c>
      <c r="C269" s="34">
        <v>3.0</v>
      </c>
      <c r="D269" s="34">
        <v>1.0</v>
      </c>
      <c r="E269" s="34">
        <v>11.0</v>
      </c>
      <c r="F269" s="35" t="s">
        <v>16</v>
      </c>
      <c r="G269" s="35" t="s">
        <v>52</v>
      </c>
      <c r="H269" s="35">
        <v>6.67</v>
      </c>
      <c r="I269" s="35">
        <v>7.73</v>
      </c>
      <c r="J269" s="35">
        <v>14.4</v>
      </c>
      <c r="L269" s="7">
        <f t="shared" si="3"/>
        <v>0</v>
      </c>
    </row>
    <row r="270">
      <c r="A270" s="34">
        <v>269.0</v>
      </c>
      <c r="B270" s="34">
        <v>2017.0</v>
      </c>
      <c r="C270" s="34">
        <v>3.0</v>
      </c>
      <c r="D270" s="34">
        <v>1.0</v>
      </c>
      <c r="E270" s="34">
        <v>11.0</v>
      </c>
      <c r="F270" s="35" t="s">
        <v>16</v>
      </c>
      <c r="G270" s="35" t="s">
        <v>59</v>
      </c>
      <c r="H270" s="35">
        <v>5.77</v>
      </c>
      <c r="I270" s="35">
        <v>8.07</v>
      </c>
      <c r="J270" s="35">
        <v>13.84</v>
      </c>
      <c r="L270" s="7">
        <f t="shared" si="3"/>
        <v>0</v>
      </c>
    </row>
    <row r="271">
      <c r="A271" s="34">
        <v>270.0</v>
      </c>
      <c r="B271" s="34">
        <v>2017.0</v>
      </c>
      <c r="C271" s="34">
        <v>3.0</v>
      </c>
      <c r="D271" s="34">
        <v>1.0</v>
      </c>
      <c r="E271" s="34">
        <v>12.0</v>
      </c>
      <c r="F271" s="35" t="s">
        <v>16</v>
      </c>
      <c r="G271" s="41" t="s">
        <v>31</v>
      </c>
      <c r="H271" s="35">
        <v>8.93</v>
      </c>
      <c r="I271" s="35">
        <v>7.63</v>
      </c>
      <c r="J271" s="35">
        <v>16.56</v>
      </c>
      <c r="L271" s="7">
        <f t="shared" si="3"/>
        <v>0</v>
      </c>
    </row>
    <row r="272">
      <c r="A272" s="34">
        <v>271.0</v>
      </c>
      <c r="B272" s="34">
        <v>2017.0</v>
      </c>
      <c r="C272" s="34">
        <v>3.0</v>
      </c>
      <c r="D272" s="34">
        <v>1.0</v>
      </c>
      <c r="E272" s="34">
        <v>12.0</v>
      </c>
      <c r="F272" s="35" t="s">
        <v>16</v>
      </c>
      <c r="G272" s="35" t="s">
        <v>54</v>
      </c>
      <c r="H272" s="34">
        <v>8.0</v>
      </c>
      <c r="I272" s="35">
        <v>6.1</v>
      </c>
      <c r="J272" s="35">
        <v>14.1</v>
      </c>
      <c r="L272" s="7">
        <f t="shared" si="3"/>
        <v>0</v>
      </c>
    </row>
    <row r="273">
      <c r="A273" s="34">
        <v>272.0</v>
      </c>
      <c r="B273" s="34">
        <v>2017.0</v>
      </c>
      <c r="C273" s="34">
        <v>3.0</v>
      </c>
      <c r="D273" s="34">
        <v>1.0</v>
      </c>
      <c r="E273" s="34">
        <v>12.0</v>
      </c>
      <c r="F273" s="35" t="s">
        <v>16</v>
      </c>
      <c r="G273" s="35" t="s">
        <v>38</v>
      </c>
      <c r="H273" s="35">
        <v>4.17</v>
      </c>
      <c r="I273" s="35">
        <v>7.77</v>
      </c>
      <c r="J273" s="35">
        <v>11.94</v>
      </c>
      <c r="L273" s="7">
        <f t="shared" si="3"/>
        <v>0</v>
      </c>
    </row>
    <row r="274">
      <c r="A274" s="34">
        <v>273.0</v>
      </c>
      <c r="B274" s="34">
        <v>2017.0</v>
      </c>
      <c r="C274" s="34">
        <v>3.0</v>
      </c>
      <c r="D274" s="34">
        <v>2.0</v>
      </c>
      <c r="E274" s="34">
        <v>1.0</v>
      </c>
      <c r="F274" s="35" t="s">
        <v>16</v>
      </c>
      <c r="G274" s="41" t="s">
        <v>28</v>
      </c>
      <c r="H274" s="35">
        <v>9.5</v>
      </c>
      <c r="I274" s="35">
        <v>8.9</v>
      </c>
      <c r="J274" s="35">
        <v>18.4</v>
      </c>
      <c r="L274" s="7">
        <f t="shared" si="3"/>
        <v>0</v>
      </c>
    </row>
    <row r="275">
      <c r="A275" s="34">
        <v>274.0</v>
      </c>
      <c r="B275" s="34">
        <v>2017.0</v>
      </c>
      <c r="C275" s="34">
        <v>3.0</v>
      </c>
      <c r="D275" s="34">
        <v>2.0</v>
      </c>
      <c r="E275" s="34">
        <v>1.0</v>
      </c>
      <c r="F275" s="35" t="s">
        <v>16</v>
      </c>
      <c r="G275" s="35" t="s">
        <v>144</v>
      </c>
      <c r="H275" s="35">
        <v>3.33</v>
      </c>
      <c r="I275" s="35">
        <v>5.5</v>
      </c>
      <c r="J275" s="35">
        <v>8.83</v>
      </c>
      <c r="L275" s="7">
        <f t="shared" si="3"/>
        <v>8.83</v>
      </c>
    </row>
    <row r="276">
      <c r="A276" s="34">
        <v>275.0</v>
      </c>
      <c r="B276" s="34">
        <v>2017.0</v>
      </c>
      <c r="C276" s="34">
        <v>3.0</v>
      </c>
      <c r="D276" s="34">
        <v>2.0</v>
      </c>
      <c r="E276" s="34">
        <v>2.0</v>
      </c>
      <c r="F276" s="35" t="s">
        <v>16</v>
      </c>
      <c r="G276" s="41" t="s">
        <v>39</v>
      </c>
      <c r="H276" s="35">
        <v>8.5</v>
      </c>
      <c r="I276" s="35">
        <v>8.07</v>
      </c>
      <c r="J276" s="35">
        <v>16.57</v>
      </c>
      <c r="L276" s="7">
        <f t="shared" si="3"/>
        <v>0</v>
      </c>
    </row>
    <row r="277">
      <c r="A277" s="34">
        <v>276.0</v>
      </c>
      <c r="B277" s="34">
        <v>2017.0</v>
      </c>
      <c r="C277" s="34">
        <v>3.0</v>
      </c>
      <c r="D277" s="34">
        <v>2.0</v>
      </c>
      <c r="E277" s="34">
        <v>2.0</v>
      </c>
      <c r="F277" s="35" t="s">
        <v>16</v>
      </c>
      <c r="G277" s="35" t="s">
        <v>143</v>
      </c>
      <c r="H277" s="35">
        <v>7.33</v>
      </c>
      <c r="I277" s="35">
        <v>5.5</v>
      </c>
      <c r="J277" s="35">
        <v>12.83</v>
      </c>
      <c r="L277" s="7">
        <f t="shared" si="3"/>
        <v>0</v>
      </c>
    </row>
    <row r="278">
      <c r="A278" s="34">
        <v>277.0</v>
      </c>
      <c r="B278" s="34">
        <v>2017.0</v>
      </c>
      <c r="C278" s="34">
        <v>3.0</v>
      </c>
      <c r="D278" s="34">
        <v>2.0</v>
      </c>
      <c r="E278" s="34">
        <v>3.0</v>
      </c>
      <c r="F278" s="35" t="s">
        <v>16</v>
      </c>
      <c r="G278" s="41" t="s">
        <v>38</v>
      </c>
      <c r="H278" s="35">
        <v>8.33</v>
      </c>
      <c r="I278" s="35">
        <v>8.6</v>
      </c>
      <c r="J278" s="35">
        <v>16.93</v>
      </c>
      <c r="L278" s="7">
        <f t="shared" si="3"/>
        <v>0</v>
      </c>
    </row>
    <row r="279">
      <c r="A279" s="34">
        <v>278.0</v>
      </c>
      <c r="B279" s="34">
        <v>2017.0</v>
      </c>
      <c r="C279" s="34">
        <v>3.0</v>
      </c>
      <c r="D279" s="34">
        <v>2.0</v>
      </c>
      <c r="E279" s="34">
        <v>3.0</v>
      </c>
      <c r="F279" s="35" t="s">
        <v>16</v>
      </c>
      <c r="G279" s="35" t="s">
        <v>141</v>
      </c>
      <c r="H279" s="35">
        <v>8.17</v>
      </c>
      <c r="I279" s="35">
        <v>8.67</v>
      </c>
      <c r="J279" s="35">
        <v>16.84</v>
      </c>
      <c r="L279" s="7">
        <f t="shared" si="3"/>
        <v>0</v>
      </c>
    </row>
    <row r="280">
      <c r="A280" s="34">
        <v>279.0</v>
      </c>
      <c r="B280" s="34">
        <v>2017.0</v>
      </c>
      <c r="C280" s="34">
        <v>3.0</v>
      </c>
      <c r="D280" s="34">
        <v>2.0</v>
      </c>
      <c r="E280" s="34">
        <v>4.0</v>
      </c>
      <c r="F280" s="35" t="s">
        <v>16</v>
      </c>
      <c r="G280" s="41" t="s">
        <v>69</v>
      </c>
      <c r="H280" s="34">
        <v>9.0</v>
      </c>
      <c r="I280" s="35">
        <v>9.4</v>
      </c>
      <c r="J280" s="35">
        <v>18.4</v>
      </c>
      <c r="L280" s="7">
        <f t="shared" si="3"/>
        <v>0</v>
      </c>
    </row>
    <row r="281">
      <c r="A281" s="34">
        <v>280.0</v>
      </c>
      <c r="B281" s="34">
        <v>2017.0</v>
      </c>
      <c r="C281" s="34">
        <v>3.0</v>
      </c>
      <c r="D281" s="34">
        <v>2.0</v>
      </c>
      <c r="E281" s="34">
        <v>4.0</v>
      </c>
      <c r="F281" s="35" t="s">
        <v>16</v>
      </c>
      <c r="G281" s="35" t="s">
        <v>52</v>
      </c>
      <c r="H281" s="35">
        <v>8.1</v>
      </c>
      <c r="I281" s="35">
        <v>8.3</v>
      </c>
      <c r="J281" s="35">
        <v>16.4</v>
      </c>
      <c r="L281" s="7">
        <f t="shared" si="3"/>
        <v>0</v>
      </c>
    </row>
    <row r="282">
      <c r="A282" s="34">
        <v>281.0</v>
      </c>
      <c r="B282" s="34">
        <v>2017.0</v>
      </c>
      <c r="C282" s="34">
        <v>3.0</v>
      </c>
      <c r="D282" s="34">
        <v>2.0</v>
      </c>
      <c r="E282" s="34">
        <v>5.0</v>
      </c>
      <c r="F282" s="35" t="s">
        <v>16</v>
      </c>
      <c r="G282" s="41" t="s">
        <v>61</v>
      </c>
      <c r="H282" s="35">
        <v>6.17</v>
      </c>
      <c r="I282" s="35">
        <v>6.83</v>
      </c>
      <c r="J282" s="34">
        <v>13.0</v>
      </c>
      <c r="L282" s="7">
        <f t="shared" si="3"/>
        <v>0</v>
      </c>
    </row>
    <row r="283">
      <c r="A283" s="34">
        <v>282.0</v>
      </c>
      <c r="B283" s="34">
        <v>2017.0</v>
      </c>
      <c r="C283" s="34">
        <v>3.0</v>
      </c>
      <c r="D283" s="34">
        <v>2.0</v>
      </c>
      <c r="E283" s="34">
        <v>5.0</v>
      </c>
      <c r="F283" s="35" t="s">
        <v>16</v>
      </c>
      <c r="G283" s="35" t="s">
        <v>35</v>
      </c>
      <c r="H283" s="34">
        <v>1.0</v>
      </c>
      <c r="I283" s="35">
        <v>5.33</v>
      </c>
      <c r="J283" s="35">
        <v>6.33</v>
      </c>
      <c r="L283" s="7">
        <f t="shared" si="3"/>
        <v>0</v>
      </c>
    </row>
    <row r="284">
      <c r="A284" s="34">
        <v>283.0</v>
      </c>
      <c r="B284" s="34">
        <v>2017.0</v>
      </c>
      <c r="C284" s="34">
        <v>3.0</v>
      </c>
      <c r="D284" s="34">
        <v>2.0</v>
      </c>
      <c r="E284" s="34">
        <v>6.0</v>
      </c>
      <c r="F284" s="35" t="s">
        <v>16</v>
      </c>
      <c r="G284" s="41" t="s">
        <v>65</v>
      </c>
      <c r="H284" s="35">
        <v>8.67</v>
      </c>
      <c r="I284" s="35">
        <v>7.57</v>
      </c>
      <c r="J284" s="35">
        <v>16.24</v>
      </c>
      <c r="L284" s="7">
        <f t="shared" si="3"/>
        <v>0</v>
      </c>
    </row>
    <row r="285">
      <c r="A285" s="34">
        <v>284.0</v>
      </c>
      <c r="B285" s="34">
        <v>2017.0</v>
      </c>
      <c r="C285" s="34">
        <v>3.0</v>
      </c>
      <c r="D285" s="34">
        <v>2.0</v>
      </c>
      <c r="E285" s="34">
        <v>6.0</v>
      </c>
      <c r="F285" s="35" t="s">
        <v>16</v>
      </c>
      <c r="G285" s="35" t="s">
        <v>45</v>
      </c>
      <c r="H285" s="35">
        <v>7.17</v>
      </c>
      <c r="I285" s="35">
        <v>7.43</v>
      </c>
      <c r="J285" s="35">
        <v>14.6</v>
      </c>
      <c r="L285" s="7">
        <f t="shared" si="3"/>
        <v>0</v>
      </c>
    </row>
    <row r="286">
      <c r="A286" s="34">
        <v>285.0</v>
      </c>
      <c r="B286" s="34">
        <v>2017.0</v>
      </c>
      <c r="C286" s="34">
        <v>3.0</v>
      </c>
      <c r="D286" s="34">
        <v>2.0</v>
      </c>
      <c r="E286" s="34">
        <v>7.0</v>
      </c>
      <c r="F286" s="35" t="s">
        <v>16</v>
      </c>
      <c r="G286" s="41" t="s">
        <v>40</v>
      </c>
      <c r="H286" s="35">
        <v>8.33</v>
      </c>
      <c r="I286" s="35">
        <v>8.93</v>
      </c>
      <c r="J286" s="35">
        <v>17.26</v>
      </c>
      <c r="L286" s="7">
        <f t="shared" si="3"/>
        <v>0</v>
      </c>
    </row>
    <row r="287">
      <c r="A287" s="34">
        <v>286.0</v>
      </c>
      <c r="B287" s="34">
        <v>2017.0</v>
      </c>
      <c r="C287" s="34">
        <v>3.0</v>
      </c>
      <c r="D287" s="34">
        <v>2.0</v>
      </c>
      <c r="E287" s="34">
        <v>7.0</v>
      </c>
      <c r="F287" s="35" t="s">
        <v>16</v>
      </c>
      <c r="G287" s="35" t="s">
        <v>67</v>
      </c>
      <c r="H287" s="34">
        <v>6.0</v>
      </c>
      <c r="I287" s="35">
        <v>8.67</v>
      </c>
      <c r="J287" s="35">
        <v>14.67</v>
      </c>
      <c r="L287" s="7">
        <f t="shared" si="3"/>
        <v>0</v>
      </c>
    </row>
    <row r="288">
      <c r="A288" s="34">
        <v>287.0</v>
      </c>
      <c r="B288" s="34">
        <v>2017.0</v>
      </c>
      <c r="C288" s="34">
        <v>3.0</v>
      </c>
      <c r="D288" s="34">
        <v>2.0</v>
      </c>
      <c r="E288" s="34">
        <v>8.0</v>
      </c>
      <c r="F288" s="35" t="s">
        <v>16</v>
      </c>
      <c r="G288" s="41" t="s">
        <v>41</v>
      </c>
      <c r="H288" s="35">
        <v>9.2</v>
      </c>
      <c r="I288" s="34">
        <v>9.0</v>
      </c>
      <c r="J288" s="35">
        <v>18.2</v>
      </c>
      <c r="L288" s="7">
        <f t="shared" si="3"/>
        <v>0</v>
      </c>
    </row>
    <row r="289">
      <c r="A289" s="34">
        <v>288.0</v>
      </c>
      <c r="B289" s="34">
        <v>2017.0</v>
      </c>
      <c r="C289" s="34">
        <v>3.0</v>
      </c>
      <c r="D289" s="34">
        <v>2.0</v>
      </c>
      <c r="E289" s="34">
        <v>8.0</v>
      </c>
      <c r="F289" s="35" t="s">
        <v>16</v>
      </c>
      <c r="G289" s="35" t="s">
        <v>63</v>
      </c>
      <c r="H289" s="35">
        <v>5.33</v>
      </c>
      <c r="I289" s="35">
        <v>6.7</v>
      </c>
      <c r="J289" s="35">
        <v>12.03</v>
      </c>
      <c r="L289" s="7">
        <f t="shared" si="3"/>
        <v>0</v>
      </c>
    </row>
    <row r="290">
      <c r="A290" s="34">
        <v>289.0</v>
      </c>
      <c r="B290" s="34">
        <v>2017.0</v>
      </c>
      <c r="C290" s="34">
        <v>3.0</v>
      </c>
      <c r="D290" s="34">
        <v>2.0</v>
      </c>
      <c r="E290" s="34">
        <v>9.0</v>
      </c>
      <c r="F290" s="35" t="s">
        <v>16</v>
      </c>
      <c r="G290" s="41" t="s">
        <v>64</v>
      </c>
      <c r="H290" s="35">
        <v>9.67</v>
      </c>
      <c r="I290" s="35">
        <v>8.27</v>
      </c>
      <c r="J290" s="35">
        <v>17.94</v>
      </c>
      <c r="L290" s="7">
        <f t="shared" si="3"/>
        <v>0</v>
      </c>
    </row>
    <row r="291">
      <c r="A291" s="34">
        <v>290.0</v>
      </c>
      <c r="B291" s="34">
        <v>2017.0</v>
      </c>
      <c r="C291" s="34">
        <v>3.0</v>
      </c>
      <c r="D291" s="34">
        <v>2.0</v>
      </c>
      <c r="E291" s="34">
        <v>9.0</v>
      </c>
      <c r="F291" s="35" t="s">
        <v>16</v>
      </c>
      <c r="G291" s="35" t="s">
        <v>55</v>
      </c>
      <c r="H291" s="35">
        <v>5.5</v>
      </c>
      <c r="I291" s="35">
        <v>9.37</v>
      </c>
      <c r="J291" s="35">
        <v>14.87</v>
      </c>
      <c r="L291" s="7">
        <f t="shared" si="3"/>
        <v>0</v>
      </c>
    </row>
    <row r="292">
      <c r="A292" s="34">
        <v>291.0</v>
      </c>
      <c r="B292" s="34">
        <v>2017.0</v>
      </c>
      <c r="C292" s="34">
        <v>3.0</v>
      </c>
      <c r="D292" s="34">
        <v>2.0</v>
      </c>
      <c r="E292" s="34">
        <v>10.0</v>
      </c>
      <c r="F292" s="35" t="s">
        <v>16</v>
      </c>
      <c r="G292" s="41" t="s">
        <v>59</v>
      </c>
      <c r="H292" s="35">
        <v>8.77</v>
      </c>
      <c r="I292" s="35">
        <v>8.83</v>
      </c>
      <c r="J292" s="35">
        <v>17.6</v>
      </c>
      <c r="L292" s="7">
        <f t="shared" si="3"/>
        <v>0</v>
      </c>
    </row>
    <row r="293">
      <c r="A293" s="34">
        <v>292.0</v>
      </c>
      <c r="B293" s="34">
        <v>2017.0</v>
      </c>
      <c r="C293" s="34">
        <v>3.0</v>
      </c>
      <c r="D293" s="34">
        <v>2.0</v>
      </c>
      <c r="E293" s="34">
        <v>10.0</v>
      </c>
      <c r="F293" s="35" t="s">
        <v>16</v>
      </c>
      <c r="G293" s="35" t="s">
        <v>36</v>
      </c>
      <c r="H293" s="35">
        <v>6.17</v>
      </c>
      <c r="I293" s="35">
        <v>7.57</v>
      </c>
      <c r="J293" s="35">
        <v>13.74</v>
      </c>
      <c r="L293" s="7">
        <f t="shared" si="3"/>
        <v>0</v>
      </c>
    </row>
    <row r="294">
      <c r="A294" s="34">
        <v>293.0</v>
      </c>
      <c r="B294" s="34">
        <v>2017.0</v>
      </c>
      <c r="C294" s="34">
        <v>3.0</v>
      </c>
      <c r="D294" s="34">
        <v>2.0</v>
      </c>
      <c r="E294" s="34">
        <v>11.0</v>
      </c>
      <c r="F294" s="35" t="s">
        <v>16</v>
      </c>
      <c r="G294" s="41" t="s">
        <v>54</v>
      </c>
      <c r="H294" s="35">
        <v>7.67</v>
      </c>
      <c r="I294" s="35">
        <v>9.33</v>
      </c>
      <c r="J294" s="34">
        <v>17.0</v>
      </c>
      <c r="L294" s="7">
        <f t="shared" si="3"/>
        <v>0</v>
      </c>
    </row>
    <row r="295">
      <c r="A295" s="34">
        <v>294.0</v>
      </c>
      <c r="B295" s="34">
        <v>2017.0</v>
      </c>
      <c r="C295" s="34">
        <v>3.0</v>
      </c>
      <c r="D295" s="34">
        <v>2.0</v>
      </c>
      <c r="E295" s="34">
        <v>11.0</v>
      </c>
      <c r="F295" s="35" t="s">
        <v>16</v>
      </c>
      <c r="G295" s="35" t="s">
        <v>53</v>
      </c>
      <c r="H295" s="35">
        <v>8.43</v>
      </c>
      <c r="I295" s="35">
        <v>7.37</v>
      </c>
      <c r="J295" s="35">
        <v>15.8</v>
      </c>
      <c r="L295" s="7">
        <f t="shared" si="3"/>
        <v>0</v>
      </c>
    </row>
    <row r="296">
      <c r="A296" s="34">
        <v>295.0</v>
      </c>
      <c r="B296" s="34">
        <v>2017.0</v>
      </c>
      <c r="C296" s="34">
        <v>3.0</v>
      </c>
      <c r="D296" s="34">
        <v>2.0</v>
      </c>
      <c r="E296" s="34">
        <v>12.0</v>
      </c>
      <c r="F296" s="35" t="s">
        <v>16</v>
      </c>
      <c r="G296" s="41" t="s">
        <v>50</v>
      </c>
      <c r="H296" s="35">
        <v>7.77</v>
      </c>
      <c r="I296" s="35">
        <v>8.93</v>
      </c>
      <c r="J296" s="35">
        <v>16.7</v>
      </c>
      <c r="L296" s="7">
        <f t="shared" si="3"/>
        <v>0</v>
      </c>
    </row>
    <row r="297">
      <c r="A297" s="34">
        <v>296.0</v>
      </c>
      <c r="B297" s="34">
        <v>2017.0</v>
      </c>
      <c r="C297" s="34">
        <v>3.0</v>
      </c>
      <c r="D297" s="34">
        <v>2.0</v>
      </c>
      <c r="E297" s="34">
        <v>12.0</v>
      </c>
      <c r="F297" s="35" t="s">
        <v>16</v>
      </c>
      <c r="G297" s="35" t="s">
        <v>68</v>
      </c>
      <c r="H297" s="35">
        <v>8.97</v>
      </c>
      <c r="I297" s="35">
        <v>7.67</v>
      </c>
      <c r="J297" s="35">
        <v>16.64</v>
      </c>
      <c r="L297" s="7">
        <f t="shared" si="3"/>
        <v>0</v>
      </c>
    </row>
    <row r="298">
      <c r="A298" s="34">
        <v>297.0</v>
      </c>
      <c r="B298" s="34">
        <v>2017.0</v>
      </c>
      <c r="C298" s="34">
        <v>3.0</v>
      </c>
      <c r="D298" s="34">
        <v>3.0</v>
      </c>
      <c r="E298" s="34">
        <v>1.0</v>
      </c>
      <c r="F298" s="35" t="s">
        <v>16</v>
      </c>
      <c r="G298" s="41" t="s">
        <v>64</v>
      </c>
      <c r="H298" s="35">
        <v>8.77</v>
      </c>
      <c r="I298" s="35">
        <v>5.17</v>
      </c>
      <c r="J298" s="35">
        <v>13.94</v>
      </c>
      <c r="L298" s="7">
        <f t="shared" si="3"/>
        <v>0</v>
      </c>
    </row>
    <row r="299">
      <c r="A299" s="34">
        <v>298.0</v>
      </c>
      <c r="B299" s="34">
        <v>2017.0</v>
      </c>
      <c r="C299" s="34">
        <v>3.0</v>
      </c>
      <c r="D299" s="34">
        <v>3.0</v>
      </c>
      <c r="E299" s="34">
        <v>1.0</v>
      </c>
      <c r="F299" s="35" t="s">
        <v>16</v>
      </c>
      <c r="G299" s="35" t="s">
        <v>30</v>
      </c>
      <c r="H299" s="34">
        <v>6.0</v>
      </c>
      <c r="I299" s="35">
        <v>7.57</v>
      </c>
      <c r="J299" s="35">
        <v>13.57</v>
      </c>
      <c r="L299" s="7">
        <f t="shared" si="3"/>
        <v>0</v>
      </c>
    </row>
    <row r="300">
      <c r="A300" s="34">
        <v>299.0</v>
      </c>
      <c r="B300" s="34">
        <v>2017.0</v>
      </c>
      <c r="C300" s="34">
        <v>3.0</v>
      </c>
      <c r="D300" s="34">
        <v>3.0</v>
      </c>
      <c r="E300" s="34">
        <v>2.0</v>
      </c>
      <c r="F300" s="35" t="s">
        <v>16</v>
      </c>
      <c r="G300" s="41" t="s">
        <v>40</v>
      </c>
      <c r="H300" s="35">
        <v>9.13</v>
      </c>
      <c r="I300" s="35">
        <v>7.9</v>
      </c>
      <c r="J300" s="35">
        <v>17.03</v>
      </c>
      <c r="L300" s="7">
        <f t="shared" si="3"/>
        <v>0</v>
      </c>
    </row>
    <row r="301">
      <c r="A301" s="34">
        <v>300.0</v>
      </c>
      <c r="B301" s="34">
        <v>2017.0</v>
      </c>
      <c r="C301" s="34">
        <v>3.0</v>
      </c>
      <c r="D301" s="34">
        <v>3.0</v>
      </c>
      <c r="E301" s="34">
        <v>2.0</v>
      </c>
      <c r="F301" s="35" t="s">
        <v>16</v>
      </c>
      <c r="G301" s="35" t="s">
        <v>27</v>
      </c>
      <c r="H301" s="34">
        <v>8.0</v>
      </c>
      <c r="I301" s="35">
        <v>8.1</v>
      </c>
      <c r="J301" s="35">
        <v>16.1</v>
      </c>
      <c r="L301" s="7">
        <f t="shared" si="3"/>
        <v>0</v>
      </c>
    </row>
    <row r="302">
      <c r="A302" s="34">
        <v>301.0</v>
      </c>
      <c r="B302" s="34">
        <v>2017.0</v>
      </c>
      <c r="C302" s="34">
        <v>3.0</v>
      </c>
      <c r="D302" s="34">
        <v>3.0</v>
      </c>
      <c r="E302" s="34">
        <v>3.0</v>
      </c>
      <c r="F302" s="35" t="s">
        <v>16</v>
      </c>
      <c r="G302" s="41" t="s">
        <v>57</v>
      </c>
      <c r="H302" s="35">
        <v>8.77</v>
      </c>
      <c r="I302" s="35">
        <v>8.77</v>
      </c>
      <c r="J302" s="35">
        <v>17.54</v>
      </c>
      <c r="L302" s="7">
        <f t="shared" si="3"/>
        <v>0</v>
      </c>
    </row>
    <row r="303">
      <c r="A303" s="34">
        <v>302.0</v>
      </c>
      <c r="B303" s="34">
        <v>2017.0</v>
      </c>
      <c r="C303" s="34">
        <v>3.0</v>
      </c>
      <c r="D303" s="34">
        <v>3.0</v>
      </c>
      <c r="E303" s="34">
        <v>3.0</v>
      </c>
      <c r="F303" s="35" t="s">
        <v>16</v>
      </c>
      <c r="G303" s="35" t="s">
        <v>59</v>
      </c>
      <c r="H303" s="35">
        <v>7.5</v>
      </c>
      <c r="I303" s="35">
        <v>6.33</v>
      </c>
      <c r="J303" s="35">
        <v>13.83</v>
      </c>
      <c r="L303" s="7">
        <f t="shared" si="3"/>
        <v>0</v>
      </c>
    </row>
    <row r="304">
      <c r="A304" s="34">
        <v>303.0</v>
      </c>
      <c r="B304" s="34">
        <v>2017.0</v>
      </c>
      <c r="C304" s="34">
        <v>3.0</v>
      </c>
      <c r="D304" s="34">
        <v>3.0</v>
      </c>
      <c r="E304" s="34">
        <v>4.0</v>
      </c>
      <c r="F304" s="35" t="s">
        <v>16</v>
      </c>
      <c r="G304" s="41" t="s">
        <v>41</v>
      </c>
      <c r="H304" s="34">
        <v>7.0</v>
      </c>
      <c r="I304" s="35">
        <v>6.5</v>
      </c>
      <c r="J304" s="35">
        <v>13.5</v>
      </c>
      <c r="L304" s="7">
        <f t="shared" si="3"/>
        <v>0</v>
      </c>
    </row>
    <row r="305">
      <c r="A305" s="34">
        <v>304.0</v>
      </c>
      <c r="B305" s="34">
        <v>2017.0</v>
      </c>
      <c r="C305" s="34">
        <v>3.0</v>
      </c>
      <c r="D305" s="34">
        <v>3.0</v>
      </c>
      <c r="E305" s="34">
        <v>4.0</v>
      </c>
      <c r="F305" s="35" t="s">
        <v>16</v>
      </c>
      <c r="G305" s="35" t="s">
        <v>37</v>
      </c>
      <c r="H305" s="35">
        <v>6.83</v>
      </c>
      <c r="I305" s="35">
        <v>5.6</v>
      </c>
      <c r="J305" s="35">
        <v>12.43</v>
      </c>
      <c r="L305" s="7">
        <f t="shared" si="3"/>
        <v>0</v>
      </c>
    </row>
    <row r="306">
      <c r="A306" s="34">
        <v>305.0</v>
      </c>
      <c r="B306" s="34">
        <v>2017.0</v>
      </c>
      <c r="C306" s="34">
        <v>3.0</v>
      </c>
      <c r="D306" s="34">
        <v>3.0</v>
      </c>
      <c r="E306" s="34">
        <v>5.0</v>
      </c>
      <c r="F306" s="35" t="s">
        <v>16</v>
      </c>
      <c r="G306" s="41" t="s">
        <v>38</v>
      </c>
      <c r="H306" s="35">
        <v>8.37</v>
      </c>
      <c r="I306" s="35">
        <v>8.7</v>
      </c>
      <c r="J306" s="35">
        <v>17.07</v>
      </c>
      <c r="L306" s="7">
        <f t="shared" si="3"/>
        <v>0</v>
      </c>
    </row>
    <row r="307">
      <c r="A307" s="34">
        <v>306.0</v>
      </c>
      <c r="B307" s="34">
        <v>2017.0</v>
      </c>
      <c r="C307" s="34">
        <v>3.0</v>
      </c>
      <c r="D307" s="34">
        <v>3.0</v>
      </c>
      <c r="E307" s="34">
        <v>5.0</v>
      </c>
      <c r="F307" s="35" t="s">
        <v>16</v>
      </c>
      <c r="G307" s="35" t="s">
        <v>31</v>
      </c>
      <c r="H307" s="35">
        <v>9.37</v>
      </c>
      <c r="I307" s="35">
        <v>7.67</v>
      </c>
      <c r="J307" s="35">
        <v>17.04</v>
      </c>
      <c r="L307" s="7">
        <f t="shared" si="3"/>
        <v>0</v>
      </c>
    </row>
    <row r="308">
      <c r="A308" s="34">
        <v>307.0</v>
      </c>
      <c r="B308" s="34">
        <v>2017.0</v>
      </c>
      <c r="C308" s="34">
        <v>3.0</v>
      </c>
      <c r="D308" s="34">
        <v>3.0</v>
      </c>
      <c r="E308" s="34">
        <v>6.0</v>
      </c>
      <c r="F308" s="35" t="s">
        <v>16</v>
      </c>
      <c r="G308" s="41" t="s">
        <v>26</v>
      </c>
      <c r="H308" s="35">
        <v>8.17</v>
      </c>
      <c r="I308" s="35">
        <v>6.17</v>
      </c>
      <c r="J308" s="35">
        <v>14.34</v>
      </c>
      <c r="L308" s="7">
        <f t="shared" si="3"/>
        <v>0</v>
      </c>
    </row>
    <row r="309">
      <c r="A309" s="34">
        <v>308.0</v>
      </c>
      <c r="B309" s="34">
        <v>2017.0</v>
      </c>
      <c r="C309" s="34">
        <v>3.0</v>
      </c>
      <c r="D309" s="34">
        <v>3.0</v>
      </c>
      <c r="E309" s="34">
        <v>6.0</v>
      </c>
      <c r="F309" s="35" t="s">
        <v>16</v>
      </c>
      <c r="G309" s="35" t="s">
        <v>56</v>
      </c>
      <c r="H309" s="35">
        <v>4.33</v>
      </c>
      <c r="I309" s="35">
        <v>7.1</v>
      </c>
      <c r="J309" s="35">
        <v>11.43</v>
      </c>
      <c r="L309" s="7">
        <f t="shared" si="3"/>
        <v>0</v>
      </c>
    </row>
    <row r="310">
      <c r="A310" s="34">
        <v>309.0</v>
      </c>
      <c r="B310" s="34">
        <v>2017.0</v>
      </c>
      <c r="C310" s="34">
        <v>3.0</v>
      </c>
      <c r="D310" s="34">
        <v>3.0</v>
      </c>
      <c r="E310" s="34">
        <v>7.0</v>
      </c>
      <c r="F310" s="35" t="s">
        <v>16</v>
      </c>
      <c r="G310" s="41" t="s">
        <v>69</v>
      </c>
      <c r="H310" s="34">
        <v>7.0</v>
      </c>
      <c r="I310" s="34">
        <v>7.0</v>
      </c>
      <c r="J310" s="34">
        <v>14.0</v>
      </c>
      <c r="L310" s="7">
        <f t="shared" si="3"/>
        <v>0</v>
      </c>
    </row>
    <row r="311">
      <c r="A311" s="34">
        <v>310.0</v>
      </c>
      <c r="B311" s="34">
        <v>2017.0</v>
      </c>
      <c r="C311" s="34">
        <v>3.0</v>
      </c>
      <c r="D311" s="34">
        <v>3.0</v>
      </c>
      <c r="E311" s="34">
        <v>7.0</v>
      </c>
      <c r="F311" s="35" t="s">
        <v>16</v>
      </c>
      <c r="G311" s="35" t="s">
        <v>32</v>
      </c>
      <c r="H311" s="35">
        <v>6.5</v>
      </c>
      <c r="I311" s="35">
        <v>5.83</v>
      </c>
      <c r="J311" s="35">
        <v>12.33</v>
      </c>
      <c r="L311" s="7">
        <f t="shared" si="3"/>
        <v>0</v>
      </c>
    </row>
    <row r="312">
      <c r="A312" s="34">
        <v>311.0</v>
      </c>
      <c r="B312" s="34">
        <v>2017.0</v>
      </c>
      <c r="C312" s="34">
        <v>3.0</v>
      </c>
      <c r="D312" s="34">
        <v>3.0</v>
      </c>
      <c r="E312" s="34">
        <v>8.0</v>
      </c>
      <c r="F312" s="35" t="s">
        <v>16</v>
      </c>
      <c r="G312" s="41" t="s">
        <v>33</v>
      </c>
      <c r="H312" s="35">
        <v>9.77</v>
      </c>
      <c r="I312" s="35">
        <v>8.5</v>
      </c>
      <c r="J312" s="35">
        <v>18.27</v>
      </c>
      <c r="L312" s="7">
        <f t="shared" si="3"/>
        <v>0</v>
      </c>
    </row>
    <row r="313">
      <c r="A313" s="34">
        <v>312.0</v>
      </c>
      <c r="B313" s="34">
        <v>2017.0</v>
      </c>
      <c r="C313" s="34">
        <v>3.0</v>
      </c>
      <c r="D313" s="34">
        <v>3.0</v>
      </c>
      <c r="E313" s="34">
        <v>8.0</v>
      </c>
      <c r="F313" s="35" t="s">
        <v>16</v>
      </c>
      <c r="G313" s="35" t="s">
        <v>47</v>
      </c>
      <c r="H313" s="35">
        <v>6.83</v>
      </c>
      <c r="I313" s="35">
        <v>8.73</v>
      </c>
      <c r="J313" s="35">
        <v>15.56</v>
      </c>
      <c r="L313" s="7">
        <f t="shared" si="3"/>
        <v>0</v>
      </c>
    </row>
    <row r="314">
      <c r="A314" s="34">
        <v>313.0</v>
      </c>
      <c r="B314" s="34">
        <v>2017.0</v>
      </c>
      <c r="C314" s="34">
        <v>3.0</v>
      </c>
      <c r="D314" s="34">
        <v>3.0</v>
      </c>
      <c r="E314" s="34">
        <v>9.0</v>
      </c>
      <c r="F314" s="35" t="s">
        <v>16</v>
      </c>
      <c r="G314" s="41" t="s">
        <v>42</v>
      </c>
      <c r="H314" s="34">
        <v>9.0</v>
      </c>
      <c r="I314" s="35">
        <v>7.53</v>
      </c>
      <c r="J314" s="35">
        <v>16.53</v>
      </c>
      <c r="L314" s="7">
        <f t="shared" si="3"/>
        <v>0</v>
      </c>
    </row>
    <row r="315">
      <c r="A315" s="34">
        <v>314.0</v>
      </c>
      <c r="B315" s="34">
        <v>2017.0</v>
      </c>
      <c r="C315" s="34">
        <v>3.0</v>
      </c>
      <c r="D315" s="34">
        <v>3.0</v>
      </c>
      <c r="E315" s="34">
        <v>9.0</v>
      </c>
      <c r="F315" s="35" t="s">
        <v>16</v>
      </c>
      <c r="G315" s="35" t="s">
        <v>50</v>
      </c>
      <c r="H315" s="35">
        <v>7.5</v>
      </c>
      <c r="I315" s="34">
        <v>8.0</v>
      </c>
      <c r="J315" s="35">
        <v>15.5</v>
      </c>
      <c r="L315" s="7">
        <f t="shared" si="3"/>
        <v>0</v>
      </c>
    </row>
    <row r="316">
      <c r="A316" s="34">
        <v>315.0</v>
      </c>
      <c r="B316" s="34">
        <v>2017.0</v>
      </c>
      <c r="C316" s="34">
        <v>3.0</v>
      </c>
      <c r="D316" s="34">
        <v>3.0</v>
      </c>
      <c r="E316" s="34">
        <v>10.0</v>
      </c>
      <c r="F316" s="35" t="s">
        <v>16</v>
      </c>
      <c r="G316" s="41" t="s">
        <v>54</v>
      </c>
      <c r="H316" s="34">
        <v>7.0</v>
      </c>
      <c r="I316" s="35">
        <v>6.73</v>
      </c>
      <c r="J316" s="35">
        <v>13.73</v>
      </c>
      <c r="L316" s="7">
        <f t="shared" si="3"/>
        <v>0</v>
      </c>
    </row>
    <row r="317">
      <c r="A317" s="34">
        <v>316.0</v>
      </c>
      <c r="B317" s="34">
        <v>2017.0</v>
      </c>
      <c r="C317" s="34">
        <v>3.0</v>
      </c>
      <c r="D317" s="34">
        <v>3.0</v>
      </c>
      <c r="E317" s="34">
        <v>10.0</v>
      </c>
      <c r="F317" s="35" t="s">
        <v>16</v>
      </c>
      <c r="G317" s="35" t="s">
        <v>34</v>
      </c>
      <c r="H317" s="34">
        <v>8.0</v>
      </c>
      <c r="I317" s="34">
        <v>5.0</v>
      </c>
      <c r="J317" s="34">
        <v>13.0</v>
      </c>
      <c r="L317" s="7">
        <f t="shared" si="3"/>
        <v>0</v>
      </c>
    </row>
    <row r="318">
      <c r="A318" s="34">
        <v>317.0</v>
      </c>
      <c r="B318" s="34">
        <v>2017.0</v>
      </c>
      <c r="C318" s="34">
        <v>3.0</v>
      </c>
      <c r="D318" s="34">
        <v>3.0</v>
      </c>
      <c r="E318" s="34">
        <v>11.0</v>
      </c>
      <c r="F318" s="35" t="s">
        <v>16</v>
      </c>
      <c r="G318" s="41" t="s">
        <v>39</v>
      </c>
      <c r="H318" s="35">
        <v>8.33</v>
      </c>
      <c r="I318" s="35">
        <v>7.33</v>
      </c>
      <c r="J318" s="35">
        <v>15.66</v>
      </c>
      <c r="L318" s="7">
        <f t="shared" si="3"/>
        <v>0</v>
      </c>
    </row>
    <row r="319">
      <c r="A319" s="34">
        <v>318.0</v>
      </c>
      <c r="B319" s="34">
        <v>2017.0</v>
      </c>
      <c r="C319" s="34">
        <v>3.0</v>
      </c>
      <c r="D319" s="34">
        <v>3.0</v>
      </c>
      <c r="E319" s="34">
        <v>11.0</v>
      </c>
      <c r="F319" s="35" t="s">
        <v>16</v>
      </c>
      <c r="G319" s="35" t="s">
        <v>61</v>
      </c>
      <c r="H319" s="34">
        <v>6.0</v>
      </c>
      <c r="I319" s="35">
        <v>4.6</v>
      </c>
      <c r="J319" s="35">
        <v>10.6</v>
      </c>
      <c r="L319" s="7">
        <f t="shared" si="3"/>
        <v>0</v>
      </c>
    </row>
    <row r="320">
      <c r="A320" s="34">
        <v>319.0</v>
      </c>
      <c r="B320" s="34">
        <v>2017.0</v>
      </c>
      <c r="C320" s="34">
        <v>3.0</v>
      </c>
      <c r="D320" s="34">
        <v>3.0</v>
      </c>
      <c r="E320" s="34">
        <v>12.0</v>
      </c>
      <c r="F320" s="35" t="s">
        <v>16</v>
      </c>
      <c r="G320" s="41" t="s">
        <v>28</v>
      </c>
      <c r="H320" s="35">
        <v>8.83</v>
      </c>
      <c r="I320" s="35">
        <v>9.27</v>
      </c>
      <c r="J320" s="35">
        <v>18.1</v>
      </c>
      <c r="L320" s="7">
        <f t="shared" si="3"/>
        <v>0</v>
      </c>
    </row>
    <row r="321">
      <c r="A321" s="34">
        <v>320.0</v>
      </c>
      <c r="B321" s="34">
        <v>2017.0</v>
      </c>
      <c r="C321" s="34">
        <v>3.0</v>
      </c>
      <c r="D321" s="34">
        <v>3.0</v>
      </c>
      <c r="E321" s="34">
        <v>12.0</v>
      </c>
      <c r="F321" s="35" t="s">
        <v>16</v>
      </c>
      <c r="G321" s="35" t="s">
        <v>65</v>
      </c>
      <c r="H321" s="35">
        <v>5.77</v>
      </c>
      <c r="I321" s="35">
        <v>8.67</v>
      </c>
      <c r="J321" s="35">
        <v>14.44</v>
      </c>
      <c r="L321" s="7">
        <f t="shared" si="3"/>
        <v>0</v>
      </c>
    </row>
    <row r="322">
      <c r="A322" s="34">
        <v>321.0</v>
      </c>
      <c r="B322" s="34">
        <v>2017.0</v>
      </c>
      <c r="C322" s="34">
        <v>3.0</v>
      </c>
      <c r="D322" s="34">
        <v>4.0</v>
      </c>
      <c r="E322" s="34">
        <v>1.0</v>
      </c>
      <c r="F322" s="35" t="s">
        <v>16</v>
      </c>
      <c r="G322" s="41" t="s">
        <v>40</v>
      </c>
      <c r="H322" s="35">
        <v>8.03</v>
      </c>
      <c r="I322" s="35">
        <v>8.43</v>
      </c>
      <c r="J322" s="35">
        <v>16.46</v>
      </c>
      <c r="L322" s="7">
        <f t="shared" si="3"/>
        <v>0</v>
      </c>
    </row>
    <row r="323">
      <c r="A323" s="34">
        <v>322.0</v>
      </c>
      <c r="B323" s="34">
        <v>2017.0</v>
      </c>
      <c r="C323" s="34">
        <v>3.0</v>
      </c>
      <c r="D323" s="34">
        <v>4.0</v>
      </c>
      <c r="E323" s="34">
        <v>1.0</v>
      </c>
      <c r="F323" s="35" t="s">
        <v>16</v>
      </c>
      <c r="G323" s="35" t="s">
        <v>64</v>
      </c>
      <c r="H323" s="34">
        <v>8.0</v>
      </c>
      <c r="I323" s="35">
        <v>7.5</v>
      </c>
      <c r="J323" s="35">
        <v>15.5</v>
      </c>
      <c r="L323" s="7">
        <f t="shared" si="3"/>
        <v>0</v>
      </c>
    </row>
    <row r="324">
      <c r="A324" s="34">
        <v>323.0</v>
      </c>
      <c r="B324" s="34">
        <v>2017.0</v>
      </c>
      <c r="C324" s="34">
        <v>3.0</v>
      </c>
      <c r="D324" s="34">
        <v>4.0</v>
      </c>
      <c r="E324" s="34">
        <v>1.0</v>
      </c>
      <c r="F324" s="35" t="s">
        <v>16</v>
      </c>
      <c r="G324" s="35" t="s">
        <v>57</v>
      </c>
      <c r="H324" s="34">
        <v>6.0</v>
      </c>
      <c r="I324" s="35">
        <v>5.43</v>
      </c>
      <c r="J324" s="35">
        <v>11.43</v>
      </c>
      <c r="L324" s="7">
        <f t="shared" si="3"/>
        <v>0</v>
      </c>
    </row>
    <row r="325">
      <c r="A325" s="34">
        <v>324.0</v>
      </c>
      <c r="B325" s="34">
        <v>2017.0</v>
      </c>
      <c r="C325" s="34">
        <v>3.0</v>
      </c>
      <c r="D325" s="34">
        <v>4.0</v>
      </c>
      <c r="E325" s="34">
        <v>2.0</v>
      </c>
      <c r="F325" s="35" t="s">
        <v>16</v>
      </c>
      <c r="G325" s="41" t="s">
        <v>26</v>
      </c>
      <c r="H325" s="35">
        <v>9.57</v>
      </c>
      <c r="I325" s="35">
        <v>9.97</v>
      </c>
      <c r="J325" s="35">
        <v>19.54</v>
      </c>
      <c r="L325" s="7">
        <f t="shared" si="3"/>
        <v>0</v>
      </c>
    </row>
    <row r="326">
      <c r="A326" s="34">
        <v>325.0</v>
      </c>
      <c r="B326" s="34">
        <v>2017.0</v>
      </c>
      <c r="C326" s="34">
        <v>3.0</v>
      </c>
      <c r="D326" s="34">
        <v>4.0</v>
      </c>
      <c r="E326" s="34">
        <v>2.0</v>
      </c>
      <c r="F326" s="35" t="s">
        <v>16</v>
      </c>
      <c r="G326" s="35" t="s">
        <v>41</v>
      </c>
      <c r="H326" s="35">
        <v>9.93</v>
      </c>
      <c r="I326" s="35">
        <v>8.93</v>
      </c>
      <c r="J326" s="35">
        <v>18.86</v>
      </c>
      <c r="L326" s="7">
        <f t="shared" si="3"/>
        <v>0</v>
      </c>
    </row>
    <row r="327">
      <c r="A327" s="34">
        <v>326.0</v>
      </c>
      <c r="B327" s="34">
        <v>2017.0</v>
      </c>
      <c r="C327" s="34">
        <v>3.0</v>
      </c>
      <c r="D327" s="34">
        <v>4.0</v>
      </c>
      <c r="E327" s="34">
        <v>2.0</v>
      </c>
      <c r="F327" s="35" t="s">
        <v>16</v>
      </c>
      <c r="G327" s="35" t="s">
        <v>38</v>
      </c>
      <c r="H327" s="35">
        <v>5.17</v>
      </c>
      <c r="I327" s="35">
        <v>7.77</v>
      </c>
      <c r="J327" s="35">
        <v>12.94</v>
      </c>
      <c r="L327" s="7">
        <f t="shared" si="3"/>
        <v>0</v>
      </c>
    </row>
    <row r="328">
      <c r="A328" s="34">
        <v>327.0</v>
      </c>
      <c r="B328" s="34">
        <v>2017.0</v>
      </c>
      <c r="C328" s="34">
        <v>3.0</v>
      </c>
      <c r="D328" s="34">
        <v>4.0</v>
      </c>
      <c r="E328" s="34">
        <v>3.0</v>
      </c>
      <c r="F328" s="35" t="s">
        <v>16</v>
      </c>
      <c r="G328" s="41" t="s">
        <v>69</v>
      </c>
      <c r="H328" s="35">
        <v>7.9</v>
      </c>
      <c r="I328" s="35">
        <v>8.83</v>
      </c>
      <c r="J328" s="35">
        <v>16.73</v>
      </c>
      <c r="L328" s="7">
        <f t="shared" si="3"/>
        <v>0</v>
      </c>
    </row>
    <row r="329">
      <c r="A329" s="34">
        <v>328.0</v>
      </c>
      <c r="B329" s="34">
        <v>2017.0</v>
      </c>
      <c r="C329" s="34">
        <v>3.0</v>
      </c>
      <c r="D329" s="34">
        <v>4.0</v>
      </c>
      <c r="E329" s="34">
        <v>3.0</v>
      </c>
      <c r="F329" s="35" t="s">
        <v>16</v>
      </c>
      <c r="G329" s="35" t="s">
        <v>33</v>
      </c>
      <c r="H329" s="34">
        <v>9.0</v>
      </c>
      <c r="I329" s="35">
        <v>6.67</v>
      </c>
      <c r="J329" s="35">
        <v>15.67</v>
      </c>
      <c r="L329" s="7">
        <f t="shared" si="3"/>
        <v>0</v>
      </c>
    </row>
    <row r="330">
      <c r="A330" s="34">
        <v>329.0</v>
      </c>
      <c r="B330" s="34">
        <v>2017.0</v>
      </c>
      <c r="C330" s="34">
        <v>3.0</v>
      </c>
      <c r="D330" s="34">
        <v>4.0</v>
      </c>
      <c r="E330" s="34">
        <v>3.0</v>
      </c>
      <c r="F330" s="35" t="s">
        <v>16</v>
      </c>
      <c r="G330" s="35" t="s">
        <v>42</v>
      </c>
      <c r="H330" s="35">
        <v>8.43</v>
      </c>
      <c r="I330" s="35">
        <v>5.77</v>
      </c>
      <c r="J330" s="35">
        <v>14.2</v>
      </c>
      <c r="L330" s="7">
        <f t="shared" si="3"/>
        <v>0</v>
      </c>
    </row>
    <row r="331">
      <c r="A331" s="34">
        <v>330.0</v>
      </c>
      <c r="B331" s="34">
        <v>2017.0</v>
      </c>
      <c r="C331" s="34">
        <v>3.0</v>
      </c>
      <c r="D331" s="34">
        <v>4.0</v>
      </c>
      <c r="E331" s="34">
        <v>4.0</v>
      </c>
      <c r="F331" s="35" t="s">
        <v>16</v>
      </c>
      <c r="G331" s="41" t="s">
        <v>28</v>
      </c>
      <c r="H331" s="35">
        <v>7.5</v>
      </c>
      <c r="I331" s="35">
        <v>7.7</v>
      </c>
      <c r="J331" s="35">
        <v>15.2</v>
      </c>
      <c r="L331" s="7">
        <f t="shared" si="3"/>
        <v>0</v>
      </c>
    </row>
    <row r="332">
      <c r="A332" s="34">
        <v>331.0</v>
      </c>
      <c r="B332" s="34">
        <v>2017.0</v>
      </c>
      <c r="C332" s="34">
        <v>3.0</v>
      </c>
      <c r="D332" s="34">
        <v>4.0</v>
      </c>
      <c r="E332" s="34">
        <v>4.0</v>
      </c>
      <c r="F332" s="35" t="s">
        <v>16</v>
      </c>
      <c r="G332" s="35" t="s">
        <v>54</v>
      </c>
      <c r="H332" s="35">
        <v>6.2</v>
      </c>
      <c r="I332" s="35">
        <v>8.5</v>
      </c>
      <c r="J332" s="35">
        <v>14.7</v>
      </c>
      <c r="L332" s="7">
        <f t="shared" si="3"/>
        <v>0</v>
      </c>
    </row>
    <row r="333">
      <c r="A333" s="34">
        <v>332.0</v>
      </c>
      <c r="B333" s="34">
        <v>2017.0</v>
      </c>
      <c r="C333" s="34">
        <v>3.0</v>
      </c>
      <c r="D333" s="34">
        <v>4.0</v>
      </c>
      <c r="E333" s="34">
        <v>4.0</v>
      </c>
      <c r="F333" s="35" t="s">
        <v>16</v>
      </c>
      <c r="G333" s="35" t="s">
        <v>39</v>
      </c>
      <c r="H333" s="35">
        <v>7.33</v>
      </c>
      <c r="I333" s="35">
        <v>7.17</v>
      </c>
      <c r="J333" s="35">
        <v>14.5</v>
      </c>
      <c r="L333" s="7">
        <f t="shared" si="3"/>
        <v>0</v>
      </c>
    </row>
    <row r="334">
      <c r="A334" s="34">
        <v>333.0</v>
      </c>
      <c r="B334" s="34">
        <v>2017.0</v>
      </c>
      <c r="C334" s="34">
        <v>3.0</v>
      </c>
      <c r="D334" s="34">
        <v>5.0</v>
      </c>
      <c r="E334" s="34">
        <v>1.0</v>
      </c>
      <c r="F334" s="35" t="s">
        <v>16</v>
      </c>
      <c r="G334" s="41" t="s">
        <v>64</v>
      </c>
      <c r="H334" s="35">
        <v>8.93</v>
      </c>
      <c r="I334" s="35">
        <v>9.17</v>
      </c>
      <c r="J334" s="35">
        <v>18.1</v>
      </c>
      <c r="L334" s="7">
        <f t="shared" si="3"/>
        <v>0</v>
      </c>
    </row>
    <row r="335">
      <c r="A335" s="34">
        <v>334.0</v>
      </c>
      <c r="B335" s="34">
        <v>2017.0</v>
      </c>
      <c r="C335" s="34">
        <v>3.0</v>
      </c>
      <c r="D335" s="34">
        <v>5.0</v>
      </c>
      <c r="E335" s="34">
        <v>1.0</v>
      </c>
      <c r="F335" s="35" t="s">
        <v>16</v>
      </c>
      <c r="G335" s="35" t="s">
        <v>38</v>
      </c>
      <c r="H335" s="35">
        <v>6.33</v>
      </c>
      <c r="I335" s="35">
        <v>6.83</v>
      </c>
      <c r="J335" s="35">
        <v>13.16</v>
      </c>
      <c r="L335" s="7">
        <f t="shared" si="3"/>
        <v>0</v>
      </c>
    </row>
    <row r="336">
      <c r="A336" s="34">
        <v>335.0</v>
      </c>
      <c r="B336" s="34">
        <v>2017.0</v>
      </c>
      <c r="C336" s="34">
        <v>3.0</v>
      </c>
      <c r="D336" s="34">
        <v>5.0</v>
      </c>
      <c r="E336" s="34">
        <v>2.0</v>
      </c>
      <c r="F336" s="35" t="s">
        <v>16</v>
      </c>
      <c r="G336" s="41" t="s">
        <v>41</v>
      </c>
      <c r="H336" s="35">
        <v>9.6</v>
      </c>
      <c r="I336" s="35">
        <v>9.03</v>
      </c>
      <c r="J336" s="35">
        <v>18.63</v>
      </c>
      <c r="L336" s="7">
        <f t="shared" si="3"/>
        <v>0</v>
      </c>
    </row>
    <row r="337">
      <c r="A337" s="34">
        <v>336.0</v>
      </c>
      <c r="B337" s="34">
        <v>2017.0</v>
      </c>
      <c r="C337" s="34">
        <v>3.0</v>
      </c>
      <c r="D337" s="34">
        <v>5.0</v>
      </c>
      <c r="E337" s="34">
        <v>2.0</v>
      </c>
      <c r="F337" s="35" t="s">
        <v>16</v>
      </c>
      <c r="G337" s="35" t="s">
        <v>57</v>
      </c>
      <c r="H337" s="35">
        <v>8.5</v>
      </c>
      <c r="I337" s="35">
        <v>9.1</v>
      </c>
      <c r="J337" s="35">
        <v>17.6</v>
      </c>
      <c r="L337" s="7">
        <f t="shared" si="3"/>
        <v>0</v>
      </c>
    </row>
    <row r="338">
      <c r="A338" s="34">
        <v>337.0</v>
      </c>
      <c r="B338" s="34">
        <v>2017.0</v>
      </c>
      <c r="C338" s="34">
        <v>3.0</v>
      </c>
      <c r="D338" s="34">
        <v>5.0</v>
      </c>
      <c r="E338" s="34">
        <v>3.0</v>
      </c>
      <c r="F338" s="35" t="s">
        <v>16</v>
      </c>
      <c r="G338" s="41" t="s">
        <v>33</v>
      </c>
      <c r="H338" s="35">
        <v>9.33</v>
      </c>
      <c r="I338" s="35">
        <v>7.43</v>
      </c>
      <c r="J338" s="35">
        <v>16.76</v>
      </c>
      <c r="L338" s="7">
        <f t="shared" si="3"/>
        <v>0</v>
      </c>
    </row>
    <row r="339">
      <c r="A339" s="34">
        <v>338.0</v>
      </c>
      <c r="B339" s="34">
        <v>2017.0</v>
      </c>
      <c r="C339" s="34">
        <v>3.0</v>
      </c>
      <c r="D339" s="34">
        <v>5.0</v>
      </c>
      <c r="E339" s="34">
        <v>3.0</v>
      </c>
      <c r="F339" s="35" t="s">
        <v>16</v>
      </c>
      <c r="G339" s="35" t="s">
        <v>39</v>
      </c>
      <c r="H339" s="34">
        <v>8.0</v>
      </c>
      <c r="I339" s="34">
        <v>7.0</v>
      </c>
      <c r="J339" s="34">
        <v>15.0</v>
      </c>
      <c r="L339" s="7">
        <f t="shared" si="3"/>
        <v>0</v>
      </c>
    </row>
    <row r="340">
      <c r="A340" s="34">
        <v>339.0</v>
      </c>
      <c r="B340" s="34">
        <v>2017.0</v>
      </c>
      <c r="C340" s="34">
        <v>3.0</v>
      </c>
      <c r="D340" s="34">
        <v>5.0</v>
      </c>
      <c r="E340" s="34">
        <v>4.0</v>
      </c>
      <c r="F340" s="35" t="s">
        <v>16</v>
      </c>
      <c r="G340" s="41" t="s">
        <v>42</v>
      </c>
      <c r="H340" s="35">
        <v>8.67</v>
      </c>
      <c r="I340" s="35">
        <v>9.5</v>
      </c>
      <c r="J340" s="35">
        <v>18.17</v>
      </c>
      <c r="L340" s="7">
        <f t="shared" si="3"/>
        <v>0</v>
      </c>
    </row>
    <row r="341">
      <c r="A341" s="34">
        <v>340.0</v>
      </c>
      <c r="B341" s="34">
        <v>2017.0</v>
      </c>
      <c r="C341" s="34">
        <v>3.0</v>
      </c>
      <c r="D341" s="34">
        <v>5.0</v>
      </c>
      <c r="E341" s="34">
        <v>4.0</v>
      </c>
      <c r="F341" s="35" t="s">
        <v>16</v>
      </c>
      <c r="G341" s="35" t="s">
        <v>54</v>
      </c>
      <c r="H341" s="35">
        <v>8.77</v>
      </c>
      <c r="I341" s="35">
        <v>8.83</v>
      </c>
      <c r="J341" s="35">
        <v>17.6</v>
      </c>
      <c r="L341" s="7">
        <f t="shared" si="3"/>
        <v>0</v>
      </c>
    </row>
    <row r="342">
      <c r="A342" s="34">
        <v>341.0</v>
      </c>
      <c r="B342" s="34">
        <v>2017.0</v>
      </c>
      <c r="C342" s="34">
        <v>3.0</v>
      </c>
      <c r="D342" s="34">
        <v>6.0</v>
      </c>
      <c r="E342" s="34">
        <v>1.0</v>
      </c>
      <c r="F342" s="35" t="s">
        <v>16</v>
      </c>
      <c r="G342" s="41" t="s">
        <v>40</v>
      </c>
      <c r="H342" s="35">
        <v>8.9</v>
      </c>
      <c r="I342" s="35">
        <v>7.1</v>
      </c>
      <c r="J342" s="34">
        <v>16.0</v>
      </c>
      <c r="L342" s="7">
        <f t="shared" si="3"/>
        <v>0</v>
      </c>
    </row>
    <row r="343">
      <c r="A343" s="34">
        <v>342.0</v>
      </c>
      <c r="B343" s="34">
        <v>2017.0</v>
      </c>
      <c r="C343" s="34">
        <v>3.0</v>
      </c>
      <c r="D343" s="34">
        <v>6.0</v>
      </c>
      <c r="E343" s="34">
        <v>1.0</v>
      </c>
      <c r="F343" s="35" t="s">
        <v>16</v>
      </c>
      <c r="G343" s="35" t="s">
        <v>64</v>
      </c>
      <c r="H343" s="35">
        <v>6.33</v>
      </c>
      <c r="I343" s="35">
        <v>8.17</v>
      </c>
      <c r="J343" s="35">
        <v>14.5</v>
      </c>
      <c r="L343" s="7">
        <f t="shared" si="3"/>
        <v>0</v>
      </c>
    </row>
    <row r="344">
      <c r="A344" s="34">
        <v>343.0</v>
      </c>
      <c r="B344" s="34">
        <v>2017.0</v>
      </c>
      <c r="C344" s="34">
        <v>3.0</v>
      </c>
      <c r="D344" s="34">
        <v>6.0</v>
      </c>
      <c r="E344" s="34">
        <v>2.0</v>
      </c>
      <c r="F344" s="35" t="s">
        <v>16</v>
      </c>
      <c r="G344" s="41" t="s">
        <v>26</v>
      </c>
      <c r="H344" s="35">
        <v>9.23</v>
      </c>
      <c r="I344" s="35">
        <v>7.47</v>
      </c>
      <c r="J344" s="35">
        <v>16.7</v>
      </c>
      <c r="L344" s="7">
        <f t="shared" si="3"/>
        <v>0</v>
      </c>
    </row>
    <row r="345">
      <c r="A345" s="34">
        <v>344.0</v>
      </c>
      <c r="B345" s="34">
        <v>2017.0</v>
      </c>
      <c r="C345" s="34">
        <v>3.0</v>
      </c>
      <c r="D345" s="34">
        <v>6.0</v>
      </c>
      <c r="E345" s="34">
        <v>2.0</v>
      </c>
      <c r="F345" s="35" t="s">
        <v>16</v>
      </c>
      <c r="G345" s="35" t="s">
        <v>41</v>
      </c>
      <c r="H345" s="35">
        <v>8.17</v>
      </c>
      <c r="I345" s="35">
        <v>7.6</v>
      </c>
      <c r="J345" s="35">
        <v>15.77</v>
      </c>
      <c r="L345" s="7">
        <f t="shared" si="3"/>
        <v>0</v>
      </c>
    </row>
    <row r="346">
      <c r="A346" s="34">
        <v>345.0</v>
      </c>
      <c r="B346" s="34">
        <v>2017.0</v>
      </c>
      <c r="C346" s="34">
        <v>3.0</v>
      </c>
      <c r="D346" s="34">
        <v>6.0</v>
      </c>
      <c r="E346" s="34">
        <v>3.0</v>
      </c>
      <c r="F346" s="35" t="s">
        <v>16</v>
      </c>
      <c r="G346" s="41" t="s">
        <v>69</v>
      </c>
      <c r="H346" s="35">
        <v>8.83</v>
      </c>
      <c r="I346" s="35">
        <v>9.77</v>
      </c>
      <c r="J346" s="35">
        <v>18.6</v>
      </c>
      <c r="L346" s="7">
        <f t="shared" si="3"/>
        <v>0</v>
      </c>
    </row>
    <row r="347">
      <c r="A347" s="34">
        <v>346.0</v>
      </c>
      <c r="B347" s="34">
        <v>2017.0</v>
      </c>
      <c r="C347" s="34">
        <v>3.0</v>
      </c>
      <c r="D347" s="34">
        <v>6.0</v>
      </c>
      <c r="E347" s="34">
        <v>3.0</v>
      </c>
      <c r="F347" s="35" t="s">
        <v>16</v>
      </c>
      <c r="G347" s="35" t="s">
        <v>33</v>
      </c>
      <c r="H347" s="35">
        <v>7.23</v>
      </c>
      <c r="I347" s="35">
        <v>9.43</v>
      </c>
      <c r="J347" s="35">
        <v>16.66</v>
      </c>
      <c r="L347" s="7">
        <f t="shared" si="3"/>
        <v>0</v>
      </c>
    </row>
    <row r="348">
      <c r="A348" s="34">
        <v>347.0</v>
      </c>
      <c r="B348" s="34">
        <v>2017.0</v>
      </c>
      <c r="C348" s="34">
        <v>3.0</v>
      </c>
      <c r="D348" s="34">
        <v>6.0</v>
      </c>
      <c r="E348" s="34">
        <v>4.0</v>
      </c>
      <c r="F348" s="35" t="s">
        <v>16</v>
      </c>
      <c r="G348" s="41" t="s">
        <v>28</v>
      </c>
      <c r="H348" s="34">
        <v>8.0</v>
      </c>
      <c r="I348" s="35">
        <v>8.77</v>
      </c>
      <c r="J348" s="35">
        <v>16.77</v>
      </c>
      <c r="L348" s="7">
        <f t="shared" si="3"/>
        <v>0</v>
      </c>
    </row>
    <row r="349">
      <c r="A349" s="34">
        <v>348.0</v>
      </c>
      <c r="B349" s="34">
        <v>2017.0</v>
      </c>
      <c r="C349" s="34">
        <v>3.0</v>
      </c>
      <c r="D349" s="34">
        <v>6.0</v>
      </c>
      <c r="E349" s="34">
        <v>4.0</v>
      </c>
      <c r="F349" s="35" t="s">
        <v>16</v>
      </c>
      <c r="G349" s="35" t="s">
        <v>42</v>
      </c>
      <c r="H349" s="35">
        <v>3.6</v>
      </c>
      <c r="I349" s="35">
        <v>6.93</v>
      </c>
      <c r="J349" s="35">
        <v>10.53</v>
      </c>
      <c r="L349" s="7">
        <f t="shared" si="3"/>
        <v>0</v>
      </c>
    </row>
    <row r="350">
      <c r="A350" s="34">
        <v>349.0</v>
      </c>
      <c r="B350" s="34">
        <v>2017.0</v>
      </c>
      <c r="C350" s="34">
        <v>3.0</v>
      </c>
      <c r="D350" s="34">
        <v>7.0</v>
      </c>
      <c r="E350" s="34">
        <v>1.0</v>
      </c>
      <c r="F350" s="35" t="s">
        <v>16</v>
      </c>
      <c r="G350" s="41" t="s">
        <v>40</v>
      </c>
      <c r="H350" s="35">
        <v>8.9</v>
      </c>
      <c r="I350" s="35">
        <v>8.73</v>
      </c>
      <c r="J350" s="35">
        <v>17.63</v>
      </c>
      <c r="L350" s="7">
        <f t="shared" si="3"/>
        <v>0</v>
      </c>
    </row>
    <row r="351">
      <c r="A351" s="34">
        <v>350.0</v>
      </c>
      <c r="B351" s="34">
        <v>2017.0</v>
      </c>
      <c r="C351" s="34">
        <v>3.0</v>
      </c>
      <c r="D351" s="34">
        <v>7.0</v>
      </c>
      <c r="E351" s="34">
        <v>1.0</v>
      </c>
      <c r="F351" s="35" t="s">
        <v>16</v>
      </c>
      <c r="G351" s="35" t="s">
        <v>26</v>
      </c>
      <c r="H351" s="35">
        <v>9.93</v>
      </c>
      <c r="I351" s="35">
        <v>7.5</v>
      </c>
      <c r="J351" s="35">
        <v>17.43</v>
      </c>
      <c r="L351" s="7">
        <f t="shared" si="3"/>
        <v>0</v>
      </c>
    </row>
    <row r="352">
      <c r="A352" s="34">
        <v>351.0</v>
      </c>
      <c r="B352" s="34">
        <v>2017.0</v>
      </c>
      <c r="C352" s="34">
        <v>3.0</v>
      </c>
      <c r="D352" s="34">
        <v>7.0</v>
      </c>
      <c r="E352" s="34">
        <v>2.0</v>
      </c>
      <c r="F352" s="35" t="s">
        <v>16</v>
      </c>
      <c r="G352" s="41" t="s">
        <v>28</v>
      </c>
      <c r="H352" s="35">
        <v>7.93</v>
      </c>
      <c r="I352" s="35">
        <v>7.7</v>
      </c>
      <c r="J352" s="35">
        <v>15.63</v>
      </c>
      <c r="L352" s="7">
        <f t="shared" si="3"/>
        <v>0</v>
      </c>
    </row>
    <row r="353">
      <c r="A353" s="34">
        <v>352.0</v>
      </c>
      <c r="B353" s="34">
        <v>2017.0</v>
      </c>
      <c r="C353" s="34">
        <v>3.0</v>
      </c>
      <c r="D353" s="34">
        <v>7.0</v>
      </c>
      <c r="E353" s="34">
        <v>2.0</v>
      </c>
      <c r="F353" s="35" t="s">
        <v>16</v>
      </c>
      <c r="G353" s="35" t="s">
        <v>69</v>
      </c>
      <c r="H353" s="35">
        <v>7.97</v>
      </c>
      <c r="I353" s="35">
        <v>7.2</v>
      </c>
      <c r="J353" s="35">
        <v>15.17</v>
      </c>
      <c r="L353" s="7">
        <f t="shared" si="3"/>
        <v>0</v>
      </c>
    </row>
    <row r="354">
      <c r="A354" s="34">
        <v>353.0</v>
      </c>
      <c r="B354" s="34">
        <v>2017.0</v>
      </c>
      <c r="C354" s="34">
        <v>3.0</v>
      </c>
      <c r="D354" s="34">
        <v>8.0</v>
      </c>
      <c r="E354" s="34">
        <v>1.0</v>
      </c>
      <c r="F354" s="35" t="s">
        <v>16</v>
      </c>
      <c r="G354" s="41" t="s">
        <v>28</v>
      </c>
      <c r="H354" s="35">
        <v>9.77</v>
      </c>
      <c r="I354" s="35">
        <v>9.13</v>
      </c>
      <c r="J354" s="35">
        <v>18.9</v>
      </c>
      <c r="L354" s="7">
        <f t="shared" si="3"/>
        <v>0</v>
      </c>
    </row>
    <row r="355">
      <c r="A355" s="34">
        <v>354.0</v>
      </c>
      <c r="B355" s="34">
        <v>2017.0</v>
      </c>
      <c r="C355" s="34">
        <v>3.0</v>
      </c>
      <c r="D355" s="34">
        <v>8.0</v>
      </c>
      <c r="E355" s="34">
        <v>1.0</v>
      </c>
      <c r="F355" s="35" t="s">
        <v>16</v>
      </c>
      <c r="G355" s="35" t="s">
        <v>40</v>
      </c>
      <c r="H355" s="35">
        <v>7.83</v>
      </c>
      <c r="I355" s="35">
        <v>9.63</v>
      </c>
      <c r="J355" s="35">
        <v>17.46</v>
      </c>
      <c r="L355" s="7">
        <f t="shared" si="3"/>
        <v>0</v>
      </c>
      <c r="M355" s="3">
        <f>SUM(L238:L355)</f>
        <v>20.07</v>
      </c>
    </row>
    <row r="356">
      <c r="A356" s="34">
        <v>355.0</v>
      </c>
      <c r="B356" s="34">
        <v>2017.0</v>
      </c>
      <c r="C356" s="34">
        <v>1.0</v>
      </c>
      <c r="D356" s="34">
        <v>1.0</v>
      </c>
      <c r="E356" s="34">
        <v>1.0</v>
      </c>
      <c r="F356" s="35" t="s">
        <v>145</v>
      </c>
      <c r="G356" s="35" t="s">
        <v>146</v>
      </c>
      <c r="H356" s="35">
        <v>6.83</v>
      </c>
      <c r="I356" s="35">
        <v>7.97</v>
      </c>
      <c r="J356" s="35">
        <v>14.8</v>
      </c>
      <c r="L356" s="7"/>
    </row>
    <row r="357">
      <c r="A357" s="34">
        <v>356.0</v>
      </c>
      <c r="B357" s="34">
        <v>2017.0</v>
      </c>
      <c r="C357" s="34">
        <v>1.0</v>
      </c>
      <c r="D357" s="34">
        <v>1.0</v>
      </c>
      <c r="E357" s="34">
        <v>1.0</v>
      </c>
      <c r="F357" s="35" t="s">
        <v>145</v>
      </c>
      <c r="G357" s="35" t="s">
        <v>147</v>
      </c>
      <c r="H357" s="35">
        <v>5.93</v>
      </c>
      <c r="I357" s="35">
        <v>7.4</v>
      </c>
      <c r="J357" s="35">
        <v>13.33</v>
      </c>
    </row>
    <row r="358">
      <c r="A358" s="34">
        <v>357.0</v>
      </c>
      <c r="B358" s="34">
        <v>2017.0</v>
      </c>
      <c r="C358" s="34">
        <v>1.0</v>
      </c>
      <c r="D358" s="34">
        <v>1.0</v>
      </c>
      <c r="E358" s="34">
        <v>1.0</v>
      </c>
      <c r="F358" s="35" t="s">
        <v>145</v>
      </c>
      <c r="G358" s="35" t="s">
        <v>148</v>
      </c>
      <c r="H358" s="35">
        <v>5.67</v>
      </c>
      <c r="I358" s="35">
        <v>4.9</v>
      </c>
      <c r="J358" s="35">
        <v>10.57</v>
      </c>
    </row>
    <row r="359">
      <c r="A359" s="34">
        <v>358.0</v>
      </c>
      <c r="B359" s="34">
        <v>2017.0</v>
      </c>
      <c r="C359" s="34">
        <v>1.0</v>
      </c>
      <c r="D359" s="34">
        <v>1.0</v>
      </c>
      <c r="E359" s="34">
        <v>2.0</v>
      </c>
      <c r="F359" s="35" t="s">
        <v>145</v>
      </c>
      <c r="G359" s="35" t="s">
        <v>149</v>
      </c>
      <c r="H359" s="34">
        <v>7.0</v>
      </c>
      <c r="I359" s="35">
        <v>6.43</v>
      </c>
      <c r="J359" s="35">
        <v>13.43</v>
      </c>
    </row>
    <row r="360">
      <c r="A360" s="34">
        <v>359.0</v>
      </c>
      <c r="B360" s="34">
        <v>2017.0</v>
      </c>
      <c r="C360" s="34">
        <v>1.0</v>
      </c>
      <c r="D360" s="34">
        <v>1.0</v>
      </c>
      <c r="E360" s="34">
        <v>2.0</v>
      </c>
      <c r="F360" s="35" t="s">
        <v>145</v>
      </c>
      <c r="G360" s="35" t="s">
        <v>150</v>
      </c>
      <c r="H360" s="35">
        <v>5.93</v>
      </c>
      <c r="I360" s="35">
        <v>3.77</v>
      </c>
      <c r="J360" s="35">
        <v>9.7</v>
      </c>
    </row>
    <row r="361">
      <c r="A361" s="34">
        <v>360.0</v>
      </c>
      <c r="B361" s="34">
        <v>2017.0</v>
      </c>
      <c r="C361" s="34">
        <v>1.0</v>
      </c>
      <c r="D361" s="34">
        <v>1.0</v>
      </c>
      <c r="E361" s="34">
        <v>2.0</v>
      </c>
      <c r="F361" s="35" t="s">
        <v>145</v>
      </c>
      <c r="G361" s="35" t="s">
        <v>151</v>
      </c>
      <c r="H361" s="35">
        <v>3.33</v>
      </c>
      <c r="I361" s="35">
        <v>4.6</v>
      </c>
      <c r="J361" s="35">
        <v>7.93</v>
      </c>
    </row>
    <row r="362">
      <c r="A362" s="34">
        <v>361.0</v>
      </c>
      <c r="B362" s="34">
        <v>2017.0</v>
      </c>
      <c r="C362" s="34">
        <v>1.0</v>
      </c>
      <c r="D362" s="34">
        <v>1.0</v>
      </c>
      <c r="E362" s="34">
        <v>3.0</v>
      </c>
      <c r="F362" s="35" t="s">
        <v>145</v>
      </c>
      <c r="G362" s="35" t="s">
        <v>152</v>
      </c>
      <c r="H362" s="35">
        <v>8.83</v>
      </c>
      <c r="I362" s="35">
        <v>6.33</v>
      </c>
      <c r="J362" s="35">
        <v>15.16</v>
      </c>
    </row>
    <row r="363">
      <c r="A363" s="34">
        <v>362.0</v>
      </c>
      <c r="B363" s="34">
        <v>2017.0</v>
      </c>
      <c r="C363" s="34">
        <v>1.0</v>
      </c>
      <c r="D363" s="34">
        <v>1.0</v>
      </c>
      <c r="E363" s="34">
        <v>3.0</v>
      </c>
      <c r="F363" s="35" t="s">
        <v>145</v>
      </c>
      <c r="G363" s="35" t="s">
        <v>153</v>
      </c>
      <c r="H363" s="35">
        <v>7.17</v>
      </c>
      <c r="I363" s="35">
        <v>5.13</v>
      </c>
      <c r="J363" s="35">
        <v>12.3</v>
      </c>
    </row>
    <row r="364">
      <c r="A364" s="34">
        <v>363.0</v>
      </c>
      <c r="B364" s="34">
        <v>2017.0</v>
      </c>
      <c r="C364" s="34">
        <v>1.0</v>
      </c>
      <c r="D364" s="34">
        <v>1.0</v>
      </c>
      <c r="E364" s="34">
        <v>3.0</v>
      </c>
      <c r="F364" s="35" t="s">
        <v>145</v>
      </c>
      <c r="G364" s="35" t="s">
        <v>154</v>
      </c>
      <c r="H364" s="35">
        <v>5.17</v>
      </c>
      <c r="I364" s="35">
        <v>4.77</v>
      </c>
      <c r="J364" s="35">
        <v>9.94</v>
      </c>
    </row>
    <row r="365">
      <c r="A365" s="34">
        <v>364.0</v>
      </c>
      <c r="B365" s="34">
        <v>2017.0</v>
      </c>
      <c r="C365" s="34">
        <v>1.0</v>
      </c>
      <c r="D365" s="34">
        <v>1.0</v>
      </c>
      <c r="E365" s="34">
        <v>4.0</v>
      </c>
      <c r="F365" s="35" t="s">
        <v>145</v>
      </c>
      <c r="G365" s="35" t="s">
        <v>155</v>
      </c>
      <c r="H365" s="34">
        <v>7.0</v>
      </c>
      <c r="I365" s="35">
        <v>5.9</v>
      </c>
      <c r="J365" s="35">
        <v>12.9</v>
      </c>
    </row>
    <row r="366">
      <c r="A366" s="34">
        <v>365.0</v>
      </c>
      <c r="B366" s="34">
        <v>2017.0</v>
      </c>
      <c r="C366" s="34">
        <v>1.0</v>
      </c>
      <c r="D366" s="34">
        <v>1.0</v>
      </c>
      <c r="E366" s="34">
        <v>4.0</v>
      </c>
      <c r="F366" s="35" t="s">
        <v>145</v>
      </c>
      <c r="G366" s="35" t="s">
        <v>156</v>
      </c>
      <c r="H366" s="35">
        <v>5.83</v>
      </c>
      <c r="I366" s="35">
        <v>6.4</v>
      </c>
      <c r="J366" s="35">
        <v>12.23</v>
      </c>
    </row>
    <row r="367">
      <c r="A367" s="34">
        <v>366.0</v>
      </c>
      <c r="B367" s="34">
        <v>2017.0</v>
      </c>
      <c r="C367" s="34">
        <v>1.0</v>
      </c>
      <c r="D367" s="34">
        <v>1.0</v>
      </c>
      <c r="E367" s="34">
        <v>4.0</v>
      </c>
      <c r="F367" s="35" t="s">
        <v>145</v>
      </c>
      <c r="G367" s="35" t="s">
        <v>157</v>
      </c>
      <c r="H367" s="35">
        <v>6.6</v>
      </c>
      <c r="I367" s="35">
        <v>5.57</v>
      </c>
      <c r="J367" s="35">
        <v>12.17</v>
      </c>
    </row>
    <row r="368">
      <c r="A368" s="34">
        <v>367.0</v>
      </c>
      <c r="B368" s="34">
        <v>2017.0</v>
      </c>
      <c r="C368" s="34">
        <v>1.0</v>
      </c>
      <c r="D368" s="34">
        <v>1.0</v>
      </c>
      <c r="E368" s="34">
        <v>5.0</v>
      </c>
      <c r="F368" s="35" t="s">
        <v>145</v>
      </c>
      <c r="G368" s="35" t="s">
        <v>158</v>
      </c>
      <c r="H368" s="35">
        <v>6.83</v>
      </c>
      <c r="I368" s="35">
        <v>4.27</v>
      </c>
      <c r="J368" s="35">
        <v>11.1</v>
      </c>
    </row>
    <row r="369">
      <c r="A369" s="34">
        <v>368.0</v>
      </c>
      <c r="B369" s="34">
        <v>2017.0</v>
      </c>
      <c r="C369" s="34">
        <v>1.0</v>
      </c>
      <c r="D369" s="34">
        <v>1.0</v>
      </c>
      <c r="E369" s="34">
        <v>5.0</v>
      </c>
      <c r="F369" s="35" t="s">
        <v>145</v>
      </c>
      <c r="G369" s="35" t="s">
        <v>159</v>
      </c>
      <c r="H369" s="35">
        <v>2.5</v>
      </c>
      <c r="I369" s="35">
        <v>3.17</v>
      </c>
      <c r="J369" s="35">
        <v>5.67</v>
      </c>
    </row>
    <row r="370">
      <c r="A370" s="34">
        <v>369.0</v>
      </c>
      <c r="B370" s="34">
        <v>2017.0</v>
      </c>
      <c r="C370" s="34">
        <v>1.0</v>
      </c>
      <c r="D370" s="34">
        <v>1.0</v>
      </c>
      <c r="E370" s="34">
        <v>5.0</v>
      </c>
      <c r="F370" s="35" t="s">
        <v>145</v>
      </c>
      <c r="G370" s="35" t="s">
        <v>160</v>
      </c>
      <c r="H370" s="35">
        <v>1.6</v>
      </c>
      <c r="I370" s="35">
        <v>0.83</v>
      </c>
      <c r="J370" s="35">
        <v>2.43</v>
      </c>
    </row>
    <row r="371">
      <c r="A371" s="34">
        <v>370.0</v>
      </c>
      <c r="B371" s="34">
        <v>2017.0</v>
      </c>
      <c r="C371" s="34">
        <v>1.0</v>
      </c>
      <c r="D371" s="34">
        <v>1.0</v>
      </c>
      <c r="E371" s="34">
        <v>6.0</v>
      </c>
      <c r="F371" s="35" t="s">
        <v>145</v>
      </c>
      <c r="G371" s="35" t="s">
        <v>161</v>
      </c>
      <c r="H371" s="35">
        <v>7.67</v>
      </c>
      <c r="I371" s="35">
        <v>6.57</v>
      </c>
      <c r="J371" s="35">
        <v>14.24</v>
      </c>
    </row>
    <row r="372">
      <c r="A372" s="34">
        <v>371.0</v>
      </c>
      <c r="B372" s="34">
        <v>2017.0</v>
      </c>
      <c r="C372" s="34">
        <v>1.0</v>
      </c>
      <c r="D372" s="34">
        <v>1.0</v>
      </c>
      <c r="E372" s="34">
        <v>6.0</v>
      </c>
      <c r="F372" s="35" t="s">
        <v>145</v>
      </c>
      <c r="G372" s="35" t="s">
        <v>162</v>
      </c>
      <c r="H372" s="35">
        <v>8.83</v>
      </c>
      <c r="I372" s="35">
        <v>4.5</v>
      </c>
      <c r="J372" s="35">
        <v>13.33</v>
      </c>
    </row>
    <row r="373">
      <c r="A373" s="34">
        <v>372.0</v>
      </c>
      <c r="B373" s="34">
        <v>2017.0</v>
      </c>
      <c r="C373" s="34">
        <v>1.0</v>
      </c>
      <c r="D373" s="34">
        <v>1.0</v>
      </c>
      <c r="E373" s="34">
        <v>6.0</v>
      </c>
      <c r="F373" s="35" t="s">
        <v>145</v>
      </c>
      <c r="G373" s="35" t="s">
        <v>163</v>
      </c>
      <c r="H373" s="35">
        <v>0.5</v>
      </c>
      <c r="I373" s="34">
        <v>7.0</v>
      </c>
      <c r="J373" s="35">
        <v>7.5</v>
      </c>
    </row>
    <row r="374">
      <c r="A374" s="34">
        <v>373.0</v>
      </c>
      <c r="B374" s="34">
        <v>2017.0</v>
      </c>
      <c r="C374" s="34">
        <v>1.0</v>
      </c>
      <c r="D374" s="34">
        <v>2.0</v>
      </c>
      <c r="E374" s="34">
        <v>1.0</v>
      </c>
      <c r="F374" s="35" t="s">
        <v>145</v>
      </c>
      <c r="G374" s="35" t="s">
        <v>147</v>
      </c>
      <c r="H374" s="34">
        <v>6.0</v>
      </c>
      <c r="I374" s="35">
        <v>6.67</v>
      </c>
      <c r="J374" s="35">
        <v>12.67</v>
      </c>
    </row>
    <row r="375">
      <c r="A375" s="34">
        <v>374.0</v>
      </c>
      <c r="B375" s="34">
        <v>2017.0</v>
      </c>
      <c r="C375" s="34">
        <v>1.0</v>
      </c>
      <c r="D375" s="34">
        <v>2.0</v>
      </c>
      <c r="E375" s="34">
        <v>1.0</v>
      </c>
      <c r="F375" s="35" t="s">
        <v>145</v>
      </c>
      <c r="G375" s="35" t="s">
        <v>160</v>
      </c>
      <c r="H375" s="35">
        <v>4.3</v>
      </c>
      <c r="I375" s="35">
        <v>4.83</v>
      </c>
      <c r="J375" s="35">
        <v>9.13</v>
      </c>
    </row>
    <row r="376">
      <c r="A376" s="34">
        <v>375.0</v>
      </c>
      <c r="B376" s="34">
        <v>2017.0</v>
      </c>
      <c r="C376" s="34">
        <v>1.0</v>
      </c>
      <c r="D376" s="34">
        <v>2.0</v>
      </c>
      <c r="E376" s="34">
        <v>2.0</v>
      </c>
      <c r="F376" s="35" t="s">
        <v>145</v>
      </c>
      <c r="G376" s="35" t="s">
        <v>151</v>
      </c>
      <c r="H376" s="35">
        <v>8.5</v>
      </c>
      <c r="I376" s="35">
        <v>6.9</v>
      </c>
      <c r="J376" s="35">
        <v>15.4</v>
      </c>
    </row>
    <row r="377">
      <c r="A377" s="34">
        <v>376.0</v>
      </c>
      <c r="B377" s="34">
        <v>2017.0</v>
      </c>
      <c r="C377" s="34">
        <v>1.0</v>
      </c>
      <c r="D377" s="34">
        <v>2.0</v>
      </c>
      <c r="E377" s="34">
        <v>2.0</v>
      </c>
      <c r="F377" s="35" t="s">
        <v>145</v>
      </c>
      <c r="G377" s="35" t="s">
        <v>150</v>
      </c>
      <c r="H377" s="35">
        <v>5.5</v>
      </c>
      <c r="I377" s="35">
        <v>7.67</v>
      </c>
      <c r="J377" s="35">
        <v>13.17</v>
      </c>
    </row>
    <row r="378">
      <c r="A378" s="34">
        <v>377.0</v>
      </c>
      <c r="B378" s="34">
        <v>2017.0</v>
      </c>
      <c r="C378" s="34">
        <v>1.0</v>
      </c>
      <c r="D378" s="34">
        <v>2.0</v>
      </c>
      <c r="E378" s="34">
        <v>3.0</v>
      </c>
      <c r="F378" s="35" t="s">
        <v>145</v>
      </c>
      <c r="G378" s="35" t="s">
        <v>153</v>
      </c>
      <c r="H378" s="35">
        <v>9.5</v>
      </c>
      <c r="I378" s="34">
        <v>8.0</v>
      </c>
      <c r="J378" s="35">
        <v>17.5</v>
      </c>
    </row>
    <row r="379">
      <c r="A379" s="34">
        <v>378.0</v>
      </c>
      <c r="B379" s="34">
        <v>2017.0</v>
      </c>
      <c r="C379" s="34">
        <v>1.0</v>
      </c>
      <c r="D379" s="34">
        <v>2.0</v>
      </c>
      <c r="E379" s="34">
        <v>3.0</v>
      </c>
      <c r="F379" s="35" t="s">
        <v>145</v>
      </c>
      <c r="G379" s="35" t="s">
        <v>154</v>
      </c>
      <c r="H379" s="35">
        <v>5.83</v>
      </c>
      <c r="I379" s="35">
        <v>6.5</v>
      </c>
      <c r="J379" s="35">
        <v>12.33</v>
      </c>
    </row>
    <row r="380">
      <c r="A380" s="34">
        <v>379.0</v>
      </c>
      <c r="B380" s="34">
        <v>2017.0</v>
      </c>
      <c r="C380" s="34">
        <v>1.0</v>
      </c>
      <c r="D380" s="34">
        <v>2.0</v>
      </c>
      <c r="E380" s="34">
        <v>4.0</v>
      </c>
      <c r="F380" s="35" t="s">
        <v>145</v>
      </c>
      <c r="G380" s="35" t="s">
        <v>148</v>
      </c>
      <c r="H380" s="35">
        <v>7.83</v>
      </c>
      <c r="I380" s="35">
        <v>8.07</v>
      </c>
      <c r="J380" s="35">
        <v>15.9</v>
      </c>
    </row>
    <row r="381">
      <c r="A381" s="34">
        <v>380.0</v>
      </c>
      <c r="B381" s="34">
        <v>2017.0</v>
      </c>
      <c r="C381" s="34">
        <v>1.0</v>
      </c>
      <c r="D381" s="34">
        <v>2.0</v>
      </c>
      <c r="E381" s="34">
        <v>4.0</v>
      </c>
      <c r="F381" s="35" t="s">
        <v>145</v>
      </c>
      <c r="G381" s="35" t="s">
        <v>156</v>
      </c>
      <c r="H381" s="35">
        <v>6.5</v>
      </c>
      <c r="I381" s="35">
        <v>7.43</v>
      </c>
      <c r="J381" s="35">
        <v>13.93</v>
      </c>
    </row>
    <row r="382">
      <c r="A382" s="34">
        <v>381.0</v>
      </c>
      <c r="B382" s="34">
        <v>2017.0</v>
      </c>
      <c r="C382" s="34">
        <v>1.0</v>
      </c>
      <c r="D382" s="34">
        <v>2.0</v>
      </c>
      <c r="E382" s="34">
        <v>5.0</v>
      </c>
      <c r="F382" s="35" t="s">
        <v>145</v>
      </c>
      <c r="G382" s="35" t="s">
        <v>159</v>
      </c>
      <c r="H382" s="34">
        <v>8.0</v>
      </c>
      <c r="I382" s="35">
        <v>6.5</v>
      </c>
      <c r="J382" s="35">
        <v>14.5</v>
      </c>
    </row>
    <row r="383">
      <c r="A383" s="34">
        <v>382.0</v>
      </c>
      <c r="B383" s="34">
        <v>2017.0</v>
      </c>
      <c r="C383" s="34">
        <v>1.0</v>
      </c>
      <c r="D383" s="34">
        <v>2.0</v>
      </c>
      <c r="E383" s="34">
        <v>5.0</v>
      </c>
      <c r="F383" s="35" t="s">
        <v>145</v>
      </c>
      <c r="G383" s="35" t="s">
        <v>163</v>
      </c>
      <c r="H383" s="35">
        <v>6.83</v>
      </c>
      <c r="I383" s="35">
        <v>7.53</v>
      </c>
      <c r="J383" s="35">
        <v>14.36</v>
      </c>
    </row>
    <row r="384">
      <c r="A384" s="34">
        <v>383.0</v>
      </c>
      <c r="B384" s="34">
        <v>2017.0</v>
      </c>
      <c r="C384" s="34">
        <v>1.0</v>
      </c>
      <c r="D384" s="34">
        <v>2.0</v>
      </c>
      <c r="E384" s="34">
        <v>6.0</v>
      </c>
      <c r="F384" s="35" t="s">
        <v>145</v>
      </c>
      <c r="G384" s="35" t="s">
        <v>162</v>
      </c>
      <c r="H384" s="35">
        <v>9.27</v>
      </c>
      <c r="I384" s="34">
        <v>10.0</v>
      </c>
      <c r="J384" s="35">
        <v>19.27</v>
      </c>
    </row>
    <row r="385">
      <c r="A385" s="34">
        <v>384.0</v>
      </c>
      <c r="B385" s="34">
        <v>2017.0</v>
      </c>
      <c r="C385" s="34">
        <v>1.0</v>
      </c>
      <c r="D385" s="34">
        <v>2.0</v>
      </c>
      <c r="E385" s="34">
        <v>6.0</v>
      </c>
      <c r="F385" s="35" t="s">
        <v>145</v>
      </c>
      <c r="G385" s="35" t="s">
        <v>157</v>
      </c>
      <c r="H385" s="35">
        <v>5.87</v>
      </c>
      <c r="I385" s="35">
        <v>7.53</v>
      </c>
      <c r="J385" s="35">
        <v>13.4</v>
      </c>
    </row>
    <row r="386">
      <c r="A386" s="34">
        <v>385.0</v>
      </c>
      <c r="B386" s="34">
        <v>2017.0</v>
      </c>
      <c r="C386" s="34">
        <v>1.0</v>
      </c>
      <c r="D386" s="34">
        <v>3.0</v>
      </c>
      <c r="E386" s="34">
        <v>1.0</v>
      </c>
      <c r="F386" s="35" t="s">
        <v>145</v>
      </c>
      <c r="G386" s="35" t="s">
        <v>148</v>
      </c>
      <c r="H386" s="35">
        <v>8.5</v>
      </c>
      <c r="I386" s="35">
        <v>8.7</v>
      </c>
      <c r="J386" s="35">
        <v>17.2</v>
      </c>
    </row>
    <row r="387">
      <c r="A387" s="34">
        <v>386.0</v>
      </c>
      <c r="B387" s="34">
        <v>2017.0</v>
      </c>
      <c r="C387" s="34">
        <v>1.0</v>
      </c>
      <c r="D387" s="34">
        <v>3.0</v>
      </c>
      <c r="E387" s="34">
        <v>1.0</v>
      </c>
      <c r="F387" s="35" t="s">
        <v>145</v>
      </c>
      <c r="G387" s="35" t="s">
        <v>159</v>
      </c>
      <c r="H387" s="35">
        <v>5.83</v>
      </c>
      <c r="I387" s="35">
        <v>9.83</v>
      </c>
      <c r="J387" s="35">
        <v>15.66</v>
      </c>
    </row>
    <row r="388">
      <c r="A388" s="34">
        <v>387.0</v>
      </c>
      <c r="B388" s="34">
        <v>2017.0</v>
      </c>
      <c r="C388" s="34">
        <v>1.0</v>
      </c>
      <c r="D388" s="34">
        <v>3.0</v>
      </c>
      <c r="E388" s="34">
        <v>1.0</v>
      </c>
      <c r="F388" s="35" t="s">
        <v>145</v>
      </c>
      <c r="G388" s="35" t="s">
        <v>149</v>
      </c>
      <c r="H388" s="35">
        <v>7.2</v>
      </c>
      <c r="I388" s="35">
        <v>8.17</v>
      </c>
      <c r="J388" s="35">
        <v>15.37</v>
      </c>
    </row>
    <row r="389">
      <c r="A389" s="34">
        <v>388.0</v>
      </c>
      <c r="B389" s="34">
        <v>2017.0</v>
      </c>
      <c r="C389" s="34">
        <v>1.0</v>
      </c>
      <c r="D389" s="34">
        <v>3.0</v>
      </c>
      <c r="E389" s="34">
        <v>2.0</v>
      </c>
      <c r="F389" s="35" t="s">
        <v>145</v>
      </c>
      <c r="G389" s="35" t="s">
        <v>153</v>
      </c>
      <c r="H389" s="34">
        <v>9.0</v>
      </c>
      <c r="I389" s="35">
        <v>7.93</v>
      </c>
      <c r="J389" s="35">
        <v>16.93</v>
      </c>
    </row>
    <row r="390">
      <c r="A390" s="34">
        <v>389.0</v>
      </c>
      <c r="B390" s="34">
        <v>2017.0</v>
      </c>
      <c r="C390" s="34">
        <v>1.0</v>
      </c>
      <c r="D390" s="34">
        <v>3.0</v>
      </c>
      <c r="E390" s="34">
        <v>2.0</v>
      </c>
      <c r="F390" s="35" t="s">
        <v>145</v>
      </c>
      <c r="G390" s="35" t="s">
        <v>162</v>
      </c>
      <c r="H390" s="34">
        <v>7.0</v>
      </c>
      <c r="I390" s="34">
        <v>9.0</v>
      </c>
      <c r="J390" s="34">
        <v>16.0</v>
      </c>
    </row>
    <row r="391">
      <c r="A391" s="34">
        <v>390.0</v>
      </c>
      <c r="B391" s="34">
        <v>2017.0</v>
      </c>
      <c r="C391" s="34">
        <v>1.0</v>
      </c>
      <c r="D391" s="34">
        <v>3.0</v>
      </c>
      <c r="E391" s="34">
        <v>2.0</v>
      </c>
      <c r="F391" s="35" t="s">
        <v>145</v>
      </c>
      <c r="G391" s="35" t="s">
        <v>152</v>
      </c>
      <c r="H391" s="35">
        <v>4.77</v>
      </c>
      <c r="I391" s="35">
        <v>6.67</v>
      </c>
      <c r="J391" s="35">
        <v>11.44</v>
      </c>
    </row>
    <row r="392">
      <c r="A392" s="34">
        <v>391.0</v>
      </c>
      <c r="B392" s="34">
        <v>2017.0</v>
      </c>
      <c r="C392" s="34">
        <v>1.0</v>
      </c>
      <c r="D392" s="34">
        <v>3.0</v>
      </c>
      <c r="E392" s="34">
        <v>3.0</v>
      </c>
      <c r="F392" s="35" t="s">
        <v>145</v>
      </c>
      <c r="G392" s="35" t="s">
        <v>147</v>
      </c>
      <c r="H392" s="35">
        <v>6.67</v>
      </c>
      <c r="I392" s="35">
        <v>8.1</v>
      </c>
      <c r="J392" s="35">
        <v>14.77</v>
      </c>
    </row>
    <row r="393">
      <c r="A393" s="34">
        <v>392.0</v>
      </c>
      <c r="B393" s="34">
        <v>2017.0</v>
      </c>
      <c r="C393" s="34">
        <v>1.0</v>
      </c>
      <c r="D393" s="34">
        <v>3.0</v>
      </c>
      <c r="E393" s="34">
        <v>3.0</v>
      </c>
      <c r="F393" s="35" t="s">
        <v>145</v>
      </c>
      <c r="G393" s="35" t="s">
        <v>146</v>
      </c>
      <c r="H393" s="35">
        <v>7.67</v>
      </c>
      <c r="I393" s="35">
        <v>6.87</v>
      </c>
      <c r="J393" s="35">
        <v>14.54</v>
      </c>
    </row>
    <row r="394">
      <c r="A394" s="34">
        <v>393.0</v>
      </c>
      <c r="B394" s="34">
        <v>2017.0</v>
      </c>
      <c r="C394" s="34">
        <v>1.0</v>
      </c>
      <c r="D394" s="34">
        <v>3.0</v>
      </c>
      <c r="E394" s="34">
        <v>3.0</v>
      </c>
      <c r="F394" s="35" t="s">
        <v>145</v>
      </c>
      <c r="G394" s="35" t="s">
        <v>155</v>
      </c>
      <c r="H394" s="35">
        <v>5.93</v>
      </c>
      <c r="I394" s="35">
        <v>7.6</v>
      </c>
      <c r="J394" s="35">
        <v>13.53</v>
      </c>
    </row>
    <row r="395">
      <c r="A395" s="34">
        <v>394.0</v>
      </c>
      <c r="B395" s="34">
        <v>2017.0</v>
      </c>
      <c r="C395" s="34">
        <v>1.0</v>
      </c>
      <c r="D395" s="34">
        <v>3.0</v>
      </c>
      <c r="E395" s="34">
        <v>4.0</v>
      </c>
      <c r="F395" s="35" t="s">
        <v>145</v>
      </c>
      <c r="G395" s="35" t="s">
        <v>158</v>
      </c>
      <c r="H395" s="35">
        <v>8.17</v>
      </c>
      <c r="I395" s="35">
        <v>8.53</v>
      </c>
      <c r="J395" s="35">
        <v>16.7</v>
      </c>
    </row>
    <row r="396">
      <c r="A396" s="34">
        <v>395.0</v>
      </c>
      <c r="B396" s="34">
        <v>2017.0</v>
      </c>
      <c r="C396" s="34">
        <v>1.0</v>
      </c>
      <c r="D396" s="34">
        <v>3.0</v>
      </c>
      <c r="E396" s="34">
        <v>4.0</v>
      </c>
      <c r="F396" s="35" t="s">
        <v>145</v>
      </c>
      <c r="G396" s="35" t="s">
        <v>161</v>
      </c>
      <c r="H396" s="35">
        <v>9.17</v>
      </c>
      <c r="I396" s="35">
        <v>7.37</v>
      </c>
      <c r="J396" s="35">
        <v>16.54</v>
      </c>
    </row>
    <row r="397">
      <c r="A397" s="34">
        <v>396.0</v>
      </c>
      <c r="B397" s="34">
        <v>2017.0</v>
      </c>
      <c r="C397" s="34">
        <v>1.0</v>
      </c>
      <c r="D397" s="34">
        <v>3.0</v>
      </c>
      <c r="E397" s="34">
        <v>4.0</v>
      </c>
      <c r="F397" s="35" t="s">
        <v>145</v>
      </c>
      <c r="G397" s="35" t="s">
        <v>151</v>
      </c>
      <c r="H397" s="35">
        <v>4.5</v>
      </c>
      <c r="I397" s="35">
        <v>7.73</v>
      </c>
      <c r="J397" s="35">
        <v>12.23</v>
      </c>
    </row>
    <row r="398">
      <c r="A398" s="34">
        <v>397.0</v>
      </c>
      <c r="B398" s="34">
        <v>2017.0</v>
      </c>
      <c r="C398" s="34">
        <v>1.0</v>
      </c>
      <c r="D398" s="34">
        <v>4.0</v>
      </c>
      <c r="E398" s="34">
        <v>1.0</v>
      </c>
      <c r="F398" s="35" t="s">
        <v>145</v>
      </c>
      <c r="G398" s="35" t="s">
        <v>152</v>
      </c>
      <c r="H398" s="35">
        <v>7.5</v>
      </c>
      <c r="I398" s="35">
        <v>8.17</v>
      </c>
      <c r="J398" s="35">
        <v>15.67</v>
      </c>
    </row>
    <row r="399">
      <c r="A399" s="34">
        <v>398.0</v>
      </c>
      <c r="B399" s="34">
        <v>2017.0</v>
      </c>
      <c r="C399" s="34">
        <v>1.0</v>
      </c>
      <c r="D399" s="34">
        <v>4.0</v>
      </c>
      <c r="E399" s="34">
        <v>1.0</v>
      </c>
      <c r="F399" s="35" t="s">
        <v>145</v>
      </c>
      <c r="G399" s="35" t="s">
        <v>159</v>
      </c>
      <c r="H399" s="35">
        <v>6.67</v>
      </c>
      <c r="I399" s="35">
        <v>8.27</v>
      </c>
      <c r="J399" s="35">
        <v>14.94</v>
      </c>
    </row>
    <row r="400">
      <c r="A400" s="34">
        <v>399.0</v>
      </c>
      <c r="B400" s="34">
        <v>2017.0</v>
      </c>
      <c r="C400" s="34">
        <v>1.0</v>
      </c>
      <c r="D400" s="34">
        <v>4.0</v>
      </c>
      <c r="E400" s="34">
        <v>2.0</v>
      </c>
      <c r="F400" s="35" t="s">
        <v>145</v>
      </c>
      <c r="G400" s="35" t="s">
        <v>162</v>
      </c>
      <c r="H400" s="35">
        <v>5.5</v>
      </c>
      <c r="I400" s="35">
        <v>7.93</v>
      </c>
      <c r="J400" s="35">
        <v>13.43</v>
      </c>
    </row>
    <row r="401">
      <c r="A401" s="34">
        <v>400.0</v>
      </c>
      <c r="B401" s="34">
        <v>2017.0</v>
      </c>
      <c r="C401" s="34">
        <v>1.0</v>
      </c>
      <c r="D401" s="34">
        <v>4.0</v>
      </c>
      <c r="E401" s="34">
        <v>2.0</v>
      </c>
      <c r="F401" s="35" t="s">
        <v>145</v>
      </c>
      <c r="G401" s="35" t="s">
        <v>149</v>
      </c>
      <c r="H401" s="35">
        <v>8.17</v>
      </c>
      <c r="I401" s="34">
        <v>5.0</v>
      </c>
      <c r="J401" s="35">
        <v>13.17</v>
      </c>
    </row>
    <row r="402">
      <c r="A402" s="34">
        <v>401.0</v>
      </c>
      <c r="B402" s="34">
        <v>2017.0</v>
      </c>
      <c r="C402" s="34">
        <v>1.0</v>
      </c>
      <c r="D402" s="34">
        <v>4.0</v>
      </c>
      <c r="E402" s="34">
        <v>3.0</v>
      </c>
      <c r="F402" s="35" t="s">
        <v>145</v>
      </c>
      <c r="G402" s="35" t="s">
        <v>146</v>
      </c>
      <c r="H402" s="35">
        <v>8.83</v>
      </c>
      <c r="I402" s="35">
        <v>7.67</v>
      </c>
      <c r="J402" s="35">
        <v>16.5</v>
      </c>
    </row>
    <row r="403">
      <c r="A403" s="34">
        <v>402.0</v>
      </c>
      <c r="B403" s="34">
        <v>2017.0</v>
      </c>
      <c r="C403" s="34">
        <v>1.0</v>
      </c>
      <c r="D403" s="34">
        <v>4.0</v>
      </c>
      <c r="E403" s="34">
        <v>3.0</v>
      </c>
      <c r="F403" s="35" t="s">
        <v>145</v>
      </c>
      <c r="G403" s="35" t="s">
        <v>151</v>
      </c>
      <c r="H403" s="35">
        <v>7.33</v>
      </c>
      <c r="I403" s="35">
        <v>4.5</v>
      </c>
      <c r="J403" s="35">
        <v>11.83</v>
      </c>
    </row>
    <row r="404">
      <c r="A404" s="34">
        <v>403.0</v>
      </c>
      <c r="B404" s="34">
        <v>2017.0</v>
      </c>
      <c r="C404" s="34">
        <v>1.0</v>
      </c>
      <c r="D404" s="34">
        <v>4.0</v>
      </c>
      <c r="E404" s="34">
        <v>4.0</v>
      </c>
      <c r="F404" s="35" t="s">
        <v>145</v>
      </c>
      <c r="G404" s="35" t="s">
        <v>161</v>
      </c>
      <c r="H404" s="34">
        <v>8.0</v>
      </c>
      <c r="I404" s="35">
        <v>8.4</v>
      </c>
      <c r="J404" s="35">
        <v>16.4</v>
      </c>
    </row>
    <row r="405">
      <c r="A405" s="34">
        <v>404.0</v>
      </c>
      <c r="B405" s="34">
        <v>2017.0</v>
      </c>
      <c r="C405" s="34">
        <v>1.0</v>
      </c>
      <c r="D405" s="34">
        <v>4.0</v>
      </c>
      <c r="E405" s="34">
        <v>4.0</v>
      </c>
      <c r="F405" s="35" t="s">
        <v>145</v>
      </c>
      <c r="G405" s="35" t="s">
        <v>155</v>
      </c>
      <c r="H405" s="35">
        <v>9.5</v>
      </c>
      <c r="I405" s="35">
        <v>6.83</v>
      </c>
      <c r="J405" s="35">
        <v>16.33</v>
      </c>
    </row>
    <row r="406">
      <c r="A406" s="34">
        <v>405.0</v>
      </c>
      <c r="B406" s="34">
        <v>2017.0</v>
      </c>
      <c r="C406" s="34">
        <v>1.0</v>
      </c>
      <c r="D406" s="34">
        <v>5.0</v>
      </c>
      <c r="E406" s="34">
        <v>1.0</v>
      </c>
      <c r="F406" s="35" t="s">
        <v>145</v>
      </c>
      <c r="G406" s="35" t="s">
        <v>148</v>
      </c>
      <c r="H406" s="35">
        <v>7.17</v>
      </c>
      <c r="I406" s="35">
        <v>6.27</v>
      </c>
      <c r="J406" s="35">
        <v>13.44</v>
      </c>
    </row>
    <row r="407">
      <c r="A407" s="34">
        <v>406.0</v>
      </c>
      <c r="B407" s="34">
        <v>2017.0</v>
      </c>
      <c r="C407" s="34">
        <v>1.0</v>
      </c>
      <c r="D407" s="34">
        <v>5.0</v>
      </c>
      <c r="E407" s="34">
        <v>1.0</v>
      </c>
      <c r="F407" s="35" t="s">
        <v>145</v>
      </c>
      <c r="G407" s="35" t="s">
        <v>152</v>
      </c>
      <c r="H407" s="34">
        <v>6.0</v>
      </c>
      <c r="I407" s="35">
        <v>3.5</v>
      </c>
      <c r="J407" s="35">
        <v>9.5</v>
      </c>
    </row>
    <row r="408">
      <c r="A408" s="34">
        <v>407.0</v>
      </c>
      <c r="B408" s="34">
        <v>2017.0</v>
      </c>
      <c r="C408" s="34">
        <v>1.0</v>
      </c>
      <c r="D408" s="34">
        <v>5.0</v>
      </c>
      <c r="E408" s="34">
        <v>2.0</v>
      </c>
      <c r="F408" s="35" t="s">
        <v>145</v>
      </c>
      <c r="G408" s="35" t="s">
        <v>162</v>
      </c>
      <c r="H408" s="35">
        <v>7.83</v>
      </c>
      <c r="I408" s="35">
        <v>9.27</v>
      </c>
      <c r="J408" s="35">
        <v>17.1</v>
      </c>
    </row>
    <row r="409">
      <c r="A409" s="34">
        <v>408.0</v>
      </c>
      <c r="B409" s="34">
        <v>2017.0</v>
      </c>
      <c r="C409" s="34">
        <v>1.0</v>
      </c>
      <c r="D409" s="34">
        <v>5.0</v>
      </c>
      <c r="E409" s="34">
        <v>2.0</v>
      </c>
      <c r="F409" s="35" t="s">
        <v>145</v>
      </c>
      <c r="G409" s="35" t="s">
        <v>153</v>
      </c>
      <c r="H409" s="34">
        <v>4.0</v>
      </c>
      <c r="I409" s="35">
        <v>5.93</v>
      </c>
      <c r="J409" s="35">
        <v>9.93</v>
      </c>
    </row>
    <row r="410">
      <c r="A410" s="34">
        <v>409.0</v>
      </c>
      <c r="B410" s="34">
        <v>2017.0</v>
      </c>
      <c r="C410" s="34">
        <v>1.0</v>
      </c>
      <c r="D410" s="34">
        <v>5.0</v>
      </c>
      <c r="E410" s="34">
        <v>3.0</v>
      </c>
      <c r="F410" s="35" t="s">
        <v>145</v>
      </c>
      <c r="G410" s="35" t="s">
        <v>146</v>
      </c>
      <c r="H410" s="35">
        <v>6.7</v>
      </c>
      <c r="I410" s="35">
        <v>7.3</v>
      </c>
      <c r="J410" s="34">
        <v>14.0</v>
      </c>
    </row>
    <row r="411">
      <c r="A411" s="34">
        <v>410.0</v>
      </c>
      <c r="B411" s="34">
        <v>2017.0</v>
      </c>
      <c r="C411" s="34">
        <v>1.0</v>
      </c>
      <c r="D411" s="34">
        <v>5.0</v>
      </c>
      <c r="E411" s="34">
        <v>3.0</v>
      </c>
      <c r="F411" s="35" t="s">
        <v>145</v>
      </c>
      <c r="G411" s="35" t="s">
        <v>147</v>
      </c>
      <c r="H411" s="35">
        <v>7.33</v>
      </c>
      <c r="I411" s="35">
        <v>6.3</v>
      </c>
      <c r="J411" s="35">
        <v>13.63</v>
      </c>
    </row>
    <row r="412">
      <c r="A412" s="34">
        <v>411.0</v>
      </c>
      <c r="B412" s="34">
        <v>2017.0</v>
      </c>
      <c r="C412" s="34">
        <v>1.0</v>
      </c>
      <c r="D412" s="34">
        <v>5.0</v>
      </c>
      <c r="E412" s="34">
        <v>4.0</v>
      </c>
      <c r="F412" s="35" t="s">
        <v>145</v>
      </c>
      <c r="G412" s="35" t="s">
        <v>161</v>
      </c>
      <c r="H412" s="35">
        <v>7.5</v>
      </c>
      <c r="I412" s="34">
        <v>10.0</v>
      </c>
      <c r="J412" s="35">
        <v>17.5</v>
      </c>
    </row>
    <row r="413">
      <c r="A413" s="34">
        <v>412.0</v>
      </c>
      <c r="B413" s="34">
        <v>2017.0</v>
      </c>
      <c r="C413" s="34">
        <v>1.0</v>
      </c>
      <c r="D413" s="34">
        <v>5.0</v>
      </c>
      <c r="E413" s="34">
        <v>4.0</v>
      </c>
      <c r="F413" s="35" t="s">
        <v>145</v>
      </c>
      <c r="G413" s="35" t="s">
        <v>158</v>
      </c>
      <c r="H413" s="35">
        <v>6.33</v>
      </c>
      <c r="I413" s="35">
        <v>7.5</v>
      </c>
      <c r="J413" s="35">
        <v>13.83</v>
      </c>
    </row>
    <row r="414">
      <c r="A414" s="34">
        <v>413.0</v>
      </c>
      <c r="B414" s="34">
        <v>2017.0</v>
      </c>
      <c r="C414" s="34">
        <v>1.0</v>
      </c>
      <c r="D414" s="34">
        <v>6.0</v>
      </c>
      <c r="E414" s="34">
        <v>1.0</v>
      </c>
      <c r="F414" s="35" t="s">
        <v>145</v>
      </c>
      <c r="G414" s="35" t="s">
        <v>162</v>
      </c>
      <c r="H414" s="35">
        <v>8.67</v>
      </c>
      <c r="I414" s="35">
        <v>9.93</v>
      </c>
      <c r="J414" s="35">
        <v>18.6</v>
      </c>
    </row>
    <row r="415">
      <c r="A415" s="34">
        <v>414.0</v>
      </c>
      <c r="B415" s="34">
        <v>2017.0</v>
      </c>
      <c r="C415" s="34">
        <v>1.0</v>
      </c>
      <c r="D415" s="34">
        <v>6.0</v>
      </c>
      <c r="E415" s="34">
        <v>1.0</v>
      </c>
      <c r="F415" s="35" t="s">
        <v>145</v>
      </c>
      <c r="G415" s="35" t="s">
        <v>148</v>
      </c>
      <c r="H415" s="35">
        <v>6.6</v>
      </c>
      <c r="I415" s="35">
        <v>7.1</v>
      </c>
      <c r="J415" s="35">
        <v>13.7</v>
      </c>
    </row>
    <row r="416">
      <c r="A416" s="34">
        <v>415.0</v>
      </c>
      <c r="B416" s="34">
        <v>2017.0</v>
      </c>
      <c r="C416" s="34">
        <v>1.0</v>
      </c>
      <c r="D416" s="34">
        <v>6.0</v>
      </c>
      <c r="E416" s="34">
        <v>2.0</v>
      </c>
      <c r="F416" s="35" t="s">
        <v>145</v>
      </c>
      <c r="G416" s="35" t="s">
        <v>161</v>
      </c>
      <c r="H416" s="35">
        <v>7.5</v>
      </c>
      <c r="I416" s="35">
        <v>8.77</v>
      </c>
      <c r="J416" s="35">
        <v>16.27</v>
      </c>
    </row>
    <row r="417">
      <c r="A417" s="34">
        <v>416.0</v>
      </c>
      <c r="B417" s="34">
        <v>2017.0</v>
      </c>
      <c r="C417" s="34">
        <v>1.0</v>
      </c>
      <c r="D417" s="34">
        <v>6.0</v>
      </c>
      <c r="E417" s="34">
        <v>2.0</v>
      </c>
      <c r="F417" s="35" t="s">
        <v>145</v>
      </c>
      <c r="G417" s="35" t="s">
        <v>146</v>
      </c>
      <c r="H417" s="35">
        <v>6.93</v>
      </c>
      <c r="I417" s="35">
        <v>7.93</v>
      </c>
      <c r="J417" s="35">
        <v>14.86</v>
      </c>
    </row>
    <row r="418">
      <c r="A418" s="34">
        <v>417.0</v>
      </c>
      <c r="B418" s="34">
        <v>2017.0</v>
      </c>
      <c r="C418" s="34">
        <v>1.0</v>
      </c>
      <c r="D418" s="34">
        <v>7.0</v>
      </c>
      <c r="E418" s="34">
        <v>1.0</v>
      </c>
      <c r="F418" s="35" t="s">
        <v>145</v>
      </c>
      <c r="G418" s="35" t="s">
        <v>161</v>
      </c>
      <c r="H418" s="35">
        <v>7.93</v>
      </c>
      <c r="I418" s="35">
        <v>8.67</v>
      </c>
      <c r="J418" s="35">
        <v>16.6</v>
      </c>
    </row>
    <row r="419">
      <c r="A419" s="34">
        <v>418.0</v>
      </c>
      <c r="B419" s="34">
        <v>2017.0</v>
      </c>
      <c r="C419" s="34">
        <v>1.0</v>
      </c>
      <c r="D419" s="34">
        <v>7.0</v>
      </c>
      <c r="E419" s="34">
        <v>1.0</v>
      </c>
      <c r="F419" s="35" t="s">
        <v>145</v>
      </c>
      <c r="G419" s="35" t="s">
        <v>162</v>
      </c>
      <c r="H419" s="35">
        <v>5.83</v>
      </c>
      <c r="I419" s="35">
        <v>6.83</v>
      </c>
      <c r="J419" s="35">
        <v>12.66</v>
      </c>
    </row>
    <row r="420">
      <c r="A420" s="34">
        <v>419.0</v>
      </c>
      <c r="B420" s="34">
        <v>2017.0</v>
      </c>
      <c r="C420" s="34">
        <v>2.0</v>
      </c>
      <c r="D420" s="34">
        <v>1.0</v>
      </c>
      <c r="E420" s="34">
        <v>1.0</v>
      </c>
      <c r="F420" s="35" t="s">
        <v>145</v>
      </c>
      <c r="G420" s="35" t="s">
        <v>163</v>
      </c>
      <c r="H420" s="35">
        <v>6.33</v>
      </c>
      <c r="I420" s="35">
        <v>6.6</v>
      </c>
      <c r="J420" s="35">
        <v>12.93</v>
      </c>
    </row>
    <row r="421">
      <c r="A421" s="34">
        <v>420.0</v>
      </c>
      <c r="B421" s="34">
        <v>2017.0</v>
      </c>
      <c r="C421" s="34">
        <v>2.0</v>
      </c>
      <c r="D421" s="34">
        <v>1.0</v>
      </c>
      <c r="E421" s="34">
        <v>1.0</v>
      </c>
      <c r="F421" s="35" t="s">
        <v>145</v>
      </c>
      <c r="G421" s="35" t="s">
        <v>148</v>
      </c>
      <c r="H421" s="35">
        <v>5.17</v>
      </c>
      <c r="I421" s="35">
        <v>3.33</v>
      </c>
      <c r="J421" s="35">
        <v>8.5</v>
      </c>
    </row>
    <row r="422">
      <c r="A422" s="34">
        <v>421.0</v>
      </c>
      <c r="B422" s="34">
        <v>2017.0</v>
      </c>
      <c r="C422" s="34">
        <v>2.0</v>
      </c>
      <c r="D422" s="34">
        <v>1.0</v>
      </c>
      <c r="E422" s="34">
        <v>1.0</v>
      </c>
      <c r="F422" s="35" t="s">
        <v>145</v>
      </c>
      <c r="G422" s="35" t="s">
        <v>151</v>
      </c>
      <c r="H422" s="35">
        <v>0.2</v>
      </c>
      <c r="I422" s="35">
        <v>2.77</v>
      </c>
      <c r="J422" s="35">
        <v>2.97</v>
      </c>
    </row>
    <row r="423">
      <c r="A423" s="34">
        <v>422.0</v>
      </c>
      <c r="B423" s="34">
        <v>2017.0</v>
      </c>
      <c r="C423" s="34">
        <v>2.0</v>
      </c>
      <c r="D423" s="34">
        <v>1.0</v>
      </c>
      <c r="E423" s="34">
        <v>2.0</v>
      </c>
      <c r="F423" s="35" t="s">
        <v>145</v>
      </c>
      <c r="G423" s="35" t="s">
        <v>155</v>
      </c>
      <c r="H423" s="35">
        <v>6.33</v>
      </c>
      <c r="I423" s="35">
        <v>4.33</v>
      </c>
      <c r="J423" s="35">
        <v>10.66</v>
      </c>
    </row>
    <row r="424">
      <c r="A424" s="34">
        <v>423.0</v>
      </c>
      <c r="B424" s="34">
        <v>2017.0</v>
      </c>
      <c r="C424" s="34">
        <v>2.0</v>
      </c>
      <c r="D424" s="34">
        <v>1.0</v>
      </c>
      <c r="E424" s="34">
        <v>2.0</v>
      </c>
      <c r="F424" s="35" t="s">
        <v>145</v>
      </c>
      <c r="G424" s="35" t="s">
        <v>150</v>
      </c>
      <c r="H424" s="35">
        <v>6.27</v>
      </c>
      <c r="I424" s="35">
        <v>3.8</v>
      </c>
      <c r="J424" s="35">
        <v>10.07</v>
      </c>
    </row>
    <row r="425">
      <c r="A425" s="34">
        <v>424.0</v>
      </c>
      <c r="B425" s="34">
        <v>2017.0</v>
      </c>
      <c r="C425" s="34">
        <v>2.0</v>
      </c>
      <c r="D425" s="34">
        <v>1.0</v>
      </c>
      <c r="E425" s="34">
        <v>2.0</v>
      </c>
      <c r="F425" s="35" t="s">
        <v>145</v>
      </c>
      <c r="G425" s="35" t="s">
        <v>159</v>
      </c>
      <c r="H425" s="34">
        <v>4.0</v>
      </c>
      <c r="I425" s="35">
        <v>0.57</v>
      </c>
      <c r="J425" s="35">
        <v>4.57</v>
      </c>
    </row>
    <row r="426">
      <c r="A426" s="34">
        <v>425.0</v>
      </c>
      <c r="B426" s="34">
        <v>2017.0</v>
      </c>
      <c r="C426" s="34">
        <v>2.0</v>
      </c>
      <c r="D426" s="34">
        <v>1.0</v>
      </c>
      <c r="E426" s="34">
        <v>3.0</v>
      </c>
      <c r="F426" s="35" t="s">
        <v>145</v>
      </c>
      <c r="G426" s="35" t="s">
        <v>153</v>
      </c>
      <c r="H426" s="35">
        <v>7.67</v>
      </c>
      <c r="I426" s="35">
        <v>8.67</v>
      </c>
      <c r="J426" s="35">
        <v>16.34</v>
      </c>
    </row>
    <row r="427">
      <c r="A427" s="34">
        <v>426.0</v>
      </c>
      <c r="B427" s="34">
        <v>2017.0</v>
      </c>
      <c r="C427" s="34">
        <v>2.0</v>
      </c>
      <c r="D427" s="34">
        <v>1.0</v>
      </c>
      <c r="E427" s="34">
        <v>3.0</v>
      </c>
      <c r="F427" s="35" t="s">
        <v>145</v>
      </c>
      <c r="G427" s="35" t="s">
        <v>164</v>
      </c>
      <c r="H427" s="35">
        <v>5.37</v>
      </c>
      <c r="I427" s="35">
        <v>5.97</v>
      </c>
      <c r="J427" s="35">
        <v>11.34</v>
      </c>
    </row>
    <row r="428">
      <c r="A428" s="34">
        <v>427.0</v>
      </c>
      <c r="B428" s="34">
        <v>2017.0</v>
      </c>
      <c r="C428" s="34">
        <v>2.0</v>
      </c>
      <c r="D428" s="34">
        <v>1.0</v>
      </c>
      <c r="E428" s="34">
        <v>3.0</v>
      </c>
      <c r="F428" s="35" t="s">
        <v>145</v>
      </c>
      <c r="G428" s="35" t="s">
        <v>147</v>
      </c>
      <c r="H428" s="34">
        <v>2.0</v>
      </c>
      <c r="I428" s="35">
        <v>5.83</v>
      </c>
      <c r="J428" s="35">
        <v>7.83</v>
      </c>
    </row>
    <row r="429">
      <c r="A429" s="34">
        <v>428.0</v>
      </c>
      <c r="B429" s="34">
        <v>2017.0</v>
      </c>
      <c r="C429" s="34">
        <v>2.0</v>
      </c>
      <c r="D429" s="34">
        <v>1.0</v>
      </c>
      <c r="E429" s="34">
        <v>4.0</v>
      </c>
      <c r="F429" s="35" t="s">
        <v>145</v>
      </c>
      <c r="G429" s="35" t="s">
        <v>161</v>
      </c>
      <c r="H429" s="35">
        <v>7.5</v>
      </c>
      <c r="I429" s="35">
        <v>6.6</v>
      </c>
      <c r="J429" s="35">
        <v>14.1</v>
      </c>
    </row>
    <row r="430">
      <c r="A430" s="34">
        <v>429.0</v>
      </c>
      <c r="B430" s="34">
        <v>2017.0</v>
      </c>
      <c r="C430" s="34">
        <v>2.0</v>
      </c>
      <c r="D430" s="34">
        <v>1.0</v>
      </c>
      <c r="E430" s="34">
        <v>4.0</v>
      </c>
      <c r="F430" s="35" t="s">
        <v>145</v>
      </c>
      <c r="G430" s="35" t="s">
        <v>165</v>
      </c>
      <c r="H430" s="35">
        <v>3.67</v>
      </c>
      <c r="I430" s="35">
        <v>6.5</v>
      </c>
      <c r="J430" s="35">
        <v>10.17</v>
      </c>
    </row>
    <row r="431">
      <c r="A431" s="34">
        <v>430.0</v>
      </c>
      <c r="B431" s="34">
        <v>2017.0</v>
      </c>
      <c r="C431" s="34">
        <v>2.0</v>
      </c>
      <c r="D431" s="34">
        <v>1.0</v>
      </c>
      <c r="E431" s="34">
        <v>4.0</v>
      </c>
      <c r="F431" s="35" t="s">
        <v>145</v>
      </c>
      <c r="G431" s="35" t="s">
        <v>152</v>
      </c>
      <c r="H431" s="35">
        <v>3.83</v>
      </c>
      <c r="I431" s="34">
        <v>5.0</v>
      </c>
      <c r="J431" s="35">
        <v>8.83</v>
      </c>
    </row>
    <row r="432">
      <c r="A432" s="34">
        <v>431.0</v>
      </c>
      <c r="B432" s="34">
        <v>2017.0</v>
      </c>
      <c r="C432" s="34">
        <v>2.0</v>
      </c>
      <c r="D432" s="34">
        <v>1.0</v>
      </c>
      <c r="E432" s="34">
        <v>5.0</v>
      </c>
      <c r="F432" s="35" t="s">
        <v>145</v>
      </c>
      <c r="G432" s="35" t="s">
        <v>158</v>
      </c>
      <c r="H432" s="35">
        <v>6.33</v>
      </c>
      <c r="I432" s="35">
        <v>5.27</v>
      </c>
      <c r="J432" s="35">
        <v>11.6</v>
      </c>
    </row>
    <row r="433">
      <c r="A433" s="34">
        <v>432.0</v>
      </c>
      <c r="B433" s="34">
        <v>2017.0</v>
      </c>
      <c r="C433" s="34">
        <v>2.0</v>
      </c>
      <c r="D433" s="34">
        <v>1.0</v>
      </c>
      <c r="E433" s="34">
        <v>5.0</v>
      </c>
      <c r="F433" s="35" t="s">
        <v>145</v>
      </c>
      <c r="G433" s="35" t="s">
        <v>162</v>
      </c>
      <c r="H433" s="35">
        <v>3.73</v>
      </c>
      <c r="I433" s="35">
        <v>5.17</v>
      </c>
      <c r="J433" s="35">
        <v>8.9</v>
      </c>
    </row>
    <row r="434">
      <c r="A434" s="34">
        <v>433.0</v>
      </c>
      <c r="B434" s="34">
        <v>2017.0</v>
      </c>
      <c r="C434" s="34">
        <v>2.0</v>
      </c>
      <c r="D434" s="34">
        <v>1.0</v>
      </c>
      <c r="E434" s="34">
        <v>5.0</v>
      </c>
      <c r="F434" s="35" t="s">
        <v>145</v>
      </c>
      <c r="G434" s="35" t="s">
        <v>156</v>
      </c>
      <c r="H434" s="35">
        <v>2.5</v>
      </c>
      <c r="I434" s="35">
        <v>2.03</v>
      </c>
      <c r="J434" s="35">
        <v>4.53</v>
      </c>
    </row>
    <row r="435">
      <c r="A435" s="34">
        <v>434.0</v>
      </c>
      <c r="B435" s="34">
        <v>2017.0</v>
      </c>
      <c r="C435" s="34">
        <v>2.0</v>
      </c>
      <c r="D435" s="34">
        <v>1.0</v>
      </c>
      <c r="E435" s="34">
        <v>6.0</v>
      </c>
      <c r="F435" s="35" t="s">
        <v>145</v>
      </c>
      <c r="G435" s="35" t="s">
        <v>146</v>
      </c>
      <c r="H435" s="35">
        <v>8.83</v>
      </c>
      <c r="I435" s="34">
        <v>4.0</v>
      </c>
      <c r="J435" s="35">
        <v>12.83</v>
      </c>
    </row>
    <row r="436">
      <c r="A436" s="34">
        <v>435.0</v>
      </c>
      <c r="B436" s="34">
        <v>2017.0</v>
      </c>
      <c r="C436" s="34">
        <v>2.0</v>
      </c>
      <c r="D436" s="34">
        <v>1.0</v>
      </c>
      <c r="E436" s="34">
        <v>6.0</v>
      </c>
      <c r="F436" s="35" t="s">
        <v>145</v>
      </c>
      <c r="G436" s="35" t="s">
        <v>157</v>
      </c>
      <c r="H436" s="35">
        <v>6.67</v>
      </c>
      <c r="I436" s="35">
        <v>4.5</v>
      </c>
      <c r="J436" s="35">
        <v>11.17</v>
      </c>
    </row>
    <row r="437">
      <c r="A437" s="34">
        <v>436.0</v>
      </c>
      <c r="B437" s="34">
        <v>2017.0</v>
      </c>
      <c r="C437" s="34">
        <v>2.0</v>
      </c>
      <c r="D437" s="34">
        <v>1.0</v>
      </c>
      <c r="E437" s="34">
        <v>6.0</v>
      </c>
      <c r="F437" s="35" t="s">
        <v>145</v>
      </c>
      <c r="G437" s="35" t="s">
        <v>149</v>
      </c>
      <c r="H437" s="34">
        <v>2.0</v>
      </c>
      <c r="I437" s="35">
        <v>3.87</v>
      </c>
      <c r="J437" s="35">
        <v>5.87</v>
      </c>
    </row>
    <row r="438">
      <c r="A438" s="34">
        <v>437.0</v>
      </c>
      <c r="B438" s="34">
        <v>2017.0</v>
      </c>
      <c r="C438" s="34">
        <v>2.0</v>
      </c>
      <c r="D438" s="34">
        <v>2.0</v>
      </c>
      <c r="E438" s="34">
        <v>1.0</v>
      </c>
      <c r="F438" s="35" t="s">
        <v>145</v>
      </c>
      <c r="G438" s="35" t="s">
        <v>152</v>
      </c>
      <c r="H438" s="35">
        <v>7.17</v>
      </c>
      <c r="I438" s="35">
        <v>6.67</v>
      </c>
      <c r="J438" s="35">
        <v>13.84</v>
      </c>
    </row>
    <row r="439">
      <c r="A439" s="34">
        <v>438.0</v>
      </c>
      <c r="B439" s="34">
        <v>2017.0</v>
      </c>
      <c r="C439" s="34">
        <v>2.0</v>
      </c>
      <c r="D439" s="34">
        <v>2.0</v>
      </c>
      <c r="E439" s="34">
        <v>1.0</v>
      </c>
      <c r="F439" s="35" t="s">
        <v>145</v>
      </c>
      <c r="G439" s="35" t="s">
        <v>151</v>
      </c>
      <c r="H439" s="34">
        <v>8.0</v>
      </c>
      <c r="I439" s="35">
        <v>4.83</v>
      </c>
      <c r="J439" s="35">
        <v>12.83</v>
      </c>
    </row>
    <row r="440">
      <c r="A440" s="34">
        <v>439.0</v>
      </c>
      <c r="B440" s="34">
        <v>2017.0</v>
      </c>
      <c r="C440" s="34">
        <v>2.0</v>
      </c>
      <c r="D440" s="34">
        <v>2.0</v>
      </c>
      <c r="E440" s="34">
        <v>2.0</v>
      </c>
      <c r="F440" s="35" t="s">
        <v>145</v>
      </c>
      <c r="G440" s="35" t="s">
        <v>159</v>
      </c>
      <c r="H440" s="35">
        <v>6.83</v>
      </c>
      <c r="I440" s="35">
        <v>6.27</v>
      </c>
      <c r="J440" s="35">
        <v>13.1</v>
      </c>
    </row>
    <row r="441">
      <c r="A441" s="34">
        <v>440.0</v>
      </c>
      <c r="B441" s="34">
        <v>2017.0</v>
      </c>
      <c r="C441" s="34">
        <v>2.0</v>
      </c>
      <c r="D441" s="34">
        <v>2.0</v>
      </c>
      <c r="E441" s="34">
        <v>2.0</v>
      </c>
      <c r="F441" s="35" t="s">
        <v>145</v>
      </c>
      <c r="G441" s="35" t="s">
        <v>162</v>
      </c>
      <c r="H441" s="35">
        <v>3.17</v>
      </c>
      <c r="I441" s="35">
        <v>4.33</v>
      </c>
      <c r="J441" s="35">
        <v>7.5</v>
      </c>
    </row>
    <row r="442">
      <c r="A442" s="34">
        <v>441.0</v>
      </c>
      <c r="B442" s="34">
        <v>2017.0</v>
      </c>
      <c r="C442" s="34">
        <v>2.0</v>
      </c>
      <c r="D442" s="34">
        <v>2.0</v>
      </c>
      <c r="E442" s="34">
        <v>3.0</v>
      </c>
      <c r="F442" s="35" t="s">
        <v>145</v>
      </c>
      <c r="G442" s="35" t="s">
        <v>148</v>
      </c>
      <c r="H442" s="34">
        <v>8.0</v>
      </c>
      <c r="I442" s="35">
        <v>7.27</v>
      </c>
      <c r="J442" s="35">
        <v>15.27</v>
      </c>
    </row>
    <row r="443">
      <c r="A443" s="34">
        <v>442.0</v>
      </c>
      <c r="B443" s="34">
        <v>2017.0</v>
      </c>
      <c r="C443" s="34">
        <v>2.0</v>
      </c>
      <c r="D443" s="34">
        <v>2.0</v>
      </c>
      <c r="E443" s="34">
        <v>3.0</v>
      </c>
      <c r="F443" s="35" t="s">
        <v>145</v>
      </c>
      <c r="G443" s="35" t="s">
        <v>164</v>
      </c>
      <c r="H443" s="34">
        <v>5.0</v>
      </c>
      <c r="I443" s="35">
        <v>2.67</v>
      </c>
      <c r="J443" s="35">
        <v>7.67</v>
      </c>
    </row>
    <row r="444">
      <c r="A444" s="34">
        <v>443.0</v>
      </c>
      <c r="B444" s="34">
        <v>2017.0</v>
      </c>
      <c r="C444" s="34">
        <v>2.0</v>
      </c>
      <c r="D444" s="34">
        <v>2.0</v>
      </c>
      <c r="E444" s="34">
        <v>4.0</v>
      </c>
      <c r="F444" s="35" t="s">
        <v>145</v>
      </c>
      <c r="G444" s="35" t="s">
        <v>149</v>
      </c>
      <c r="H444" s="34">
        <v>7.0</v>
      </c>
      <c r="I444" s="35">
        <v>8.17</v>
      </c>
      <c r="J444" s="35">
        <v>15.17</v>
      </c>
    </row>
    <row r="445">
      <c r="A445" s="34">
        <v>444.0</v>
      </c>
      <c r="B445" s="34">
        <v>2017.0</v>
      </c>
      <c r="C445" s="34">
        <v>2.0</v>
      </c>
      <c r="D445" s="34">
        <v>2.0</v>
      </c>
      <c r="E445" s="34">
        <v>4.0</v>
      </c>
      <c r="F445" s="35" t="s">
        <v>145</v>
      </c>
      <c r="G445" s="35" t="s">
        <v>165</v>
      </c>
      <c r="H445" s="35">
        <v>3.33</v>
      </c>
      <c r="I445" s="35">
        <v>6.33</v>
      </c>
      <c r="J445" s="35">
        <v>9.66</v>
      </c>
    </row>
    <row r="446">
      <c r="A446" s="34">
        <v>445.0</v>
      </c>
      <c r="B446" s="34">
        <v>2017.0</v>
      </c>
      <c r="C446" s="34">
        <v>2.0</v>
      </c>
      <c r="D446" s="34">
        <v>2.0</v>
      </c>
      <c r="E446" s="34">
        <v>5.0</v>
      </c>
      <c r="F446" s="35" t="s">
        <v>145</v>
      </c>
      <c r="G446" s="35" t="s">
        <v>150</v>
      </c>
      <c r="H446" s="35">
        <v>7.17</v>
      </c>
      <c r="I446" s="35">
        <v>7.5</v>
      </c>
      <c r="J446" s="35">
        <v>14.67</v>
      </c>
    </row>
    <row r="447">
      <c r="A447" s="34">
        <v>446.0</v>
      </c>
      <c r="B447" s="34">
        <v>2017.0</v>
      </c>
      <c r="C447" s="34">
        <v>2.0</v>
      </c>
      <c r="D447" s="34">
        <v>2.0</v>
      </c>
      <c r="E447" s="34">
        <v>5.0</v>
      </c>
      <c r="F447" s="35" t="s">
        <v>145</v>
      </c>
      <c r="G447" s="35" t="s">
        <v>156</v>
      </c>
      <c r="H447" s="35">
        <v>5.7</v>
      </c>
      <c r="I447" s="35">
        <v>6.17</v>
      </c>
      <c r="J447" s="35">
        <v>11.87</v>
      </c>
    </row>
    <row r="448">
      <c r="A448" s="34">
        <v>447.0</v>
      </c>
      <c r="B448" s="34">
        <v>2017.0</v>
      </c>
      <c r="C448" s="34">
        <v>2.0</v>
      </c>
      <c r="D448" s="34">
        <v>2.0</v>
      </c>
      <c r="E448" s="34">
        <v>6.0</v>
      </c>
      <c r="F448" s="35" t="s">
        <v>145</v>
      </c>
      <c r="G448" s="35" t="s">
        <v>147</v>
      </c>
      <c r="H448" s="35">
        <v>5.83</v>
      </c>
      <c r="I448" s="35">
        <v>6.83</v>
      </c>
      <c r="J448" s="35">
        <v>12.66</v>
      </c>
    </row>
    <row r="449">
      <c r="A449" s="34">
        <v>448.0</v>
      </c>
      <c r="B449" s="34">
        <v>2017.0</v>
      </c>
      <c r="C449" s="34">
        <v>2.0</v>
      </c>
      <c r="D449" s="34">
        <v>2.0</v>
      </c>
      <c r="E449" s="34">
        <v>6.0</v>
      </c>
      <c r="F449" s="35" t="s">
        <v>145</v>
      </c>
      <c r="G449" s="35" t="s">
        <v>157</v>
      </c>
      <c r="H449" s="35">
        <v>4.33</v>
      </c>
      <c r="I449" s="35">
        <v>3.63</v>
      </c>
      <c r="J449" s="35">
        <v>7.96</v>
      </c>
    </row>
    <row r="450">
      <c r="A450" s="34">
        <v>449.0</v>
      </c>
      <c r="B450" s="34">
        <v>2017.0</v>
      </c>
      <c r="C450" s="34">
        <v>2.0</v>
      </c>
      <c r="D450" s="34">
        <v>3.0</v>
      </c>
      <c r="E450" s="34">
        <v>1.0</v>
      </c>
      <c r="F450" s="35" t="s">
        <v>145</v>
      </c>
      <c r="G450" s="35" t="s">
        <v>155</v>
      </c>
      <c r="H450" s="35">
        <v>7.43</v>
      </c>
      <c r="I450" s="35">
        <v>8.27</v>
      </c>
      <c r="J450" s="35">
        <v>15.7</v>
      </c>
    </row>
    <row r="451">
      <c r="A451" s="34">
        <v>450.0</v>
      </c>
      <c r="B451" s="34">
        <v>2017.0</v>
      </c>
      <c r="C451" s="34">
        <v>2.0</v>
      </c>
      <c r="D451" s="34">
        <v>3.0</v>
      </c>
      <c r="E451" s="34">
        <v>1.0</v>
      </c>
      <c r="F451" s="35" t="s">
        <v>145</v>
      </c>
      <c r="G451" s="35" t="s">
        <v>159</v>
      </c>
      <c r="H451" s="35">
        <v>6.5</v>
      </c>
      <c r="I451" s="35">
        <v>6.27</v>
      </c>
      <c r="J451" s="35">
        <v>12.77</v>
      </c>
    </row>
    <row r="452">
      <c r="A452" s="34">
        <v>451.0</v>
      </c>
      <c r="B452" s="34">
        <v>2017.0</v>
      </c>
      <c r="C452" s="34">
        <v>2.0</v>
      </c>
      <c r="D452" s="34">
        <v>3.0</v>
      </c>
      <c r="E452" s="34">
        <v>1.0</v>
      </c>
      <c r="F452" s="35" t="s">
        <v>145</v>
      </c>
      <c r="G452" s="35" t="s">
        <v>148</v>
      </c>
      <c r="H452" s="35">
        <v>4.7</v>
      </c>
      <c r="I452" s="35">
        <v>5.2</v>
      </c>
      <c r="J452" s="35">
        <v>9.9</v>
      </c>
    </row>
    <row r="453">
      <c r="A453" s="34">
        <v>452.0</v>
      </c>
      <c r="B453" s="34">
        <v>2017.0</v>
      </c>
      <c r="C453" s="34">
        <v>2.0</v>
      </c>
      <c r="D453" s="34">
        <v>3.0</v>
      </c>
      <c r="E453" s="34">
        <v>2.0</v>
      </c>
      <c r="F453" s="35" t="s">
        <v>145</v>
      </c>
      <c r="G453" s="35" t="s">
        <v>153</v>
      </c>
      <c r="H453" s="35">
        <v>9.57</v>
      </c>
      <c r="I453" s="35">
        <v>8.37</v>
      </c>
      <c r="J453" s="35">
        <v>17.94</v>
      </c>
    </row>
    <row r="454">
      <c r="A454" s="34">
        <v>453.0</v>
      </c>
      <c r="B454" s="34">
        <v>2017.0</v>
      </c>
      <c r="C454" s="34">
        <v>2.0</v>
      </c>
      <c r="D454" s="34">
        <v>3.0</v>
      </c>
      <c r="E454" s="34">
        <v>2.0</v>
      </c>
      <c r="F454" s="35" t="s">
        <v>145</v>
      </c>
      <c r="G454" s="35" t="s">
        <v>163</v>
      </c>
      <c r="H454" s="34">
        <v>8.0</v>
      </c>
      <c r="I454" s="34">
        <v>9.0</v>
      </c>
      <c r="J454" s="34">
        <v>17.0</v>
      </c>
    </row>
    <row r="455">
      <c r="A455" s="34">
        <v>454.0</v>
      </c>
      <c r="B455" s="34">
        <v>2017.0</v>
      </c>
      <c r="C455" s="34">
        <v>2.0</v>
      </c>
      <c r="D455" s="34">
        <v>3.0</v>
      </c>
      <c r="E455" s="34">
        <v>2.0</v>
      </c>
      <c r="F455" s="35" t="s">
        <v>145</v>
      </c>
      <c r="G455" s="35" t="s">
        <v>150</v>
      </c>
      <c r="H455" s="35">
        <v>5.17</v>
      </c>
      <c r="I455" s="35">
        <v>6.77</v>
      </c>
      <c r="J455" s="35">
        <v>11.94</v>
      </c>
    </row>
    <row r="456">
      <c r="A456" s="34">
        <v>455.0</v>
      </c>
      <c r="B456" s="34">
        <v>2017.0</v>
      </c>
      <c r="C456" s="34">
        <v>2.0</v>
      </c>
      <c r="D456" s="34">
        <v>3.0</v>
      </c>
      <c r="E456" s="34">
        <v>3.0</v>
      </c>
      <c r="F456" s="35" t="s">
        <v>145</v>
      </c>
      <c r="G456" s="35" t="s">
        <v>161</v>
      </c>
      <c r="H456" s="35">
        <v>5.57</v>
      </c>
      <c r="I456" s="35">
        <v>9.1</v>
      </c>
      <c r="J456" s="35">
        <v>14.67</v>
      </c>
    </row>
    <row r="457">
      <c r="A457" s="34">
        <v>456.0</v>
      </c>
      <c r="B457" s="34">
        <v>2017.0</v>
      </c>
      <c r="C457" s="34">
        <v>2.0</v>
      </c>
      <c r="D457" s="34">
        <v>3.0</v>
      </c>
      <c r="E457" s="34">
        <v>3.0</v>
      </c>
      <c r="F457" s="35" t="s">
        <v>145</v>
      </c>
      <c r="G457" s="35" t="s">
        <v>152</v>
      </c>
      <c r="H457" s="35">
        <v>6.67</v>
      </c>
      <c r="I457" s="35">
        <v>7.1</v>
      </c>
      <c r="J457" s="35">
        <v>13.77</v>
      </c>
    </row>
    <row r="458">
      <c r="A458" s="34">
        <v>457.0</v>
      </c>
      <c r="B458" s="34">
        <v>2017.0</v>
      </c>
      <c r="C458" s="34">
        <v>2.0</v>
      </c>
      <c r="D458" s="34">
        <v>3.0</v>
      </c>
      <c r="E458" s="34">
        <v>3.0</v>
      </c>
      <c r="F458" s="35" t="s">
        <v>145</v>
      </c>
      <c r="G458" s="35" t="s">
        <v>149</v>
      </c>
      <c r="H458" s="34">
        <v>5.0</v>
      </c>
      <c r="I458" s="35">
        <v>7.7</v>
      </c>
      <c r="J458" s="35">
        <v>12.7</v>
      </c>
    </row>
    <row r="459">
      <c r="A459" s="34">
        <v>458.0</v>
      </c>
      <c r="B459" s="34">
        <v>2017.0</v>
      </c>
      <c r="C459" s="34">
        <v>2.0</v>
      </c>
      <c r="D459" s="34">
        <v>3.0</v>
      </c>
      <c r="E459" s="34">
        <v>4.0</v>
      </c>
      <c r="F459" s="35" t="s">
        <v>145</v>
      </c>
      <c r="G459" s="35" t="s">
        <v>158</v>
      </c>
      <c r="H459" s="35">
        <v>7.9</v>
      </c>
      <c r="I459" s="35">
        <v>9.57</v>
      </c>
      <c r="J459" s="35">
        <v>17.47</v>
      </c>
    </row>
    <row r="460">
      <c r="A460" s="34">
        <v>459.0</v>
      </c>
      <c r="B460" s="34">
        <v>2017.0</v>
      </c>
      <c r="C460" s="34">
        <v>2.0</v>
      </c>
      <c r="D460" s="34">
        <v>3.0</v>
      </c>
      <c r="E460" s="34">
        <v>4.0</v>
      </c>
      <c r="F460" s="35" t="s">
        <v>145</v>
      </c>
      <c r="G460" s="35" t="s">
        <v>146</v>
      </c>
      <c r="H460" s="35">
        <v>6.5</v>
      </c>
      <c r="I460" s="35">
        <v>7.03</v>
      </c>
      <c r="J460" s="35">
        <v>13.53</v>
      </c>
    </row>
    <row r="461">
      <c r="A461" s="34">
        <v>460.0</v>
      </c>
      <c r="B461" s="34">
        <v>2017.0</v>
      </c>
      <c r="C461" s="34">
        <v>2.0</v>
      </c>
      <c r="D461" s="34">
        <v>3.0</v>
      </c>
      <c r="E461" s="34">
        <v>4.0</v>
      </c>
      <c r="F461" s="35" t="s">
        <v>145</v>
      </c>
      <c r="G461" s="35" t="s">
        <v>147</v>
      </c>
      <c r="H461" s="35">
        <v>4.67</v>
      </c>
      <c r="I461" s="35">
        <v>5.6</v>
      </c>
      <c r="J461" s="35">
        <v>10.27</v>
      </c>
    </row>
    <row r="462">
      <c r="A462" s="34">
        <v>461.0</v>
      </c>
      <c r="B462" s="34">
        <v>2017.0</v>
      </c>
      <c r="C462" s="34">
        <v>2.0</v>
      </c>
      <c r="D462" s="34">
        <v>4.0</v>
      </c>
      <c r="E462" s="34">
        <v>1.0</v>
      </c>
      <c r="F462" s="35" t="s">
        <v>145</v>
      </c>
      <c r="G462" s="35" t="s">
        <v>150</v>
      </c>
      <c r="H462" s="35">
        <v>6.83</v>
      </c>
      <c r="I462" s="35">
        <v>7.93</v>
      </c>
      <c r="J462" s="35">
        <v>14.76</v>
      </c>
    </row>
    <row r="463">
      <c r="A463" s="34">
        <v>462.0</v>
      </c>
      <c r="B463" s="34">
        <v>2017.0</v>
      </c>
      <c r="C463" s="34">
        <v>2.0</v>
      </c>
      <c r="D463" s="34">
        <v>4.0</v>
      </c>
      <c r="E463" s="34">
        <v>1.0</v>
      </c>
      <c r="F463" s="35" t="s">
        <v>145</v>
      </c>
      <c r="G463" s="35" t="s">
        <v>159</v>
      </c>
      <c r="H463" s="35">
        <v>6.6</v>
      </c>
      <c r="I463" s="35">
        <v>4.23</v>
      </c>
      <c r="J463" s="35">
        <v>10.83</v>
      </c>
    </row>
    <row r="464">
      <c r="A464" s="34">
        <v>463.0</v>
      </c>
      <c r="B464" s="34">
        <v>2017.0</v>
      </c>
      <c r="C464" s="34">
        <v>2.0</v>
      </c>
      <c r="D464" s="34">
        <v>4.0</v>
      </c>
      <c r="E464" s="34">
        <v>2.0</v>
      </c>
      <c r="F464" s="35" t="s">
        <v>145</v>
      </c>
      <c r="G464" s="35" t="s">
        <v>163</v>
      </c>
      <c r="H464" s="34">
        <v>7.0</v>
      </c>
      <c r="I464" s="35">
        <v>6.67</v>
      </c>
      <c r="J464" s="35">
        <v>13.67</v>
      </c>
    </row>
    <row r="465">
      <c r="A465" s="34">
        <v>464.0</v>
      </c>
      <c r="B465" s="34">
        <v>2017.0</v>
      </c>
      <c r="C465" s="34">
        <v>2.0</v>
      </c>
      <c r="D465" s="34">
        <v>4.0</v>
      </c>
      <c r="E465" s="34">
        <v>2.0</v>
      </c>
      <c r="F465" s="35" t="s">
        <v>145</v>
      </c>
      <c r="G465" s="35" t="s">
        <v>148</v>
      </c>
      <c r="H465" s="35">
        <v>4.67</v>
      </c>
      <c r="I465" s="35">
        <v>4.9</v>
      </c>
      <c r="J465" s="35">
        <v>9.57</v>
      </c>
    </row>
    <row r="466">
      <c r="A466" s="34">
        <v>465.0</v>
      </c>
      <c r="B466" s="34">
        <v>2017.0</v>
      </c>
      <c r="C466" s="34">
        <v>2.0</v>
      </c>
      <c r="D466" s="34">
        <v>4.0</v>
      </c>
      <c r="E466" s="34">
        <v>3.0</v>
      </c>
      <c r="F466" s="35" t="s">
        <v>145</v>
      </c>
      <c r="G466" s="35" t="s">
        <v>152</v>
      </c>
      <c r="H466" s="35">
        <v>7.83</v>
      </c>
      <c r="I466" s="34">
        <v>7.0</v>
      </c>
      <c r="J466" s="35">
        <v>14.83</v>
      </c>
    </row>
    <row r="467">
      <c r="A467" s="34">
        <v>466.0</v>
      </c>
      <c r="B467" s="34">
        <v>2017.0</v>
      </c>
      <c r="C467" s="34">
        <v>2.0</v>
      </c>
      <c r="D467" s="34">
        <v>4.0</v>
      </c>
      <c r="E467" s="34">
        <v>3.0</v>
      </c>
      <c r="F467" s="35" t="s">
        <v>145</v>
      </c>
      <c r="G467" s="35" t="s">
        <v>147</v>
      </c>
      <c r="H467" s="35">
        <v>6.27</v>
      </c>
      <c r="I467" s="35">
        <v>6.43</v>
      </c>
      <c r="J467" s="35">
        <v>12.7</v>
      </c>
    </row>
    <row r="468">
      <c r="A468" s="34">
        <v>467.0</v>
      </c>
      <c r="B468" s="34">
        <v>2017.0</v>
      </c>
      <c r="C468" s="34">
        <v>2.0</v>
      </c>
      <c r="D468" s="34">
        <v>4.0</v>
      </c>
      <c r="E468" s="34">
        <v>4.0</v>
      </c>
      <c r="F468" s="35" t="s">
        <v>145</v>
      </c>
      <c r="G468" s="35" t="s">
        <v>146</v>
      </c>
      <c r="H468" s="35">
        <v>8.67</v>
      </c>
      <c r="I468" s="35">
        <v>8.27</v>
      </c>
      <c r="J468" s="35">
        <v>16.94</v>
      </c>
    </row>
    <row r="469">
      <c r="A469" s="34">
        <v>468.0</v>
      </c>
      <c r="B469" s="34">
        <v>2017.0</v>
      </c>
      <c r="C469" s="34">
        <v>2.0</v>
      </c>
      <c r="D469" s="34">
        <v>4.0</v>
      </c>
      <c r="E469" s="34">
        <v>4.0</v>
      </c>
      <c r="F469" s="35" t="s">
        <v>145</v>
      </c>
      <c r="G469" s="35" t="s">
        <v>149</v>
      </c>
      <c r="H469" s="35">
        <v>6.83</v>
      </c>
      <c r="I469" s="35">
        <v>6.17</v>
      </c>
      <c r="J469" s="34">
        <v>13.0</v>
      </c>
    </row>
    <row r="470">
      <c r="A470" s="34">
        <v>469.0</v>
      </c>
      <c r="B470" s="34">
        <v>2017.0</v>
      </c>
      <c r="C470" s="34">
        <v>2.0</v>
      </c>
      <c r="D470" s="34">
        <v>5.0</v>
      </c>
      <c r="E470" s="34">
        <v>1.0</v>
      </c>
      <c r="F470" s="35" t="s">
        <v>145</v>
      </c>
      <c r="G470" s="35" t="s">
        <v>150</v>
      </c>
      <c r="H470" s="35">
        <v>6.17</v>
      </c>
      <c r="I470" s="35">
        <v>6.43</v>
      </c>
      <c r="J470" s="35">
        <v>12.6</v>
      </c>
    </row>
    <row r="471">
      <c r="A471" s="34">
        <v>470.0</v>
      </c>
      <c r="B471" s="34">
        <v>2017.0</v>
      </c>
      <c r="C471" s="34">
        <v>2.0</v>
      </c>
      <c r="D471" s="34">
        <v>5.0</v>
      </c>
      <c r="E471" s="34">
        <v>1.0</v>
      </c>
      <c r="F471" s="35" t="s">
        <v>145</v>
      </c>
      <c r="G471" s="35" t="s">
        <v>155</v>
      </c>
      <c r="H471" s="35">
        <v>5.6</v>
      </c>
      <c r="I471" s="35">
        <v>6.43</v>
      </c>
      <c r="J471" s="35">
        <v>12.03</v>
      </c>
    </row>
    <row r="472">
      <c r="A472" s="34">
        <v>471.0</v>
      </c>
      <c r="B472" s="34">
        <v>2017.0</v>
      </c>
      <c r="C472" s="34">
        <v>2.0</v>
      </c>
      <c r="D472" s="34">
        <v>5.0</v>
      </c>
      <c r="E472" s="34">
        <v>2.0</v>
      </c>
      <c r="F472" s="35" t="s">
        <v>145</v>
      </c>
      <c r="G472" s="35" t="s">
        <v>153</v>
      </c>
      <c r="H472" s="34">
        <v>0.0</v>
      </c>
      <c r="I472" s="34">
        <v>0.0</v>
      </c>
      <c r="J472" s="34">
        <v>0.0</v>
      </c>
    </row>
    <row r="473">
      <c r="A473" s="34">
        <v>472.0</v>
      </c>
      <c r="B473" s="34">
        <v>2017.0</v>
      </c>
      <c r="C473" s="34">
        <v>2.0</v>
      </c>
      <c r="D473" s="34">
        <v>5.0</v>
      </c>
      <c r="E473" s="34">
        <v>2.0</v>
      </c>
      <c r="F473" s="35" t="s">
        <v>145</v>
      </c>
      <c r="G473" s="35" t="s">
        <v>163</v>
      </c>
      <c r="H473" s="34">
        <v>0.0</v>
      </c>
      <c r="I473" s="34">
        <v>0.0</v>
      </c>
      <c r="J473" s="34">
        <v>0.0</v>
      </c>
    </row>
    <row r="474">
      <c r="A474" s="34">
        <v>473.0</v>
      </c>
      <c r="B474" s="34">
        <v>2017.0</v>
      </c>
      <c r="C474" s="34">
        <v>2.0</v>
      </c>
      <c r="D474" s="34">
        <v>5.0</v>
      </c>
      <c r="E474" s="34">
        <v>3.0</v>
      </c>
      <c r="F474" s="35" t="s">
        <v>145</v>
      </c>
      <c r="G474" s="35" t="s">
        <v>161</v>
      </c>
      <c r="H474" s="35">
        <v>6.83</v>
      </c>
      <c r="I474" s="35">
        <v>5.67</v>
      </c>
      <c r="J474" s="35">
        <v>12.5</v>
      </c>
    </row>
    <row r="475">
      <c r="A475" s="34">
        <v>474.0</v>
      </c>
      <c r="B475" s="34">
        <v>2017.0</v>
      </c>
      <c r="C475" s="34">
        <v>2.0</v>
      </c>
      <c r="D475" s="34">
        <v>5.0</v>
      </c>
      <c r="E475" s="34">
        <v>3.0</v>
      </c>
      <c r="F475" s="35" t="s">
        <v>145</v>
      </c>
      <c r="G475" s="35" t="s">
        <v>152</v>
      </c>
      <c r="H475" s="35">
        <v>7.5</v>
      </c>
      <c r="I475" s="35">
        <v>4.33</v>
      </c>
      <c r="J475" s="35">
        <v>11.83</v>
      </c>
    </row>
    <row r="476">
      <c r="A476" s="34">
        <v>475.0</v>
      </c>
      <c r="B476" s="34">
        <v>2017.0</v>
      </c>
      <c r="C476" s="34">
        <v>2.0</v>
      </c>
      <c r="D476" s="34">
        <v>5.0</v>
      </c>
      <c r="E476" s="34">
        <v>4.0</v>
      </c>
      <c r="F476" s="35" t="s">
        <v>145</v>
      </c>
      <c r="G476" s="35" t="s">
        <v>146</v>
      </c>
      <c r="H476" s="35">
        <v>7.87</v>
      </c>
      <c r="I476" s="35">
        <v>9.73</v>
      </c>
      <c r="J476" s="35">
        <v>17.6</v>
      </c>
    </row>
    <row r="477">
      <c r="A477" s="34">
        <v>476.0</v>
      </c>
      <c r="B477" s="34">
        <v>2017.0</v>
      </c>
      <c r="C477" s="34">
        <v>2.0</v>
      </c>
      <c r="D477" s="34">
        <v>5.0</v>
      </c>
      <c r="E477" s="34">
        <v>4.0</v>
      </c>
      <c r="F477" s="35" t="s">
        <v>145</v>
      </c>
      <c r="G477" s="35" t="s">
        <v>158</v>
      </c>
      <c r="H477" s="35">
        <v>8.83</v>
      </c>
      <c r="I477" s="35">
        <v>7.07</v>
      </c>
      <c r="J477" s="35">
        <v>15.9</v>
      </c>
    </row>
    <row r="478">
      <c r="A478" s="34">
        <v>477.0</v>
      </c>
      <c r="B478" s="34">
        <v>2017.0</v>
      </c>
      <c r="C478" s="34">
        <v>2.0</v>
      </c>
      <c r="D478" s="34">
        <v>6.0</v>
      </c>
      <c r="E478" s="34">
        <v>1.0</v>
      </c>
      <c r="F478" s="35" t="s">
        <v>145</v>
      </c>
      <c r="G478" s="35" t="s">
        <v>153</v>
      </c>
      <c r="H478" s="35">
        <v>7.6</v>
      </c>
      <c r="I478" s="35">
        <v>8.4</v>
      </c>
      <c r="J478" s="34">
        <v>16.0</v>
      </c>
    </row>
    <row r="479">
      <c r="A479" s="34">
        <v>478.0</v>
      </c>
      <c r="B479" s="34">
        <v>2017.0</v>
      </c>
      <c r="C479" s="34">
        <v>2.0</v>
      </c>
      <c r="D479" s="34">
        <v>6.0</v>
      </c>
      <c r="E479" s="34">
        <v>1.0</v>
      </c>
      <c r="F479" s="35" t="s">
        <v>145</v>
      </c>
      <c r="G479" s="35" t="s">
        <v>150</v>
      </c>
      <c r="H479" s="35">
        <v>5.5</v>
      </c>
      <c r="I479" s="35">
        <v>6.67</v>
      </c>
      <c r="J479" s="35">
        <v>12.17</v>
      </c>
    </row>
    <row r="480">
      <c r="A480" s="34">
        <v>479.0</v>
      </c>
      <c r="B480" s="34">
        <v>2017.0</v>
      </c>
      <c r="C480" s="34">
        <v>2.0</v>
      </c>
      <c r="D480" s="34">
        <v>6.0</v>
      </c>
      <c r="E480" s="34">
        <v>2.0</v>
      </c>
      <c r="F480" s="35" t="s">
        <v>145</v>
      </c>
      <c r="G480" s="35" t="s">
        <v>146</v>
      </c>
      <c r="H480" s="35">
        <v>6.33</v>
      </c>
      <c r="I480" s="35">
        <v>5.1</v>
      </c>
      <c r="J480" s="35">
        <v>11.43</v>
      </c>
    </row>
    <row r="481">
      <c r="A481" s="34">
        <v>480.0</v>
      </c>
      <c r="B481" s="34">
        <v>2017.0</v>
      </c>
      <c r="C481" s="34">
        <v>2.0</v>
      </c>
      <c r="D481" s="34">
        <v>6.0</v>
      </c>
      <c r="E481" s="34">
        <v>2.0</v>
      </c>
      <c r="F481" s="35" t="s">
        <v>145</v>
      </c>
      <c r="G481" s="35" t="s">
        <v>161</v>
      </c>
      <c r="H481" s="35">
        <v>3.93</v>
      </c>
      <c r="I481" s="34">
        <v>7.0</v>
      </c>
      <c r="J481" s="35">
        <v>10.93</v>
      </c>
    </row>
    <row r="482">
      <c r="A482" s="34">
        <v>481.0</v>
      </c>
      <c r="B482" s="34">
        <v>2017.0</v>
      </c>
      <c r="C482" s="34">
        <v>2.0</v>
      </c>
      <c r="D482" s="34">
        <v>7.0</v>
      </c>
      <c r="E482" s="34">
        <v>1.0</v>
      </c>
      <c r="F482" s="35" t="s">
        <v>145</v>
      </c>
      <c r="G482" s="35" t="s">
        <v>146</v>
      </c>
      <c r="H482" s="35">
        <v>7.83</v>
      </c>
      <c r="I482" s="35">
        <v>7.07</v>
      </c>
      <c r="J482" s="35">
        <v>14.9</v>
      </c>
    </row>
    <row r="483">
      <c r="A483" s="34">
        <v>482.0</v>
      </c>
      <c r="B483" s="34">
        <v>2017.0</v>
      </c>
      <c r="C483" s="34">
        <v>2.0</v>
      </c>
      <c r="D483" s="34">
        <v>7.0</v>
      </c>
      <c r="E483" s="34">
        <v>1.0</v>
      </c>
      <c r="F483" s="35" t="s">
        <v>145</v>
      </c>
      <c r="G483" s="35" t="s">
        <v>153</v>
      </c>
      <c r="H483" s="35">
        <v>5.93</v>
      </c>
      <c r="I483" s="35">
        <v>6.6</v>
      </c>
      <c r="J483" s="35">
        <v>12.53</v>
      </c>
    </row>
    <row r="484">
      <c r="A484" s="34">
        <v>483.0</v>
      </c>
      <c r="B484" s="34">
        <v>2017.0</v>
      </c>
      <c r="C484" s="34">
        <v>3.0</v>
      </c>
      <c r="D484" s="34">
        <v>1.0</v>
      </c>
      <c r="E484" s="34">
        <v>1.0</v>
      </c>
      <c r="F484" s="35" t="s">
        <v>145</v>
      </c>
      <c r="G484" s="35" t="s">
        <v>150</v>
      </c>
      <c r="H484" s="35">
        <v>7.33</v>
      </c>
      <c r="I484" s="35">
        <v>6.67</v>
      </c>
      <c r="J484" s="34">
        <v>14.0</v>
      </c>
    </row>
    <row r="485">
      <c r="A485" s="34">
        <v>484.0</v>
      </c>
      <c r="B485" s="34">
        <v>2017.0</v>
      </c>
      <c r="C485" s="34">
        <v>3.0</v>
      </c>
      <c r="D485" s="34">
        <v>1.0</v>
      </c>
      <c r="E485" s="34">
        <v>1.0</v>
      </c>
      <c r="F485" s="35" t="s">
        <v>145</v>
      </c>
      <c r="G485" s="35" t="s">
        <v>155</v>
      </c>
      <c r="H485" s="35">
        <v>7.57</v>
      </c>
      <c r="I485" s="35">
        <v>6.17</v>
      </c>
      <c r="J485" s="35">
        <v>13.74</v>
      </c>
    </row>
    <row r="486">
      <c r="A486" s="34">
        <v>485.0</v>
      </c>
      <c r="B486" s="34">
        <v>2017.0</v>
      </c>
      <c r="C486" s="34">
        <v>3.0</v>
      </c>
      <c r="D486" s="34">
        <v>1.0</v>
      </c>
      <c r="E486" s="34">
        <v>1.0</v>
      </c>
      <c r="F486" s="35" t="s">
        <v>145</v>
      </c>
      <c r="G486" s="35" t="s">
        <v>159</v>
      </c>
      <c r="H486" s="35">
        <v>5.03</v>
      </c>
      <c r="I486" s="34">
        <v>6.0</v>
      </c>
      <c r="J486" s="35">
        <v>11.03</v>
      </c>
    </row>
    <row r="487">
      <c r="A487" s="34">
        <v>486.0</v>
      </c>
      <c r="B487" s="34">
        <v>2017.0</v>
      </c>
      <c r="C487" s="34">
        <v>3.0</v>
      </c>
      <c r="D487" s="34">
        <v>1.0</v>
      </c>
      <c r="E487" s="34">
        <v>2.0</v>
      </c>
      <c r="F487" s="35" t="s">
        <v>145</v>
      </c>
      <c r="G487" s="35" t="s">
        <v>152</v>
      </c>
      <c r="H487" s="35">
        <v>5.17</v>
      </c>
      <c r="I487" s="35">
        <v>7.5</v>
      </c>
      <c r="J487" s="35">
        <v>12.67</v>
      </c>
    </row>
    <row r="488">
      <c r="A488" s="34">
        <v>487.0</v>
      </c>
      <c r="B488" s="34">
        <v>2017.0</v>
      </c>
      <c r="C488" s="34">
        <v>3.0</v>
      </c>
      <c r="D488" s="34">
        <v>1.0</v>
      </c>
      <c r="E488" s="34">
        <v>2.0</v>
      </c>
      <c r="F488" s="35" t="s">
        <v>145</v>
      </c>
      <c r="G488" s="35" t="s">
        <v>158</v>
      </c>
      <c r="H488" s="35">
        <v>8.17</v>
      </c>
      <c r="I488" s="35">
        <v>3.5</v>
      </c>
      <c r="J488" s="35">
        <v>11.67</v>
      </c>
    </row>
    <row r="489">
      <c r="A489" s="34">
        <v>488.0</v>
      </c>
      <c r="B489" s="34">
        <v>2017.0</v>
      </c>
      <c r="C489" s="34">
        <v>3.0</v>
      </c>
      <c r="D489" s="34">
        <v>1.0</v>
      </c>
      <c r="E489" s="34">
        <v>2.0</v>
      </c>
      <c r="F489" s="35" t="s">
        <v>145</v>
      </c>
      <c r="G489" s="35" t="s">
        <v>151</v>
      </c>
      <c r="H489" s="35">
        <v>4.83</v>
      </c>
      <c r="I489" s="35">
        <v>4.33</v>
      </c>
      <c r="J489" s="35">
        <v>9.16</v>
      </c>
    </row>
    <row r="490">
      <c r="A490" s="34">
        <v>489.0</v>
      </c>
      <c r="B490" s="34">
        <v>2017.0</v>
      </c>
      <c r="C490" s="34">
        <v>3.0</v>
      </c>
      <c r="D490" s="34">
        <v>1.0</v>
      </c>
      <c r="E490" s="34">
        <v>3.0</v>
      </c>
      <c r="F490" s="35" t="s">
        <v>145</v>
      </c>
      <c r="G490" s="35" t="s">
        <v>153</v>
      </c>
      <c r="H490" s="34">
        <v>9.0</v>
      </c>
      <c r="I490" s="34">
        <v>8.0</v>
      </c>
      <c r="J490" s="34">
        <v>17.0</v>
      </c>
    </row>
    <row r="491">
      <c r="A491" s="34">
        <v>490.0</v>
      </c>
      <c r="B491" s="34">
        <v>2017.0</v>
      </c>
      <c r="C491" s="34">
        <v>3.0</v>
      </c>
      <c r="D491" s="34">
        <v>1.0</v>
      </c>
      <c r="E491" s="34">
        <v>3.0</v>
      </c>
      <c r="F491" s="35" t="s">
        <v>145</v>
      </c>
      <c r="G491" s="35" t="s">
        <v>166</v>
      </c>
      <c r="H491" s="35">
        <v>2.43</v>
      </c>
      <c r="I491" s="35">
        <v>4.1</v>
      </c>
      <c r="J491" s="35">
        <v>6.53</v>
      </c>
    </row>
    <row r="492">
      <c r="A492" s="34">
        <v>491.0</v>
      </c>
      <c r="B492" s="34">
        <v>2017.0</v>
      </c>
      <c r="C492" s="34">
        <v>3.0</v>
      </c>
      <c r="D492" s="34">
        <v>1.0</v>
      </c>
      <c r="E492" s="34">
        <v>3.0</v>
      </c>
      <c r="F492" s="35" t="s">
        <v>145</v>
      </c>
      <c r="G492" s="35" t="s">
        <v>160</v>
      </c>
      <c r="H492" s="35">
        <v>3.83</v>
      </c>
      <c r="I492" s="35">
        <v>2.67</v>
      </c>
      <c r="J492" s="35">
        <v>6.5</v>
      </c>
    </row>
    <row r="493">
      <c r="A493" s="34">
        <v>492.0</v>
      </c>
      <c r="B493" s="34">
        <v>2017.0</v>
      </c>
      <c r="C493" s="34">
        <v>3.0</v>
      </c>
      <c r="D493" s="34">
        <v>1.0</v>
      </c>
      <c r="E493" s="34">
        <v>4.0</v>
      </c>
      <c r="F493" s="35" t="s">
        <v>145</v>
      </c>
      <c r="G493" s="35" t="s">
        <v>161</v>
      </c>
      <c r="H493" s="35">
        <v>8.67</v>
      </c>
      <c r="I493" s="35">
        <v>6.27</v>
      </c>
      <c r="J493" s="35">
        <v>14.94</v>
      </c>
    </row>
    <row r="494">
      <c r="A494" s="34">
        <v>493.0</v>
      </c>
      <c r="B494" s="34">
        <v>2017.0</v>
      </c>
      <c r="C494" s="34">
        <v>3.0</v>
      </c>
      <c r="D494" s="34">
        <v>1.0</v>
      </c>
      <c r="E494" s="34">
        <v>4.0</v>
      </c>
      <c r="F494" s="35" t="s">
        <v>145</v>
      </c>
      <c r="G494" s="35" t="s">
        <v>167</v>
      </c>
      <c r="H494" s="35">
        <v>5.83</v>
      </c>
      <c r="I494" s="35">
        <v>4.33</v>
      </c>
      <c r="J494" s="35">
        <v>10.16</v>
      </c>
    </row>
    <row r="495">
      <c r="A495" s="34">
        <v>494.0</v>
      </c>
      <c r="B495" s="34">
        <v>2017.0</v>
      </c>
      <c r="C495" s="34">
        <v>3.0</v>
      </c>
      <c r="D495" s="34">
        <v>1.0</v>
      </c>
      <c r="E495" s="34">
        <v>4.0</v>
      </c>
      <c r="F495" s="35" t="s">
        <v>145</v>
      </c>
      <c r="G495" s="35" t="s">
        <v>147</v>
      </c>
      <c r="H495" s="35">
        <v>6.73</v>
      </c>
      <c r="I495" s="35">
        <v>2.83</v>
      </c>
      <c r="J495" s="35">
        <v>9.56</v>
      </c>
    </row>
    <row r="496">
      <c r="A496" s="34">
        <v>495.0</v>
      </c>
      <c r="B496" s="34">
        <v>2017.0</v>
      </c>
      <c r="C496" s="34">
        <v>3.0</v>
      </c>
      <c r="D496" s="34">
        <v>1.0</v>
      </c>
      <c r="E496" s="34">
        <v>5.0</v>
      </c>
      <c r="F496" s="35" t="s">
        <v>145</v>
      </c>
      <c r="G496" s="35" t="s">
        <v>146</v>
      </c>
      <c r="H496" s="34">
        <v>7.0</v>
      </c>
      <c r="I496" s="35">
        <v>7.13</v>
      </c>
      <c r="J496" s="35">
        <v>14.13</v>
      </c>
    </row>
    <row r="497">
      <c r="A497" s="34">
        <v>496.0</v>
      </c>
      <c r="B497" s="34">
        <v>2017.0</v>
      </c>
      <c r="C497" s="34">
        <v>3.0</v>
      </c>
      <c r="D497" s="34">
        <v>1.0</v>
      </c>
      <c r="E497" s="34">
        <v>5.0</v>
      </c>
      <c r="F497" s="35" t="s">
        <v>145</v>
      </c>
      <c r="G497" s="35" t="s">
        <v>162</v>
      </c>
      <c r="H497" s="35">
        <v>6.93</v>
      </c>
      <c r="I497" s="35">
        <v>6.67</v>
      </c>
      <c r="J497" s="35">
        <v>13.6</v>
      </c>
    </row>
    <row r="498">
      <c r="A498" s="34">
        <v>497.0</v>
      </c>
      <c r="B498" s="34">
        <v>2017.0</v>
      </c>
      <c r="C498" s="34">
        <v>3.0</v>
      </c>
      <c r="D498" s="34">
        <v>1.0</v>
      </c>
      <c r="E498" s="34">
        <v>5.0</v>
      </c>
      <c r="F498" s="35" t="s">
        <v>145</v>
      </c>
      <c r="G498" s="35" t="s">
        <v>156</v>
      </c>
      <c r="H498" s="35">
        <v>3.67</v>
      </c>
      <c r="I498" s="35">
        <v>3.77</v>
      </c>
      <c r="J498" s="35">
        <v>7.44</v>
      </c>
    </row>
    <row r="499">
      <c r="A499" s="34">
        <v>498.0</v>
      </c>
      <c r="B499" s="34">
        <v>2017.0</v>
      </c>
      <c r="C499" s="34">
        <v>3.0</v>
      </c>
      <c r="D499" s="34">
        <v>1.0</v>
      </c>
      <c r="E499" s="34">
        <v>6.0</v>
      </c>
      <c r="F499" s="35" t="s">
        <v>145</v>
      </c>
      <c r="G499" s="35" t="s">
        <v>149</v>
      </c>
      <c r="H499" s="35">
        <v>7.67</v>
      </c>
      <c r="I499" s="35">
        <v>5.67</v>
      </c>
      <c r="J499" s="35">
        <v>13.34</v>
      </c>
    </row>
    <row r="500">
      <c r="A500" s="34">
        <v>499.0</v>
      </c>
      <c r="B500" s="34">
        <v>2017.0</v>
      </c>
      <c r="C500" s="34">
        <v>3.0</v>
      </c>
      <c r="D500" s="34">
        <v>1.0</v>
      </c>
      <c r="E500" s="34">
        <v>6.0</v>
      </c>
      <c r="F500" s="35" t="s">
        <v>145</v>
      </c>
      <c r="G500" s="35" t="s">
        <v>157</v>
      </c>
      <c r="H500" s="35">
        <v>6.33</v>
      </c>
      <c r="I500" s="35">
        <v>5.83</v>
      </c>
      <c r="J500" s="35">
        <v>12.16</v>
      </c>
    </row>
    <row r="501">
      <c r="A501" s="34">
        <v>500.0</v>
      </c>
      <c r="B501" s="34">
        <v>2017.0</v>
      </c>
      <c r="C501" s="34">
        <v>3.0</v>
      </c>
      <c r="D501" s="34">
        <v>1.0</v>
      </c>
      <c r="E501" s="34">
        <v>6.0</v>
      </c>
      <c r="F501" s="35" t="s">
        <v>145</v>
      </c>
      <c r="G501" s="35" t="s">
        <v>148</v>
      </c>
      <c r="H501" s="35">
        <v>4.67</v>
      </c>
      <c r="I501" s="35">
        <v>4.07</v>
      </c>
      <c r="J501" s="35">
        <v>8.74</v>
      </c>
    </row>
    <row r="502">
      <c r="A502" s="34">
        <v>501.0</v>
      </c>
      <c r="B502" s="34">
        <v>2017.0</v>
      </c>
      <c r="C502" s="34">
        <v>3.0</v>
      </c>
      <c r="D502" s="34">
        <v>2.0</v>
      </c>
      <c r="E502" s="34">
        <v>1.0</v>
      </c>
      <c r="F502" s="35" t="s">
        <v>145</v>
      </c>
      <c r="G502" s="35" t="s">
        <v>159</v>
      </c>
      <c r="H502" s="35">
        <v>6.17</v>
      </c>
      <c r="I502" s="35">
        <v>5.97</v>
      </c>
      <c r="J502" s="35">
        <v>12.14</v>
      </c>
    </row>
    <row r="503">
      <c r="A503" s="34">
        <v>502.0</v>
      </c>
      <c r="B503" s="34">
        <v>2017.0</v>
      </c>
      <c r="C503" s="34">
        <v>3.0</v>
      </c>
      <c r="D503" s="34">
        <v>2.0</v>
      </c>
      <c r="E503" s="34">
        <v>1.0</v>
      </c>
      <c r="F503" s="35" t="s">
        <v>145</v>
      </c>
      <c r="G503" s="35" t="s">
        <v>147</v>
      </c>
      <c r="H503" s="35">
        <v>5.13</v>
      </c>
      <c r="I503" s="35">
        <v>6.87</v>
      </c>
      <c r="J503" s="34">
        <v>12.0</v>
      </c>
    </row>
    <row r="504">
      <c r="A504" s="34">
        <v>503.0</v>
      </c>
      <c r="B504" s="34">
        <v>2017.0</v>
      </c>
      <c r="C504" s="34">
        <v>3.0</v>
      </c>
      <c r="D504" s="34">
        <v>2.0</v>
      </c>
      <c r="E504" s="34">
        <v>2.0</v>
      </c>
      <c r="F504" s="35" t="s">
        <v>145</v>
      </c>
      <c r="G504" s="35" t="s">
        <v>162</v>
      </c>
      <c r="H504" s="35">
        <v>6.83</v>
      </c>
      <c r="I504" s="35">
        <v>6.87</v>
      </c>
      <c r="J504" s="35">
        <v>13.7</v>
      </c>
    </row>
    <row r="505">
      <c r="A505" s="34">
        <v>504.0</v>
      </c>
      <c r="B505" s="34">
        <v>2017.0</v>
      </c>
      <c r="C505" s="34">
        <v>3.0</v>
      </c>
      <c r="D505" s="34">
        <v>2.0</v>
      </c>
      <c r="E505" s="34">
        <v>2.0</v>
      </c>
      <c r="F505" s="35" t="s">
        <v>145</v>
      </c>
      <c r="G505" s="35" t="s">
        <v>151</v>
      </c>
      <c r="H505" s="35">
        <v>6.37</v>
      </c>
      <c r="I505" s="35">
        <v>6.07</v>
      </c>
      <c r="J505" s="35">
        <v>12.44</v>
      </c>
    </row>
    <row r="506">
      <c r="A506" s="34">
        <v>505.0</v>
      </c>
      <c r="B506" s="34">
        <v>2017.0</v>
      </c>
      <c r="C506" s="34">
        <v>3.0</v>
      </c>
      <c r="D506" s="34">
        <v>2.0</v>
      </c>
      <c r="E506" s="34">
        <v>3.0</v>
      </c>
      <c r="F506" s="35" t="s">
        <v>145</v>
      </c>
      <c r="G506" s="35" t="s">
        <v>158</v>
      </c>
      <c r="H506" s="35">
        <v>9.8</v>
      </c>
      <c r="I506" s="35">
        <v>9.33</v>
      </c>
      <c r="J506" s="35">
        <v>19.13</v>
      </c>
    </row>
    <row r="507">
      <c r="A507" s="34">
        <v>506.0</v>
      </c>
      <c r="B507" s="34">
        <v>2017.0</v>
      </c>
      <c r="C507" s="34">
        <v>3.0</v>
      </c>
      <c r="D507" s="34">
        <v>2.0</v>
      </c>
      <c r="E507" s="34">
        <v>3.0</v>
      </c>
      <c r="F507" s="35" t="s">
        <v>145</v>
      </c>
      <c r="G507" s="35" t="s">
        <v>166</v>
      </c>
      <c r="H507" s="35">
        <v>3.2</v>
      </c>
      <c r="I507" s="35">
        <v>3.17</v>
      </c>
      <c r="J507" s="35">
        <v>6.37</v>
      </c>
    </row>
    <row r="508">
      <c r="A508" s="34">
        <v>507.0</v>
      </c>
      <c r="B508" s="34">
        <v>2017.0</v>
      </c>
      <c r="C508" s="34">
        <v>3.0</v>
      </c>
      <c r="D508" s="34">
        <v>2.0</v>
      </c>
      <c r="E508" s="34">
        <v>4.0</v>
      </c>
      <c r="F508" s="35" t="s">
        <v>145</v>
      </c>
      <c r="G508" s="35" t="s">
        <v>155</v>
      </c>
      <c r="H508" s="35">
        <v>7.67</v>
      </c>
      <c r="I508" s="35">
        <v>8.77</v>
      </c>
      <c r="J508" s="35">
        <v>16.44</v>
      </c>
    </row>
    <row r="509">
      <c r="A509" s="34">
        <v>508.0</v>
      </c>
      <c r="B509" s="34">
        <v>2017.0</v>
      </c>
      <c r="C509" s="34">
        <v>3.0</v>
      </c>
      <c r="D509" s="34">
        <v>2.0</v>
      </c>
      <c r="E509" s="34">
        <v>4.0</v>
      </c>
      <c r="F509" s="35" t="s">
        <v>145</v>
      </c>
      <c r="G509" s="35" t="s">
        <v>167</v>
      </c>
      <c r="H509" s="35">
        <v>5.33</v>
      </c>
      <c r="I509" s="35">
        <v>7.23</v>
      </c>
      <c r="J509" s="35">
        <v>12.56</v>
      </c>
    </row>
    <row r="510">
      <c r="A510" s="34">
        <v>509.0</v>
      </c>
      <c r="B510" s="34">
        <v>2017.0</v>
      </c>
      <c r="C510" s="34">
        <v>3.0</v>
      </c>
      <c r="D510" s="34">
        <v>2.0</v>
      </c>
      <c r="E510" s="34">
        <v>5.0</v>
      </c>
      <c r="F510" s="35" t="s">
        <v>145</v>
      </c>
      <c r="G510" s="35" t="s">
        <v>148</v>
      </c>
      <c r="H510" s="35">
        <v>7.5</v>
      </c>
      <c r="I510" s="35">
        <v>7.93</v>
      </c>
      <c r="J510" s="35">
        <v>15.43</v>
      </c>
    </row>
    <row r="511">
      <c r="A511" s="34">
        <v>510.0</v>
      </c>
      <c r="B511" s="34">
        <v>2017.0</v>
      </c>
      <c r="C511" s="34">
        <v>3.0</v>
      </c>
      <c r="D511" s="34">
        <v>2.0</v>
      </c>
      <c r="E511" s="34">
        <v>5.0</v>
      </c>
      <c r="F511" s="35" t="s">
        <v>145</v>
      </c>
      <c r="G511" s="35" t="s">
        <v>156</v>
      </c>
      <c r="H511" s="35">
        <v>3.93</v>
      </c>
      <c r="I511" s="35">
        <v>5.5</v>
      </c>
      <c r="J511" s="35">
        <v>9.43</v>
      </c>
    </row>
    <row r="512">
      <c r="A512" s="34">
        <v>511.0</v>
      </c>
      <c r="B512" s="34">
        <v>2017.0</v>
      </c>
      <c r="C512" s="34">
        <v>3.0</v>
      </c>
      <c r="D512" s="34">
        <v>2.0</v>
      </c>
      <c r="E512" s="34">
        <v>6.0</v>
      </c>
      <c r="F512" s="35" t="s">
        <v>145</v>
      </c>
      <c r="G512" s="35" t="s">
        <v>157</v>
      </c>
      <c r="H512" s="35">
        <v>6.5</v>
      </c>
      <c r="I512" s="34">
        <v>8.0</v>
      </c>
      <c r="J512" s="35">
        <v>14.5</v>
      </c>
    </row>
    <row r="513">
      <c r="A513" s="34">
        <v>512.0</v>
      </c>
      <c r="B513" s="34">
        <v>2017.0</v>
      </c>
      <c r="C513" s="34">
        <v>3.0</v>
      </c>
      <c r="D513" s="34">
        <v>2.0</v>
      </c>
      <c r="E513" s="34">
        <v>6.0</v>
      </c>
      <c r="F513" s="35" t="s">
        <v>145</v>
      </c>
      <c r="G513" s="35" t="s">
        <v>160</v>
      </c>
      <c r="H513" s="35">
        <v>1.7</v>
      </c>
      <c r="I513" s="35">
        <v>2.43</v>
      </c>
      <c r="J513" s="35">
        <v>4.13</v>
      </c>
    </row>
    <row r="514">
      <c r="A514" s="34">
        <v>513.0</v>
      </c>
      <c r="B514" s="34">
        <v>2017.0</v>
      </c>
      <c r="C514" s="34">
        <v>3.0</v>
      </c>
      <c r="D514" s="34">
        <v>3.0</v>
      </c>
      <c r="E514" s="34">
        <v>1.0</v>
      </c>
      <c r="F514" s="35" t="s">
        <v>145</v>
      </c>
      <c r="G514" s="35" t="s">
        <v>158</v>
      </c>
      <c r="H514" s="35">
        <v>7.17</v>
      </c>
      <c r="I514" s="35">
        <v>8.33</v>
      </c>
      <c r="J514" s="35">
        <v>15.5</v>
      </c>
    </row>
    <row r="515">
      <c r="A515" s="34">
        <v>514.0</v>
      </c>
      <c r="B515" s="34">
        <v>2017.0</v>
      </c>
      <c r="C515" s="34">
        <v>3.0</v>
      </c>
      <c r="D515" s="34">
        <v>3.0</v>
      </c>
      <c r="E515" s="34">
        <v>1.0</v>
      </c>
      <c r="F515" s="35" t="s">
        <v>145</v>
      </c>
      <c r="G515" s="35" t="s">
        <v>155</v>
      </c>
      <c r="H515" s="34">
        <v>8.0</v>
      </c>
      <c r="I515" s="35">
        <v>7.03</v>
      </c>
      <c r="J515" s="35">
        <v>15.03</v>
      </c>
    </row>
    <row r="516">
      <c r="A516" s="34">
        <v>515.0</v>
      </c>
      <c r="B516" s="34">
        <v>2017.0</v>
      </c>
      <c r="C516" s="34">
        <v>3.0</v>
      </c>
      <c r="D516" s="34">
        <v>3.0</v>
      </c>
      <c r="E516" s="34">
        <v>1.0</v>
      </c>
      <c r="F516" s="35" t="s">
        <v>145</v>
      </c>
      <c r="G516" s="35" t="s">
        <v>159</v>
      </c>
      <c r="H516" s="35">
        <v>5.5</v>
      </c>
      <c r="I516" s="35">
        <v>5.1</v>
      </c>
      <c r="J516" s="35">
        <v>10.6</v>
      </c>
    </row>
    <row r="517">
      <c r="A517" s="34">
        <v>516.0</v>
      </c>
      <c r="B517" s="34">
        <v>2017.0</v>
      </c>
      <c r="C517" s="34">
        <v>3.0</v>
      </c>
      <c r="D517" s="34">
        <v>3.0</v>
      </c>
      <c r="E517" s="34">
        <v>2.0</v>
      </c>
      <c r="F517" s="35" t="s">
        <v>145</v>
      </c>
      <c r="G517" s="35" t="s">
        <v>153</v>
      </c>
      <c r="H517" s="35">
        <v>9.2</v>
      </c>
      <c r="I517" s="35">
        <v>9.27</v>
      </c>
      <c r="J517" s="35">
        <v>18.47</v>
      </c>
    </row>
    <row r="518">
      <c r="A518" s="34">
        <v>517.0</v>
      </c>
      <c r="B518" s="34">
        <v>2017.0</v>
      </c>
      <c r="C518" s="34">
        <v>3.0</v>
      </c>
      <c r="D518" s="34">
        <v>3.0</v>
      </c>
      <c r="E518" s="34">
        <v>2.0</v>
      </c>
      <c r="F518" s="35" t="s">
        <v>145</v>
      </c>
      <c r="G518" s="35" t="s">
        <v>150</v>
      </c>
      <c r="H518" s="35">
        <v>7.7</v>
      </c>
      <c r="I518" s="35">
        <v>8.03</v>
      </c>
      <c r="J518" s="35">
        <v>15.73</v>
      </c>
    </row>
    <row r="519">
      <c r="A519" s="34">
        <v>518.0</v>
      </c>
      <c r="B519" s="34">
        <v>2017.0</v>
      </c>
      <c r="C519" s="34">
        <v>3.0</v>
      </c>
      <c r="D519" s="34">
        <v>3.0</v>
      </c>
      <c r="E519" s="34">
        <v>2.0</v>
      </c>
      <c r="F519" s="35" t="s">
        <v>145</v>
      </c>
      <c r="G519" s="35" t="s">
        <v>152</v>
      </c>
      <c r="H519" s="35">
        <v>4.83</v>
      </c>
      <c r="I519" s="35">
        <v>3.93</v>
      </c>
      <c r="J519" s="35">
        <v>8.76</v>
      </c>
    </row>
    <row r="520">
      <c r="A520" s="34">
        <v>519.0</v>
      </c>
      <c r="B520" s="34">
        <v>2017.0</v>
      </c>
      <c r="C520" s="34">
        <v>3.0</v>
      </c>
      <c r="D520" s="34">
        <v>3.0</v>
      </c>
      <c r="E520" s="34">
        <v>3.0</v>
      </c>
      <c r="F520" s="35" t="s">
        <v>145</v>
      </c>
      <c r="G520" s="35" t="s">
        <v>162</v>
      </c>
      <c r="H520" s="35">
        <v>6.33</v>
      </c>
      <c r="I520" s="35">
        <v>8.57</v>
      </c>
      <c r="J520" s="35">
        <v>14.9</v>
      </c>
    </row>
    <row r="521">
      <c r="A521" s="34">
        <v>520.0</v>
      </c>
      <c r="B521" s="34">
        <v>2017.0</v>
      </c>
      <c r="C521" s="34">
        <v>3.0</v>
      </c>
      <c r="D521" s="34">
        <v>3.0</v>
      </c>
      <c r="E521" s="34">
        <v>3.0</v>
      </c>
      <c r="F521" s="35" t="s">
        <v>145</v>
      </c>
      <c r="G521" s="35" t="s">
        <v>149</v>
      </c>
      <c r="H521" s="35">
        <v>7.17</v>
      </c>
      <c r="I521" s="35">
        <v>5.67</v>
      </c>
      <c r="J521" s="35">
        <v>12.84</v>
      </c>
    </row>
    <row r="522">
      <c r="A522" s="34">
        <v>521.0</v>
      </c>
      <c r="B522" s="34">
        <v>2017.0</v>
      </c>
      <c r="C522" s="34">
        <v>3.0</v>
      </c>
      <c r="D522" s="34">
        <v>3.0</v>
      </c>
      <c r="E522" s="34">
        <v>3.0</v>
      </c>
      <c r="F522" s="35" t="s">
        <v>145</v>
      </c>
      <c r="G522" s="35" t="s">
        <v>161</v>
      </c>
      <c r="H522" s="35">
        <v>5.33</v>
      </c>
      <c r="I522" s="35">
        <v>6.67</v>
      </c>
      <c r="J522" s="34">
        <v>12.0</v>
      </c>
    </row>
    <row r="523">
      <c r="A523" s="34">
        <v>522.0</v>
      </c>
      <c r="B523" s="34">
        <v>2017.0</v>
      </c>
      <c r="C523" s="34">
        <v>3.0</v>
      </c>
      <c r="D523" s="34">
        <v>3.0</v>
      </c>
      <c r="E523" s="34">
        <v>4.0</v>
      </c>
      <c r="F523" s="35" t="s">
        <v>145</v>
      </c>
      <c r="G523" s="35" t="s">
        <v>148</v>
      </c>
      <c r="H523" s="34">
        <v>6.0</v>
      </c>
      <c r="I523" s="35">
        <v>3.33</v>
      </c>
      <c r="J523" s="35">
        <v>9.33</v>
      </c>
    </row>
    <row r="524">
      <c r="A524" s="34">
        <v>523.0</v>
      </c>
      <c r="B524" s="34">
        <v>2017.0</v>
      </c>
      <c r="C524" s="34">
        <v>3.0</v>
      </c>
      <c r="D524" s="34">
        <v>3.0</v>
      </c>
      <c r="E524" s="34">
        <v>4.0</v>
      </c>
      <c r="F524" s="35" t="s">
        <v>145</v>
      </c>
      <c r="G524" s="35" t="s">
        <v>157</v>
      </c>
      <c r="H524" s="34">
        <v>2.0</v>
      </c>
      <c r="I524" s="35">
        <v>2.8</v>
      </c>
      <c r="J524" s="35">
        <v>4.8</v>
      </c>
    </row>
    <row r="525">
      <c r="A525" s="34">
        <v>524.0</v>
      </c>
      <c r="B525" s="34">
        <v>2017.0</v>
      </c>
      <c r="C525" s="34">
        <v>3.0</v>
      </c>
      <c r="D525" s="34">
        <v>3.0</v>
      </c>
      <c r="E525" s="34">
        <v>4.0</v>
      </c>
      <c r="F525" s="35" t="s">
        <v>145</v>
      </c>
      <c r="G525" s="35" t="s">
        <v>146</v>
      </c>
      <c r="H525" s="35">
        <v>0.8</v>
      </c>
      <c r="I525" s="35">
        <v>0.93</v>
      </c>
      <c r="J525" s="35">
        <v>1.73</v>
      </c>
    </row>
    <row r="526">
      <c r="A526" s="34">
        <v>525.0</v>
      </c>
      <c r="B526" s="34">
        <v>2017.0</v>
      </c>
      <c r="C526" s="34">
        <v>3.0</v>
      </c>
      <c r="D526" s="34">
        <v>4.0</v>
      </c>
      <c r="E526" s="34">
        <v>1.0</v>
      </c>
      <c r="F526" s="35" t="s">
        <v>145</v>
      </c>
      <c r="G526" s="35" t="s">
        <v>155</v>
      </c>
      <c r="H526" s="35">
        <v>8.67</v>
      </c>
      <c r="I526" s="35">
        <v>8.03</v>
      </c>
      <c r="J526" s="35">
        <v>16.7</v>
      </c>
    </row>
    <row r="527">
      <c r="A527" s="34">
        <v>526.0</v>
      </c>
      <c r="B527" s="34">
        <v>2017.0</v>
      </c>
      <c r="C527" s="34">
        <v>3.0</v>
      </c>
      <c r="D527" s="34">
        <v>4.0</v>
      </c>
      <c r="E527" s="34">
        <v>1.0</v>
      </c>
      <c r="F527" s="35" t="s">
        <v>145</v>
      </c>
      <c r="G527" s="35" t="s">
        <v>152</v>
      </c>
      <c r="H527" s="35">
        <v>6.83</v>
      </c>
      <c r="I527" s="35">
        <v>6.67</v>
      </c>
      <c r="J527" s="35">
        <v>13.5</v>
      </c>
    </row>
    <row r="528">
      <c r="A528" s="34">
        <v>527.0</v>
      </c>
      <c r="B528" s="34">
        <v>2017.0</v>
      </c>
      <c r="C528" s="34">
        <v>3.0</v>
      </c>
      <c r="D528" s="34">
        <v>4.0</v>
      </c>
      <c r="E528" s="34">
        <v>2.0</v>
      </c>
      <c r="F528" s="35" t="s">
        <v>145</v>
      </c>
      <c r="G528" s="35" t="s">
        <v>159</v>
      </c>
      <c r="H528" s="34">
        <v>8.0</v>
      </c>
      <c r="I528" s="35">
        <v>7.77</v>
      </c>
      <c r="J528" s="35">
        <v>15.77</v>
      </c>
    </row>
    <row r="529">
      <c r="A529" s="34">
        <v>528.0</v>
      </c>
      <c r="B529" s="34">
        <v>2017.0</v>
      </c>
      <c r="C529" s="34">
        <v>3.0</v>
      </c>
      <c r="D529" s="34">
        <v>4.0</v>
      </c>
      <c r="E529" s="34">
        <v>2.0</v>
      </c>
      <c r="F529" s="35" t="s">
        <v>145</v>
      </c>
      <c r="G529" s="35" t="s">
        <v>150</v>
      </c>
      <c r="H529" s="35">
        <v>7.33</v>
      </c>
      <c r="I529" s="35">
        <v>8.13</v>
      </c>
      <c r="J529" s="35">
        <v>15.46</v>
      </c>
    </row>
    <row r="530">
      <c r="A530" s="34">
        <v>529.0</v>
      </c>
      <c r="B530" s="34">
        <v>2017.0</v>
      </c>
      <c r="C530" s="34">
        <v>3.0</v>
      </c>
      <c r="D530" s="34">
        <v>4.0</v>
      </c>
      <c r="E530" s="34">
        <v>3.0</v>
      </c>
      <c r="F530" s="35" t="s">
        <v>145</v>
      </c>
      <c r="G530" s="35" t="s">
        <v>146</v>
      </c>
      <c r="H530" s="34">
        <v>6.0</v>
      </c>
      <c r="I530" s="35">
        <v>8.93</v>
      </c>
      <c r="J530" s="35">
        <v>14.93</v>
      </c>
    </row>
    <row r="531">
      <c r="A531" s="34">
        <v>530.0</v>
      </c>
      <c r="B531" s="34">
        <v>2017.0</v>
      </c>
      <c r="C531" s="34">
        <v>3.0</v>
      </c>
      <c r="D531" s="34">
        <v>4.0</v>
      </c>
      <c r="E531" s="34">
        <v>3.0</v>
      </c>
      <c r="F531" s="35" t="s">
        <v>145</v>
      </c>
      <c r="G531" s="35" t="s">
        <v>149</v>
      </c>
      <c r="H531" s="35">
        <v>7.67</v>
      </c>
      <c r="I531" s="35">
        <v>5.7</v>
      </c>
      <c r="J531" s="35">
        <v>13.37</v>
      </c>
    </row>
    <row r="532">
      <c r="A532" s="34">
        <v>531.0</v>
      </c>
      <c r="B532" s="34">
        <v>2017.0</v>
      </c>
      <c r="C532" s="34">
        <v>3.0</v>
      </c>
      <c r="D532" s="34">
        <v>4.0</v>
      </c>
      <c r="E532" s="34">
        <v>4.0</v>
      </c>
      <c r="F532" s="35" t="s">
        <v>145</v>
      </c>
      <c r="G532" s="35" t="s">
        <v>161</v>
      </c>
      <c r="H532" s="35">
        <v>8.4</v>
      </c>
      <c r="I532" s="35">
        <v>4.77</v>
      </c>
      <c r="J532" s="35">
        <v>13.17</v>
      </c>
    </row>
    <row r="533">
      <c r="A533" s="34">
        <v>532.0</v>
      </c>
      <c r="B533" s="34">
        <v>2017.0</v>
      </c>
      <c r="C533" s="34">
        <v>3.0</v>
      </c>
      <c r="D533" s="34">
        <v>4.0</v>
      </c>
      <c r="E533" s="34">
        <v>4.0</v>
      </c>
      <c r="F533" s="35" t="s">
        <v>145</v>
      </c>
      <c r="G533" s="35" t="s">
        <v>157</v>
      </c>
      <c r="H533" s="35">
        <v>6.5</v>
      </c>
      <c r="I533" s="35">
        <v>6.07</v>
      </c>
      <c r="J533" s="35">
        <v>12.57</v>
      </c>
    </row>
    <row r="534">
      <c r="A534" s="34">
        <v>533.0</v>
      </c>
      <c r="B534" s="34">
        <v>2017.0</v>
      </c>
      <c r="C534" s="34">
        <v>3.0</v>
      </c>
      <c r="D534" s="34">
        <v>5.0</v>
      </c>
      <c r="E534" s="34">
        <v>1.0</v>
      </c>
      <c r="F534" s="35" t="s">
        <v>145</v>
      </c>
      <c r="G534" s="35" t="s">
        <v>155</v>
      </c>
      <c r="H534" s="35">
        <v>8.73</v>
      </c>
      <c r="I534" s="35">
        <v>7.83</v>
      </c>
      <c r="J534" s="35">
        <v>16.56</v>
      </c>
    </row>
    <row r="535">
      <c r="A535" s="34">
        <v>534.0</v>
      </c>
      <c r="B535" s="34">
        <v>2017.0</v>
      </c>
      <c r="C535" s="34">
        <v>3.0</v>
      </c>
      <c r="D535" s="34">
        <v>5.0</v>
      </c>
      <c r="E535" s="34">
        <v>1.0</v>
      </c>
      <c r="F535" s="35" t="s">
        <v>145</v>
      </c>
      <c r="G535" s="35" t="s">
        <v>158</v>
      </c>
      <c r="H535" s="35">
        <v>8.33</v>
      </c>
      <c r="I535" s="34">
        <v>7.0</v>
      </c>
      <c r="J535" s="35">
        <v>15.33</v>
      </c>
    </row>
    <row r="536">
      <c r="A536" s="34">
        <v>535.0</v>
      </c>
      <c r="B536" s="34">
        <v>2017.0</v>
      </c>
      <c r="C536" s="34">
        <v>3.0</v>
      </c>
      <c r="D536" s="34">
        <v>5.0</v>
      </c>
      <c r="E536" s="34">
        <v>2.0</v>
      </c>
      <c r="F536" s="35" t="s">
        <v>145</v>
      </c>
      <c r="G536" s="35" t="s">
        <v>153</v>
      </c>
      <c r="H536" s="35">
        <v>8.23</v>
      </c>
      <c r="I536" s="35">
        <v>7.03</v>
      </c>
      <c r="J536" s="35">
        <v>15.26</v>
      </c>
    </row>
    <row r="537">
      <c r="A537" s="34">
        <v>536.0</v>
      </c>
      <c r="B537" s="34">
        <v>2017.0</v>
      </c>
      <c r="C537" s="34">
        <v>3.0</v>
      </c>
      <c r="D537" s="34">
        <v>5.0</v>
      </c>
      <c r="E537" s="34">
        <v>2.0</v>
      </c>
      <c r="F537" s="35" t="s">
        <v>145</v>
      </c>
      <c r="G537" s="35" t="s">
        <v>159</v>
      </c>
      <c r="H537" s="35">
        <v>5.83</v>
      </c>
      <c r="I537" s="35">
        <v>5.77</v>
      </c>
      <c r="J537" s="35">
        <v>11.6</v>
      </c>
    </row>
    <row r="538">
      <c r="A538" s="34">
        <v>537.0</v>
      </c>
      <c r="B538" s="34">
        <v>2017.0</v>
      </c>
      <c r="C538" s="34">
        <v>3.0</v>
      </c>
      <c r="D538" s="34">
        <v>5.0</v>
      </c>
      <c r="E538" s="34">
        <v>3.0</v>
      </c>
      <c r="F538" s="35" t="s">
        <v>145</v>
      </c>
      <c r="G538" s="35" t="s">
        <v>162</v>
      </c>
      <c r="H538" s="35">
        <v>8.33</v>
      </c>
      <c r="I538" s="35">
        <v>7.53</v>
      </c>
      <c r="J538" s="35">
        <v>15.86</v>
      </c>
    </row>
    <row r="539">
      <c r="A539" s="34">
        <v>538.0</v>
      </c>
      <c r="B539" s="34">
        <v>2017.0</v>
      </c>
      <c r="C539" s="34">
        <v>3.0</v>
      </c>
      <c r="D539" s="34">
        <v>5.0</v>
      </c>
      <c r="E539" s="34">
        <v>3.0</v>
      </c>
      <c r="F539" s="35" t="s">
        <v>145</v>
      </c>
      <c r="G539" s="35" t="s">
        <v>146</v>
      </c>
      <c r="H539" s="35">
        <v>8.6</v>
      </c>
      <c r="I539" s="34">
        <v>7.0</v>
      </c>
      <c r="J539" s="35">
        <v>15.6</v>
      </c>
    </row>
    <row r="540">
      <c r="A540" s="34">
        <v>539.0</v>
      </c>
      <c r="B540" s="34">
        <v>2017.0</v>
      </c>
      <c r="C540" s="34">
        <v>3.0</v>
      </c>
      <c r="D540" s="34">
        <v>5.0</v>
      </c>
      <c r="E540" s="34">
        <v>4.0</v>
      </c>
      <c r="F540" s="35" t="s">
        <v>145</v>
      </c>
      <c r="G540" s="35" t="s">
        <v>161</v>
      </c>
      <c r="H540" s="35">
        <v>9.43</v>
      </c>
      <c r="I540" s="35">
        <v>9.17</v>
      </c>
      <c r="J540" s="35">
        <v>18.6</v>
      </c>
    </row>
    <row r="541">
      <c r="A541" s="34">
        <v>540.0</v>
      </c>
      <c r="B541" s="34">
        <v>2017.0</v>
      </c>
      <c r="C541" s="34">
        <v>3.0</v>
      </c>
      <c r="D541" s="34">
        <v>5.0</v>
      </c>
      <c r="E541" s="34">
        <v>4.0</v>
      </c>
      <c r="F541" s="35" t="s">
        <v>145</v>
      </c>
      <c r="G541" s="35" t="s">
        <v>148</v>
      </c>
      <c r="H541" s="35">
        <v>6.83</v>
      </c>
      <c r="I541" s="35">
        <v>5.97</v>
      </c>
      <c r="J541" s="35">
        <v>12.8</v>
      </c>
    </row>
    <row r="542">
      <c r="A542" s="34">
        <v>541.0</v>
      </c>
      <c r="B542" s="34">
        <v>2017.0</v>
      </c>
      <c r="C542" s="34">
        <v>3.0</v>
      </c>
      <c r="D542" s="34">
        <v>6.0</v>
      </c>
      <c r="E542" s="34">
        <v>1.0</v>
      </c>
      <c r="F542" s="35" t="s">
        <v>145</v>
      </c>
      <c r="G542" s="35" t="s">
        <v>155</v>
      </c>
      <c r="H542" s="34">
        <v>9.0</v>
      </c>
      <c r="I542" s="35">
        <v>9.33</v>
      </c>
      <c r="J542" s="35">
        <v>18.33</v>
      </c>
    </row>
    <row r="543">
      <c r="A543" s="34">
        <v>542.0</v>
      </c>
      <c r="B543" s="34">
        <v>2017.0</v>
      </c>
      <c r="C543" s="34">
        <v>3.0</v>
      </c>
      <c r="D543" s="34">
        <v>6.0</v>
      </c>
      <c r="E543" s="34">
        <v>1.0</v>
      </c>
      <c r="F543" s="35" t="s">
        <v>145</v>
      </c>
      <c r="G543" s="35" t="s">
        <v>153</v>
      </c>
      <c r="H543" s="35">
        <v>7.17</v>
      </c>
      <c r="I543" s="35">
        <v>7.83</v>
      </c>
      <c r="J543" s="34">
        <v>15.0</v>
      </c>
    </row>
    <row r="544">
      <c r="A544" s="34">
        <v>543.0</v>
      </c>
      <c r="B544" s="34">
        <v>2017.0</v>
      </c>
      <c r="C544" s="34">
        <v>3.0</v>
      </c>
      <c r="D544" s="34">
        <v>6.0</v>
      </c>
      <c r="E544" s="34">
        <v>2.0</v>
      </c>
      <c r="F544" s="35" t="s">
        <v>145</v>
      </c>
      <c r="G544" s="35" t="s">
        <v>161</v>
      </c>
      <c r="H544" s="35">
        <v>8.33</v>
      </c>
      <c r="I544" s="35">
        <v>6.33</v>
      </c>
      <c r="J544" s="35">
        <v>14.66</v>
      </c>
    </row>
    <row r="545">
      <c r="A545" s="34">
        <v>544.0</v>
      </c>
      <c r="B545" s="34">
        <v>2017.0</v>
      </c>
      <c r="C545" s="34">
        <v>3.0</v>
      </c>
      <c r="D545" s="34">
        <v>6.0</v>
      </c>
      <c r="E545" s="34">
        <v>2.0</v>
      </c>
      <c r="F545" s="35" t="s">
        <v>145</v>
      </c>
      <c r="G545" s="35" t="s">
        <v>162</v>
      </c>
      <c r="H545" s="35">
        <v>4.33</v>
      </c>
      <c r="I545" s="35">
        <v>5.4</v>
      </c>
      <c r="J545" s="35">
        <v>9.73</v>
      </c>
    </row>
    <row r="546">
      <c r="A546" s="34">
        <v>545.0</v>
      </c>
      <c r="B546" s="34">
        <v>2017.0</v>
      </c>
      <c r="C546" s="34">
        <v>3.0</v>
      </c>
      <c r="D546" s="34">
        <v>7.0</v>
      </c>
      <c r="E546" s="34">
        <v>1.0</v>
      </c>
      <c r="F546" s="35" t="s">
        <v>145</v>
      </c>
      <c r="G546" s="35" t="s">
        <v>155</v>
      </c>
      <c r="H546" s="34">
        <v>8.0</v>
      </c>
      <c r="I546" s="34">
        <v>9.0</v>
      </c>
      <c r="J546" s="34">
        <v>17.0</v>
      </c>
    </row>
    <row r="547">
      <c r="A547" s="34">
        <v>546.0</v>
      </c>
      <c r="B547" s="34">
        <v>2017.0</v>
      </c>
      <c r="C547" s="34">
        <v>3.0</v>
      </c>
      <c r="D547" s="34">
        <v>7.0</v>
      </c>
      <c r="E547" s="34">
        <v>1.0</v>
      </c>
      <c r="F547" s="35" t="s">
        <v>145</v>
      </c>
      <c r="G547" s="35" t="s">
        <v>161</v>
      </c>
      <c r="H547" s="35">
        <v>8.33</v>
      </c>
      <c r="I547" s="34">
        <v>8.0</v>
      </c>
      <c r="J547" s="35">
        <v>16.33</v>
      </c>
    </row>
    <row r="548">
      <c r="A548" s="34">
        <v>547.0</v>
      </c>
      <c r="B548" s="34">
        <v>2017.0</v>
      </c>
      <c r="C548" s="34">
        <v>4.0</v>
      </c>
      <c r="D548" s="34">
        <v>1.0</v>
      </c>
      <c r="E548" s="34">
        <v>1.0</v>
      </c>
      <c r="F548" s="35" t="s">
        <v>16</v>
      </c>
      <c r="G548" s="43" t="s">
        <v>56</v>
      </c>
      <c r="H548" s="35">
        <v>6.17</v>
      </c>
      <c r="I548" s="35">
        <v>7.67</v>
      </c>
      <c r="J548" s="35">
        <v>13.84</v>
      </c>
      <c r="L548" s="3">
        <f t="shared" ref="L548:L665" si="4">IF(G548="Bino Lopes",J548,0)</f>
        <v>0</v>
      </c>
    </row>
    <row r="549">
      <c r="A549" s="34">
        <v>548.0</v>
      </c>
      <c r="B549" s="34">
        <v>2017.0</v>
      </c>
      <c r="C549" s="34">
        <v>4.0</v>
      </c>
      <c r="D549" s="34">
        <v>1.0</v>
      </c>
      <c r="E549" s="34">
        <v>1.0</v>
      </c>
      <c r="F549" s="35" t="s">
        <v>16</v>
      </c>
      <c r="G549" s="35" t="s">
        <v>30</v>
      </c>
      <c r="H549" s="34">
        <v>6.0</v>
      </c>
      <c r="I549" s="35">
        <v>7.1</v>
      </c>
      <c r="J549" s="35">
        <v>13.1</v>
      </c>
      <c r="L549" s="3">
        <f t="shared" si="4"/>
        <v>0</v>
      </c>
    </row>
    <row r="550">
      <c r="A550" s="34">
        <v>549.0</v>
      </c>
      <c r="B550" s="34">
        <v>2017.0</v>
      </c>
      <c r="C550" s="34">
        <v>4.0</v>
      </c>
      <c r="D550" s="34">
        <v>1.0</v>
      </c>
      <c r="E550" s="34">
        <v>1.0</v>
      </c>
      <c r="F550" s="35" t="s">
        <v>16</v>
      </c>
      <c r="G550" s="35" t="s">
        <v>69</v>
      </c>
      <c r="H550" s="34">
        <v>5.0</v>
      </c>
      <c r="I550" s="35">
        <v>5.6</v>
      </c>
      <c r="J550" s="35">
        <v>10.6</v>
      </c>
      <c r="L550" s="3">
        <f t="shared" si="4"/>
        <v>0</v>
      </c>
    </row>
    <row r="551">
      <c r="A551" s="34">
        <v>550.0</v>
      </c>
      <c r="B551" s="34">
        <v>2017.0</v>
      </c>
      <c r="C551" s="34">
        <v>4.0</v>
      </c>
      <c r="D551" s="34">
        <v>1.0</v>
      </c>
      <c r="E551" s="34">
        <v>2.0</v>
      </c>
      <c r="F551" s="35" t="s">
        <v>16</v>
      </c>
      <c r="G551" s="43" t="s">
        <v>42</v>
      </c>
      <c r="H551" s="35">
        <v>5.93</v>
      </c>
      <c r="I551" s="35">
        <v>6.33</v>
      </c>
      <c r="J551" s="35">
        <v>12.26</v>
      </c>
      <c r="L551" s="3">
        <f t="shared" si="4"/>
        <v>0</v>
      </c>
    </row>
    <row r="552">
      <c r="A552" s="34">
        <v>551.0</v>
      </c>
      <c r="B552" s="34">
        <v>2017.0</v>
      </c>
      <c r="C552" s="34">
        <v>4.0</v>
      </c>
      <c r="D552" s="34">
        <v>1.0</v>
      </c>
      <c r="E552" s="34">
        <v>2.0</v>
      </c>
      <c r="F552" s="35" t="s">
        <v>16</v>
      </c>
      <c r="G552" s="35" t="s">
        <v>35</v>
      </c>
      <c r="H552" s="35">
        <v>5.33</v>
      </c>
      <c r="I552" s="35">
        <v>4.83</v>
      </c>
      <c r="J552" s="35">
        <v>10.16</v>
      </c>
      <c r="L552" s="3">
        <f t="shared" si="4"/>
        <v>0</v>
      </c>
    </row>
    <row r="553">
      <c r="A553" s="34">
        <v>552.0</v>
      </c>
      <c r="B553" s="34">
        <v>2017.0</v>
      </c>
      <c r="C553" s="34">
        <v>4.0</v>
      </c>
      <c r="D553" s="34">
        <v>1.0</v>
      </c>
      <c r="E553" s="34">
        <v>2.0</v>
      </c>
      <c r="F553" s="35" t="s">
        <v>16</v>
      </c>
      <c r="G553" s="35" t="s">
        <v>54</v>
      </c>
      <c r="H553" s="35">
        <v>3.87</v>
      </c>
      <c r="I553" s="35">
        <v>5.1</v>
      </c>
      <c r="J553" s="35">
        <v>8.97</v>
      </c>
      <c r="L553" s="3">
        <f t="shared" si="4"/>
        <v>0</v>
      </c>
    </row>
    <row r="554">
      <c r="A554" s="34">
        <v>553.0</v>
      </c>
      <c r="B554" s="34">
        <v>2017.0</v>
      </c>
      <c r="C554" s="34">
        <v>4.0</v>
      </c>
      <c r="D554" s="34">
        <v>1.0</v>
      </c>
      <c r="E554" s="34">
        <v>3.0</v>
      </c>
      <c r="F554" s="35" t="s">
        <v>16</v>
      </c>
      <c r="G554" s="43" t="s">
        <v>50</v>
      </c>
      <c r="H554" s="35">
        <v>6.67</v>
      </c>
      <c r="I554" s="35">
        <v>7.77</v>
      </c>
      <c r="J554" s="35">
        <v>14.44</v>
      </c>
      <c r="L554" s="3">
        <f t="shared" si="4"/>
        <v>0</v>
      </c>
    </row>
    <row r="555">
      <c r="A555" s="34">
        <v>554.0</v>
      </c>
      <c r="B555" s="34">
        <v>2017.0</v>
      </c>
      <c r="C555" s="34">
        <v>4.0</v>
      </c>
      <c r="D555" s="34">
        <v>1.0</v>
      </c>
      <c r="E555" s="34">
        <v>3.0</v>
      </c>
      <c r="F555" s="35" t="s">
        <v>16</v>
      </c>
      <c r="G555" s="35" t="s">
        <v>57</v>
      </c>
      <c r="H555" s="35">
        <v>7.27</v>
      </c>
      <c r="I555" s="35">
        <v>6.7</v>
      </c>
      <c r="J555" s="35">
        <v>13.97</v>
      </c>
      <c r="L555" s="3">
        <f t="shared" si="4"/>
        <v>0</v>
      </c>
    </row>
    <row r="556">
      <c r="A556" s="34">
        <v>555.0</v>
      </c>
      <c r="B556" s="34">
        <v>2017.0</v>
      </c>
      <c r="C556" s="34">
        <v>4.0</v>
      </c>
      <c r="D556" s="34">
        <v>1.0</v>
      </c>
      <c r="E556" s="34">
        <v>3.0</v>
      </c>
      <c r="F556" s="35" t="s">
        <v>16</v>
      </c>
      <c r="G556" s="35" t="s">
        <v>141</v>
      </c>
      <c r="H556" s="35">
        <v>4.23</v>
      </c>
      <c r="I556" s="35">
        <v>5.87</v>
      </c>
      <c r="J556" s="35">
        <v>10.1</v>
      </c>
      <c r="L556" s="3">
        <f t="shared" si="4"/>
        <v>0</v>
      </c>
    </row>
    <row r="557">
      <c r="A557" s="34">
        <v>556.0</v>
      </c>
      <c r="B557" s="34">
        <v>2017.0</v>
      </c>
      <c r="C557" s="34">
        <v>4.0</v>
      </c>
      <c r="D557" s="34">
        <v>1.0</v>
      </c>
      <c r="E557" s="34">
        <v>4.0</v>
      </c>
      <c r="F557" s="35" t="s">
        <v>16</v>
      </c>
      <c r="G557" s="43" t="s">
        <v>45</v>
      </c>
      <c r="H557" s="35">
        <v>6.17</v>
      </c>
      <c r="I557" s="35">
        <v>8.1</v>
      </c>
      <c r="J557" s="35">
        <v>14.27</v>
      </c>
      <c r="L557" s="3">
        <f t="shared" si="4"/>
        <v>0</v>
      </c>
    </row>
    <row r="558">
      <c r="A558" s="34">
        <v>557.0</v>
      </c>
      <c r="B558" s="34">
        <v>2017.0</v>
      </c>
      <c r="C558" s="34">
        <v>4.0</v>
      </c>
      <c r="D558" s="34">
        <v>1.0</v>
      </c>
      <c r="E558" s="34">
        <v>4.0</v>
      </c>
      <c r="F558" s="35" t="s">
        <v>16</v>
      </c>
      <c r="G558" s="35" t="s">
        <v>142</v>
      </c>
      <c r="H558" s="35">
        <v>6.33</v>
      </c>
      <c r="I558" s="35">
        <v>6.3</v>
      </c>
      <c r="J558" s="35">
        <v>12.63</v>
      </c>
      <c r="L558" s="3">
        <f t="shared" si="4"/>
        <v>0</v>
      </c>
    </row>
    <row r="559">
      <c r="A559" s="34">
        <v>558.0</v>
      </c>
      <c r="B559" s="34">
        <v>2017.0</v>
      </c>
      <c r="C559" s="34">
        <v>4.0</v>
      </c>
      <c r="D559" s="34">
        <v>1.0</v>
      </c>
      <c r="E559" s="34">
        <v>4.0</v>
      </c>
      <c r="F559" s="35" t="s">
        <v>16</v>
      </c>
      <c r="G559" s="35" t="s">
        <v>32</v>
      </c>
      <c r="H559" s="35">
        <v>7.67</v>
      </c>
      <c r="I559" s="35">
        <v>4.17</v>
      </c>
      <c r="J559" s="35">
        <v>11.84</v>
      </c>
      <c r="L559" s="3">
        <f t="shared" si="4"/>
        <v>0</v>
      </c>
    </row>
    <row r="560">
      <c r="A560" s="34">
        <v>559.0</v>
      </c>
      <c r="B560" s="34">
        <v>2017.0</v>
      </c>
      <c r="C560" s="34">
        <v>4.0</v>
      </c>
      <c r="D560" s="34">
        <v>1.0</v>
      </c>
      <c r="E560" s="34">
        <v>5.0</v>
      </c>
      <c r="F560" s="35" t="s">
        <v>16</v>
      </c>
      <c r="G560" s="43" t="s">
        <v>28</v>
      </c>
      <c r="H560" s="35">
        <v>6.53</v>
      </c>
      <c r="I560" s="35">
        <v>4.67</v>
      </c>
      <c r="J560" s="35">
        <v>11.2</v>
      </c>
      <c r="L560" s="3">
        <f t="shared" si="4"/>
        <v>0</v>
      </c>
    </row>
    <row r="561">
      <c r="A561" s="34">
        <v>560.0</v>
      </c>
      <c r="B561" s="34">
        <v>2017.0</v>
      </c>
      <c r="C561" s="34">
        <v>4.0</v>
      </c>
      <c r="D561" s="34">
        <v>1.0</v>
      </c>
      <c r="E561" s="34">
        <v>5.0</v>
      </c>
      <c r="F561" s="35" t="s">
        <v>16</v>
      </c>
      <c r="G561" s="35" t="s">
        <v>168</v>
      </c>
      <c r="H561" s="35">
        <v>5.33</v>
      </c>
      <c r="I561" s="35">
        <v>5.73</v>
      </c>
      <c r="J561" s="35">
        <v>11.06</v>
      </c>
      <c r="L561" s="3">
        <f t="shared" si="4"/>
        <v>11.06</v>
      </c>
    </row>
    <row r="562">
      <c r="A562" s="34">
        <v>561.0</v>
      </c>
      <c r="B562" s="34">
        <v>2017.0</v>
      </c>
      <c r="C562" s="34">
        <v>4.0</v>
      </c>
      <c r="D562" s="34">
        <v>1.0</v>
      </c>
      <c r="E562" s="34">
        <v>5.0</v>
      </c>
      <c r="F562" s="35" t="s">
        <v>16</v>
      </c>
      <c r="G562" s="35" t="s">
        <v>68</v>
      </c>
      <c r="H562" s="35">
        <v>3.53</v>
      </c>
      <c r="I562" s="35">
        <v>4.63</v>
      </c>
      <c r="J562" s="35">
        <v>8.16</v>
      </c>
      <c r="L562" s="3">
        <f t="shared" si="4"/>
        <v>0</v>
      </c>
    </row>
    <row r="563">
      <c r="A563" s="34">
        <v>562.0</v>
      </c>
      <c r="B563" s="34">
        <v>2017.0</v>
      </c>
      <c r="C563" s="34">
        <v>4.0</v>
      </c>
      <c r="D563" s="34">
        <v>1.0</v>
      </c>
      <c r="E563" s="34">
        <v>6.0</v>
      </c>
      <c r="F563" s="35" t="s">
        <v>16</v>
      </c>
      <c r="G563" s="43" t="s">
        <v>26</v>
      </c>
      <c r="H563" s="35">
        <v>6.5</v>
      </c>
      <c r="I563" s="35">
        <v>8.17</v>
      </c>
      <c r="J563" s="35">
        <v>14.67</v>
      </c>
      <c r="L563" s="3">
        <f t="shared" si="4"/>
        <v>0</v>
      </c>
    </row>
    <row r="564">
      <c r="A564" s="34">
        <v>563.0</v>
      </c>
      <c r="B564" s="34">
        <v>2017.0</v>
      </c>
      <c r="C564" s="34">
        <v>4.0</v>
      </c>
      <c r="D564" s="34">
        <v>1.0</v>
      </c>
      <c r="E564" s="34">
        <v>6.0</v>
      </c>
      <c r="F564" s="35" t="s">
        <v>16</v>
      </c>
      <c r="G564" s="39" t="s">
        <v>169</v>
      </c>
      <c r="H564" s="35">
        <v>5.37</v>
      </c>
      <c r="I564" s="35">
        <v>9.27</v>
      </c>
      <c r="J564" s="35">
        <v>14.64</v>
      </c>
      <c r="L564" s="3">
        <f t="shared" si="4"/>
        <v>0</v>
      </c>
    </row>
    <row r="565">
      <c r="A565" s="34">
        <v>564.0</v>
      </c>
      <c r="B565" s="34">
        <v>2017.0</v>
      </c>
      <c r="C565" s="34">
        <v>4.0</v>
      </c>
      <c r="D565" s="34">
        <v>1.0</v>
      </c>
      <c r="E565" s="34">
        <v>6.0</v>
      </c>
      <c r="F565" s="35" t="s">
        <v>16</v>
      </c>
      <c r="G565" s="35" t="s">
        <v>55</v>
      </c>
      <c r="H565" s="35">
        <v>7.67</v>
      </c>
      <c r="I565" s="35">
        <v>5.73</v>
      </c>
      <c r="J565" s="35">
        <v>13.4</v>
      </c>
      <c r="L565" s="3">
        <f t="shared" si="4"/>
        <v>0</v>
      </c>
    </row>
    <row r="566">
      <c r="A566" s="34">
        <v>565.0</v>
      </c>
      <c r="B566" s="34">
        <v>2017.0</v>
      </c>
      <c r="C566" s="34">
        <v>4.0</v>
      </c>
      <c r="D566" s="34">
        <v>1.0</v>
      </c>
      <c r="E566" s="34">
        <v>7.0</v>
      </c>
      <c r="F566" s="35" t="s">
        <v>16</v>
      </c>
      <c r="G566" s="43" t="s">
        <v>33</v>
      </c>
      <c r="H566" s="35">
        <v>7.33</v>
      </c>
      <c r="I566" s="35">
        <v>8.93</v>
      </c>
      <c r="J566" s="35">
        <v>16.26</v>
      </c>
      <c r="L566" s="3">
        <f t="shared" si="4"/>
        <v>0</v>
      </c>
    </row>
    <row r="567">
      <c r="A567" s="34">
        <v>566.0</v>
      </c>
      <c r="B567" s="34">
        <v>2017.0</v>
      </c>
      <c r="C567" s="34">
        <v>4.0</v>
      </c>
      <c r="D567" s="34">
        <v>1.0</v>
      </c>
      <c r="E567" s="34">
        <v>7.0</v>
      </c>
      <c r="F567" s="35" t="s">
        <v>16</v>
      </c>
      <c r="G567" s="35" t="s">
        <v>63</v>
      </c>
      <c r="H567" s="35">
        <v>6.57</v>
      </c>
      <c r="I567" s="35">
        <v>4.27</v>
      </c>
      <c r="J567" s="35">
        <v>10.84</v>
      </c>
      <c r="L567" s="3">
        <f t="shared" si="4"/>
        <v>0</v>
      </c>
    </row>
    <row r="568">
      <c r="A568" s="34">
        <v>567.0</v>
      </c>
      <c r="B568" s="34">
        <v>2017.0</v>
      </c>
      <c r="C568" s="34">
        <v>4.0</v>
      </c>
      <c r="D568" s="34">
        <v>1.0</v>
      </c>
      <c r="E568" s="34">
        <v>7.0</v>
      </c>
      <c r="F568" s="35" t="s">
        <v>16</v>
      </c>
      <c r="G568" s="35" t="s">
        <v>64</v>
      </c>
      <c r="H568" s="35">
        <v>4.03</v>
      </c>
      <c r="I568" s="35">
        <v>3.67</v>
      </c>
      <c r="J568" s="35">
        <v>7.7</v>
      </c>
      <c r="L568" s="3">
        <f t="shared" si="4"/>
        <v>0</v>
      </c>
    </row>
    <row r="569">
      <c r="A569" s="34">
        <v>568.0</v>
      </c>
      <c r="B569" s="34">
        <v>2017.0</v>
      </c>
      <c r="C569" s="34">
        <v>4.0</v>
      </c>
      <c r="D569" s="34">
        <v>1.0</v>
      </c>
      <c r="E569" s="34">
        <v>8.0</v>
      </c>
      <c r="F569" s="35" t="s">
        <v>16</v>
      </c>
      <c r="G569" s="43" t="s">
        <v>67</v>
      </c>
      <c r="H569" s="39">
        <v>7.67</v>
      </c>
      <c r="I569" s="35">
        <v>6.73</v>
      </c>
      <c r="J569" s="35">
        <v>14.4</v>
      </c>
      <c r="L569" s="3">
        <f t="shared" si="4"/>
        <v>0</v>
      </c>
    </row>
    <row r="570">
      <c r="A570" s="34">
        <v>569.0</v>
      </c>
      <c r="B570" s="34">
        <v>2017.0</v>
      </c>
      <c r="C570" s="34">
        <v>4.0</v>
      </c>
      <c r="D570" s="34">
        <v>1.0</v>
      </c>
      <c r="E570" s="34">
        <v>8.0</v>
      </c>
      <c r="F570" s="35" t="s">
        <v>16</v>
      </c>
      <c r="G570" s="35" t="s">
        <v>47</v>
      </c>
      <c r="H570" s="35">
        <v>8.63</v>
      </c>
      <c r="I570" s="35">
        <v>4.9</v>
      </c>
      <c r="J570" s="35">
        <v>13.53</v>
      </c>
      <c r="L570" s="3">
        <f t="shared" si="4"/>
        <v>0</v>
      </c>
    </row>
    <row r="571">
      <c r="A571" s="34">
        <v>570.0</v>
      </c>
      <c r="B571" s="34">
        <v>2017.0</v>
      </c>
      <c r="C571" s="34">
        <v>4.0</v>
      </c>
      <c r="D571" s="34">
        <v>1.0</v>
      </c>
      <c r="E571" s="34">
        <v>8.0</v>
      </c>
      <c r="F571" s="35" t="s">
        <v>16</v>
      </c>
      <c r="G571" s="35" t="s">
        <v>34</v>
      </c>
      <c r="H571" s="35">
        <v>0.73</v>
      </c>
      <c r="I571" s="35">
        <v>5.5</v>
      </c>
      <c r="J571" s="35">
        <v>6.23</v>
      </c>
      <c r="L571" s="3">
        <f t="shared" si="4"/>
        <v>0</v>
      </c>
    </row>
    <row r="572">
      <c r="A572" s="34">
        <v>571.0</v>
      </c>
      <c r="B572" s="34">
        <v>2017.0</v>
      </c>
      <c r="C572" s="34">
        <v>4.0</v>
      </c>
      <c r="D572" s="34">
        <v>1.0</v>
      </c>
      <c r="E572" s="34">
        <v>9.0</v>
      </c>
      <c r="F572" s="35" t="s">
        <v>16</v>
      </c>
      <c r="G572" s="43" t="s">
        <v>39</v>
      </c>
      <c r="H572" s="35">
        <v>7.67</v>
      </c>
      <c r="I572" s="35">
        <v>8.53</v>
      </c>
      <c r="J572" s="35">
        <v>16.2</v>
      </c>
      <c r="L572" s="3">
        <f t="shared" si="4"/>
        <v>0</v>
      </c>
    </row>
    <row r="573">
      <c r="A573" s="34">
        <v>572.0</v>
      </c>
      <c r="B573" s="34">
        <v>2017.0</v>
      </c>
      <c r="C573" s="34">
        <v>4.0</v>
      </c>
      <c r="D573" s="34">
        <v>1.0</v>
      </c>
      <c r="E573" s="34">
        <v>9.0</v>
      </c>
      <c r="F573" s="35" t="s">
        <v>16</v>
      </c>
      <c r="G573" s="35" t="s">
        <v>65</v>
      </c>
      <c r="H573" s="35">
        <v>6.83</v>
      </c>
      <c r="I573" s="35">
        <v>8.87</v>
      </c>
      <c r="J573" s="35">
        <v>15.7</v>
      </c>
      <c r="L573" s="3">
        <f t="shared" si="4"/>
        <v>0</v>
      </c>
    </row>
    <row r="574">
      <c r="A574" s="34">
        <v>573.0</v>
      </c>
      <c r="B574" s="34">
        <v>2017.0</v>
      </c>
      <c r="C574" s="34">
        <v>4.0</v>
      </c>
      <c r="D574" s="34">
        <v>1.0</v>
      </c>
      <c r="E574" s="34">
        <v>9.0</v>
      </c>
      <c r="F574" s="35" t="s">
        <v>16</v>
      </c>
      <c r="G574" s="35" t="s">
        <v>61</v>
      </c>
      <c r="H574" s="35">
        <v>4.33</v>
      </c>
      <c r="I574" s="35">
        <v>2.67</v>
      </c>
      <c r="J574" s="34">
        <v>7.0</v>
      </c>
      <c r="L574" s="3">
        <f t="shared" si="4"/>
        <v>0</v>
      </c>
    </row>
    <row r="575">
      <c r="A575" s="34">
        <v>574.0</v>
      </c>
      <c r="B575" s="34">
        <v>2017.0</v>
      </c>
      <c r="C575" s="34">
        <v>4.0</v>
      </c>
      <c r="D575" s="34">
        <v>1.0</v>
      </c>
      <c r="E575" s="34">
        <v>10.0</v>
      </c>
      <c r="F575" s="35" t="s">
        <v>16</v>
      </c>
      <c r="G575" s="43" t="s">
        <v>41</v>
      </c>
      <c r="H575" s="35">
        <v>7.67</v>
      </c>
      <c r="I575" s="35">
        <v>6.77</v>
      </c>
      <c r="J575" s="35">
        <v>14.44</v>
      </c>
      <c r="L575" s="3">
        <f t="shared" si="4"/>
        <v>0</v>
      </c>
    </row>
    <row r="576">
      <c r="A576" s="34">
        <v>575.0</v>
      </c>
      <c r="B576" s="34">
        <v>2017.0</v>
      </c>
      <c r="C576" s="34">
        <v>4.0</v>
      </c>
      <c r="D576" s="34">
        <v>1.0</v>
      </c>
      <c r="E576" s="34">
        <v>10.0</v>
      </c>
      <c r="F576" s="35" t="s">
        <v>16</v>
      </c>
      <c r="G576" s="35" t="s">
        <v>59</v>
      </c>
      <c r="H576" s="35">
        <v>6.5</v>
      </c>
      <c r="I576" s="35">
        <v>6.1</v>
      </c>
      <c r="J576" s="35">
        <v>12.6</v>
      </c>
      <c r="L576" s="3">
        <f t="shared" si="4"/>
        <v>0</v>
      </c>
    </row>
    <row r="577">
      <c r="A577" s="34">
        <v>576.0</v>
      </c>
      <c r="B577" s="34">
        <v>2017.0</v>
      </c>
      <c r="C577" s="34">
        <v>4.0</v>
      </c>
      <c r="D577" s="34">
        <v>1.0</v>
      </c>
      <c r="E577" s="34">
        <v>10.0</v>
      </c>
      <c r="F577" s="35" t="s">
        <v>16</v>
      </c>
      <c r="G577" s="35" t="s">
        <v>27</v>
      </c>
      <c r="H577" s="34">
        <v>4.0</v>
      </c>
      <c r="I577" s="35">
        <v>5.13</v>
      </c>
      <c r="J577" s="35">
        <v>9.13</v>
      </c>
      <c r="L577" s="3">
        <f t="shared" si="4"/>
        <v>0</v>
      </c>
    </row>
    <row r="578">
      <c r="A578" s="34">
        <v>577.0</v>
      </c>
      <c r="B578" s="34">
        <v>2017.0</v>
      </c>
      <c r="C578" s="34">
        <v>4.0</v>
      </c>
      <c r="D578" s="34">
        <v>1.0</v>
      </c>
      <c r="E578" s="34">
        <v>11.0</v>
      </c>
      <c r="F578" s="35" t="s">
        <v>16</v>
      </c>
      <c r="G578" s="43" t="s">
        <v>53</v>
      </c>
      <c r="H578" s="35">
        <v>5.77</v>
      </c>
      <c r="I578" s="34">
        <v>8.0</v>
      </c>
      <c r="J578" s="35">
        <v>13.77</v>
      </c>
      <c r="L578" s="3">
        <f t="shared" si="4"/>
        <v>0</v>
      </c>
    </row>
    <row r="579">
      <c r="A579" s="34">
        <v>578.0</v>
      </c>
      <c r="B579" s="34">
        <v>2017.0</v>
      </c>
      <c r="C579" s="34">
        <v>4.0</v>
      </c>
      <c r="D579" s="34">
        <v>1.0</v>
      </c>
      <c r="E579" s="34">
        <v>11.0</v>
      </c>
      <c r="F579" s="35" t="s">
        <v>16</v>
      </c>
      <c r="G579" s="35" t="s">
        <v>52</v>
      </c>
      <c r="H579" s="35">
        <v>6.67</v>
      </c>
      <c r="I579" s="35">
        <v>6.93</v>
      </c>
      <c r="J579" s="35">
        <v>13.6</v>
      </c>
      <c r="L579" s="3">
        <f t="shared" si="4"/>
        <v>0</v>
      </c>
    </row>
    <row r="580">
      <c r="A580" s="34">
        <v>579.0</v>
      </c>
      <c r="B580" s="34">
        <v>2017.0</v>
      </c>
      <c r="C580" s="34">
        <v>4.0</v>
      </c>
      <c r="D580" s="34">
        <v>1.0</v>
      </c>
      <c r="E580" s="34">
        <v>11.0</v>
      </c>
      <c r="F580" s="35" t="s">
        <v>16</v>
      </c>
      <c r="G580" s="35" t="s">
        <v>38</v>
      </c>
      <c r="H580" s="35">
        <v>4.93</v>
      </c>
      <c r="I580" s="35">
        <v>6.33</v>
      </c>
      <c r="J580" s="35">
        <v>11.26</v>
      </c>
      <c r="L580" s="3">
        <f t="shared" si="4"/>
        <v>0</v>
      </c>
    </row>
    <row r="581">
      <c r="A581" s="34">
        <v>580.0</v>
      </c>
      <c r="B581" s="34">
        <v>2017.0</v>
      </c>
      <c r="C581" s="34">
        <v>4.0</v>
      </c>
      <c r="D581" s="34">
        <v>1.0</v>
      </c>
      <c r="E581" s="34">
        <v>12.0</v>
      </c>
      <c r="F581" s="35" t="s">
        <v>16</v>
      </c>
      <c r="G581" s="43" t="s">
        <v>31</v>
      </c>
      <c r="H581" s="35">
        <v>9.77</v>
      </c>
      <c r="I581" s="35">
        <v>6.57</v>
      </c>
      <c r="J581" s="35">
        <v>16.34</v>
      </c>
      <c r="L581" s="3">
        <f t="shared" si="4"/>
        <v>0</v>
      </c>
    </row>
    <row r="582">
      <c r="A582" s="34">
        <v>581.0</v>
      </c>
      <c r="B582" s="34">
        <v>2017.0</v>
      </c>
      <c r="C582" s="34">
        <v>4.0</v>
      </c>
      <c r="D582" s="34">
        <v>1.0</v>
      </c>
      <c r="E582" s="34">
        <v>12.0</v>
      </c>
      <c r="F582" s="35" t="s">
        <v>16</v>
      </c>
      <c r="G582" s="35" t="s">
        <v>36</v>
      </c>
      <c r="H582" s="35">
        <v>7.33</v>
      </c>
      <c r="I582" s="35">
        <v>5.53</v>
      </c>
      <c r="J582" s="35">
        <v>12.86</v>
      </c>
      <c r="L582" s="3">
        <f t="shared" si="4"/>
        <v>0</v>
      </c>
    </row>
    <row r="583">
      <c r="A583" s="34">
        <v>582.0</v>
      </c>
      <c r="B583" s="34">
        <v>2017.0</v>
      </c>
      <c r="C583" s="34">
        <v>4.0</v>
      </c>
      <c r="D583" s="34">
        <v>1.0</v>
      </c>
      <c r="E583" s="34">
        <v>12.0</v>
      </c>
      <c r="F583" s="35" t="s">
        <v>16</v>
      </c>
      <c r="G583" s="35" t="s">
        <v>40</v>
      </c>
      <c r="H583" s="34">
        <v>1.0</v>
      </c>
      <c r="I583" s="35">
        <v>2.17</v>
      </c>
      <c r="J583" s="35">
        <v>3.17</v>
      </c>
      <c r="L583" s="3">
        <f t="shared" si="4"/>
        <v>0</v>
      </c>
    </row>
    <row r="584">
      <c r="A584" s="34">
        <v>583.0</v>
      </c>
      <c r="B584" s="34">
        <v>2017.0</v>
      </c>
      <c r="C584" s="34">
        <v>4.0</v>
      </c>
      <c r="D584" s="34">
        <v>2.0</v>
      </c>
      <c r="E584" s="34">
        <v>1.0</v>
      </c>
      <c r="F584" s="35" t="s">
        <v>16</v>
      </c>
      <c r="G584" s="43" t="s">
        <v>169</v>
      </c>
      <c r="H584" s="35">
        <v>9.1</v>
      </c>
      <c r="I584" s="35">
        <v>5.17</v>
      </c>
      <c r="J584" s="35">
        <v>14.27</v>
      </c>
      <c r="L584" s="3">
        <f t="shared" si="4"/>
        <v>0</v>
      </c>
    </row>
    <row r="585">
      <c r="A585" s="34">
        <v>584.0</v>
      </c>
      <c r="B585" s="34">
        <v>2017.0</v>
      </c>
      <c r="C585" s="34">
        <v>4.0</v>
      </c>
      <c r="D585" s="34">
        <v>2.0</v>
      </c>
      <c r="E585" s="34">
        <v>1.0</v>
      </c>
      <c r="F585" s="35" t="s">
        <v>16</v>
      </c>
      <c r="G585" s="35" t="s">
        <v>32</v>
      </c>
      <c r="H585" s="39">
        <v>6.23</v>
      </c>
      <c r="I585" s="34">
        <v>7.0</v>
      </c>
      <c r="J585" s="35">
        <v>13.23</v>
      </c>
      <c r="L585" s="3">
        <f t="shared" si="4"/>
        <v>0</v>
      </c>
    </row>
    <row r="586">
      <c r="A586" s="34">
        <v>585.0</v>
      </c>
      <c r="B586" s="34">
        <v>2017.0</v>
      </c>
      <c r="C586" s="34">
        <v>4.0</v>
      </c>
      <c r="D586" s="34">
        <v>2.0</v>
      </c>
      <c r="E586" s="34">
        <v>2.0</v>
      </c>
      <c r="F586" s="35" t="s">
        <v>16</v>
      </c>
      <c r="G586" s="43" t="s">
        <v>57</v>
      </c>
      <c r="H586" s="35">
        <v>8.5</v>
      </c>
      <c r="I586" s="35">
        <v>7.5</v>
      </c>
      <c r="J586" s="34">
        <v>16.0</v>
      </c>
      <c r="L586" s="3">
        <f t="shared" si="4"/>
        <v>0</v>
      </c>
    </row>
    <row r="587">
      <c r="A587" s="34">
        <v>586.0</v>
      </c>
      <c r="B587" s="34">
        <v>2017.0</v>
      </c>
      <c r="C587" s="34">
        <v>4.0</v>
      </c>
      <c r="D587" s="34">
        <v>2.0</v>
      </c>
      <c r="E587" s="34">
        <v>2.0</v>
      </c>
      <c r="F587" s="35" t="s">
        <v>16</v>
      </c>
      <c r="G587" s="39" t="s">
        <v>168</v>
      </c>
      <c r="H587" s="35">
        <v>5.67</v>
      </c>
      <c r="I587" s="35">
        <v>3.3</v>
      </c>
      <c r="J587" s="35">
        <v>8.97</v>
      </c>
      <c r="L587" s="3">
        <f t="shared" si="4"/>
        <v>8.97</v>
      </c>
    </row>
    <row r="588">
      <c r="A588" s="34">
        <v>587.0</v>
      </c>
      <c r="B588" s="34">
        <v>2017.0</v>
      </c>
      <c r="C588" s="34">
        <v>4.0</v>
      </c>
      <c r="D588" s="34">
        <v>2.0</v>
      </c>
      <c r="E588" s="34">
        <v>3.0</v>
      </c>
      <c r="F588" s="35" t="s">
        <v>16</v>
      </c>
      <c r="G588" s="43" t="s">
        <v>30</v>
      </c>
      <c r="H588" s="35">
        <v>6.6</v>
      </c>
      <c r="I588" s="35">
        <v>7.6</v>
      </c>
      <c r="J588" s="35">
        <v>14.2</v>
      </c>
      <c r="L588" s="3">
        <f t="shared" si="4"/>
        <v>0</v>
      </c>
    </row>
    <row r="589">
      <c r="A589" s="34">
        <v>588.0</v>
      </c>
      <c r="B589" s="34">
        <v>2017.0</v>
      </c>
      <c r="C589" s="34">
        <v>4.0</v>
      </c>
      <c r="D589" s="34">
        <v>2.0</v>
      </c>
      <c r="E589" s="34">
        <v>3.0</v>
      </c>
      <c r="F589" s="35" t="s">
        <v>16</v>
      </c>
      <c r="G589" s="35" t="s">
        <v>142</v>
      </c>
      <c r="H589" s="35">
        <v>5.83</v>
      </c>
      <c r="I589" s="35">
        <v>4.83</v>
      </c>
      <c r="J589" s="35">
        <v>10.66</v>
      </c>
      <c r="L589" s="3">
        <f t="shared" si="4"/>
        <v>0</v>
      </c>
    </row>
    <row r="590">
      <c r="A590" s="34">
        <v>589.0</v>
      </c>
      <c r="B590" s="34">
        <v>2017.0</v>
      </c>
      <c r="C590" s="34">
        <v>4.0</v>
      </c>
      <c r="D590" s="34">
        <v>2.0</v>
      </c>
      <c r="E590" s="34">
        <v>4.0</v>
      </c>
      <c r="F590" s="35" t="s">
        <v>16</v>
      </c>
      <c r="G590" s="43" t="s">
        <v>34</v>
      </c>
      <c r="H590" s="35">
        <v>5.5</v>
      </c>
      <c r="I590" s="35">
        <v>5.5</v>
      </c>
      <c r="J590" s="34">
        <v>11.0</v>
      </c>
      <c r="L590" s="3">
        <f t="shared" si="4"/>
        <v>0</v>
      </c>
    </row>
    <row r="591">
      <c r="A591" s="34">
        <v>590.0</v>
      </c>
      <c r="B591" s="34">
        <v>2017.0</v>
      </c>
      <c r="C591" s="34">
        <v>4.0</v>
      </c>
      <c r="D591" s="34">
        <v>2.0</v>
      </c>
      <c r="E591" s="34">
        <v>4.0</v>
      </c>
      <c r="F591" s="35" t="s">
        <v>16</v>
      </c>
      <c r="G591" s="35" t="s">
        <v>141</v>
      </c>
      <c r="H591" s="35">
        <v>3.93</v>
      </c>
      <c r="I591" s="35">
        <v>6.5</v>
      </c>
      <c r="J591" s="35">
        <v>10.43</v>
      </c>
      <c r="L591" s="3">
        <f t="shared" si="4"/>
        <v>0</v>
      </c>
    </row>
    <row r="592">
      <c r="A592" s="34">
        <v>591.0</v>
      </c>
      <c r="B592" s="34">
        <v>2017.0</v>
      </c>
      <c r="C592" s="34">
        <v>4.0</v>
      </c>
      <c r="D592" s="34">
        <v>2.0</v>
      </c>
      <c r="E592" s="34">
        <v>5.0</v>
      </c>
      <c r="F592" s="35" t="s">
        <v>16</v>
      </c>
      <c r="G592" s="43" t="s">
        <v>35</v>
      </c>
      <c r="H592" s="35">
        <v>4.83</v>
      </c>
      <c r="I592" s="35">
        <v>6.17</v>
      </c>
      <c r="J592" s="34">
        <v>11.0</v>
      </c>
      <c r="L592" s="3">
        <f t="shared" si="4"/>
        <v>0</v>
      </c>
    </row>
    <row r="593">
      <c r="A593" s="34">
        <v>592.0</v>
      </c>
      <c r="B593" s="34">
        <v>2017.0</v>
      </c>
      <c r="C593" s="34">
        <v>4.0</v>
      </c>
      <c r="D593" s="34">
        <v>2.0</v>
      </c>
      <c r="E593" s="34">
        <v>5.0</v>
      </c>
      <c r="F593" s="35" t="s">
        <v>16</v>
      </c>
      <c r="G593" s="35" t="s">
        <v>27</v>
      </c>
      <c r="H593" s="35">
        <v>6.6</v>
      </c>
      <c r="I593" s="35">
        <v>3.67</v>
      </c>
      <c r="J593" s="35">
        <v>10.27</v>
      </c>
      <c r="L593" s="3">
        <f t="shared" si="4"/>
        <v>0</v>
      </c>
    </row>
    <row r="594">
      <c r="A594" s="34">
        <v>593.0</v>
      </c>
      <c r="B594" s="34">
        <v>2017.0</v>
      </c>
      <c r="C594" s="34">
        <v>4.0</v>
      </c>
      <c r="D594" s="34">
        <v>2.0</v>
      </c>
      <c r="E594" s="34">
        <v>6.0</v>
      </c>
      <c r="F594" s="35" t="s">
        <v>16</v>
      </c>
      <c r="G594" s="43" t="s">
        <v>38</v>
      </c>
      <c r="H594" s="35">
        <v>5.27</v>
      </c>
      <c r="I594" s="35">
        <v>5.63</v>
      </c>
      <c r="J594" s="35">
        <v>10.9</v>
      </c>
      <c r="L594" s="3">
        <f t="shared" si="4"/>
        <v>0</v>
      </c>
    </row>
    <row r="595">
      <c r="A595" s="34">
        <v>594.0</v>
      </c>
      <c r="B595" s="34">
        <v>2017.0</v>
      </c>
      <c r="C595" s="34">
        <v>4.0</v>
      </c>
      <c r="D595" s="34">
        <v>2.0</v>
      </c>
      <c r="E595" s="34">
        <v>6.0</v>
      </c>
      <c r="F595" s="35" t="s">
        <v>16</v>
      </c>
      <c r="G595" s="35" t="s">
        <v>63</v>
      </c>
      <c r="H595" s="35">
        <v>2.8</v>
      </c>
      <c r="I595" s="35">
        <v>2.27</v>
      </c>
      <c r="J595" s="35">
        <v>5.07</v>
      </c>
      <c r="L595" s="3">
        <f t="shared" si="4"/>
        <v>0</v>
      </c>
    </row>
    <row r="596">
      <c r="A596" s="34">
        <v>595.0</v>
      </c>
      <c r="B596" s="34">
        <v>2017.0</v>
      </c>
      <c r="C596" s="34">
        <v>4.0</v>
      </c>
      <c r="D596" s="34">
        <v>2.0</v>
      </c>
      <c r="E596" s="34">
        <v>7.0</v>
      </c>
      <c r="F596" s="35" t="s">
        <v>16</v>
      </c>
      <c r="G596" s="43" t="s">
        <v>40</v>
      </c>
      <c r="H596" s="35">
        <v>8.7</v>
      </c>
      <c r="I596" s="35">
        <v>6.17</v>
      </c>
      <c r="J596" s="35">
        <v>14.87</v>
      </c>
      <c r="L596" s="3">
        <f t="shared" si="4"/>
        <v>0</v>
      </c>
    </row>
    <row r="597">
      <c r="A597" s="34">
        <v>596.0</v>
      </c>
      <c r="B597" s="34">
        <v>2017.0</v>
      </c>
      <c r="C597" s="34">
        <v>4.0</v>
      </c>
      <c r="D597" s="34">
        <v>2.0</v>
      </c>
      <c r="E597" s="34">
        <v>7.0</v>
      </c>
      <c r="F597" s="35" t="s">
        <v>16</v>
      </c>
      <c r="G597" s="35" t="s">
        <v>65</v>
      </c>
      <c r="H597" s="34">
        <v>7.0</v>
      </c>
      <c r="I597" s="35">
        <v>5.4</v>
      </c>
      <c r="J597" s="35">
        <v>12.4</v>
      </c>
      <c r="L597" s="3">
        <f t="shared" si="4"/>
        <v>0</v>
      </c>
    </row>
    <row r="598">
      <c r="A598" s="34">
        <v>597.0</v>
      </c>
      <c r="B598" s="34">
        <v>2017.0</v>
      </c>
      <c r="C598" s="34">
        <v>4.0</v>
      </c>
      <c r="D598" s="34">
        <v>2.0</v>
      </c>
      <c r="E598" s="34">
        <v>8.0</v>
      </c>
      <c r="F598" s="35" t="s">
        <v>16</v>
      </c>
      <c r="G598" s="43" t="s">
        <v>59</v>
      </c>
      <c r="H598" s="35">
        <v>7.83</v>
      </c>
      <c r="I598" s="35">
        <v>6.77</v>
      </c>
      <c r="J598" s="35">
        <v>14.6</v>
      </c>
      <c r="L598" s="3">
        <f t="shared" si="4"/>
        <v>0</v>
      </c>
    </row>
    <row r="599">
      <c r="A599" s="34">
        <v>598.0</v>
      </c>
      <c r="B599" s="34">
        <v>2017.0</v>
      </c>
      <c r="C599" s="34">
        <v>4.0</v>
      </c>
      <c r="D599" s="34">
        <v>2.0</v>
      </c>
      <c r="E599" s="34">
        <v>8.0</v>
      </c>
      <c r="F599" s="35" t="s">
        <v>16</v>
      </c>
      <c r="G599" s="35" t="s">
        <v>52</v>
      </c>
      <c r="H599" s="35">
        <v>4.33</v>
      </c>
      <c r="I599" s="35">
        <v>5.83</v>
      </c>
      <c r="J599" s="35">
        <v>10.16</v>
      </c>
      <c r="L599" s="3">
        <f t="shared" si="4"/>
        <v>0</v>
      </c>
    </row>
    <row r="600">
      <c r="A600" s="34">
        <v>599.0</v>
      </c>
      <c r="B600" s="34">
        <v>2017.0</v>
      </c>
      <c r="C600" s="34">
        <v>4.0</v>
      </c>
      <c r="D600" s="34">
        <v>2.0</v>
      </c>
      <c r="E600" s="34">
        <v>9.0</v>
      </c>
      <c r="F600" s="35" t="s">
        <v>16</v>
      </c>
      <c r="G600" s="43" t="s">
        <v>61</v>
      </c>
      <c r="H600" s="34">
        <v>9.0</v>
      </c>
      <c r="I600" s="35">
        <v>9.2</v>
      </c>
      <c r="J600" s="35">
        <v>18.2</v>
      </c>
      <c r="L600" s="3">
        <f t="shared" si="4"/>
        <v>0</v>
      </c>
    </row>
    <row r="601">
      <c r="A601" s="34">
        <v>600.0</v>
      </c>
      <c r="B601" s="34">
        <v>2017.0</v>
      </c>
      <c r="C601" s="34">
        <v>4.0</v>
      </c>
      <c r="D601" s="34">
        <v>2.0</v>
      </c>
      <c r="E601" s="34">
        <v>9.0</v>
      </c>
      <c r="F601" s="35" t="s">
        <v>16</v>
      </c>
      <c r="G601" s="35" t="s">
        <v>36</v>
      </c>
      <c r="H601" s="35">
        <v>7.33</v>
      </c>
      <c r="I601" s="35">
        <v>7.83</v>
      </c>
      <c r="J601" s="35">
        <v>15.16</v>
      </c>
      <c r="L601" s="3">
        <f t="shared" si="4"/>
        <v>0</v>
      </c>
    </row>
    <row r="602">
      <c r="A602" s="34">
        <v>601.0</v>
      </c>
      <c r="B602" s="34">
        <v>2017.0</v>
      </c>
      <c r="C602" s="34">
        <v>4.0</v>
      </c>
      <c r="D602" s="34">
        <v>2.0</v>
      </c>
      <c r="E602" s="34">
        <v>10.0</v>
      </c>
      <c r="F602" s="35" t="s">
        <v>16</v>
      </c>
      <c r="G602" s="43" t="s">
        <v>47</v>
      </c>
      <c r="H602" s="35">
        <v>7.77</v>
      </c>
      <c r="I602" s="35">
        <v>7.17</v>
      </c>
      <c r="J602" s="35">
        <v>14.94</v>
      </c>
      <c r="L602" s="3">
        <f t="shared" si="4"/>
        <v>0</v>
      </c>
    </row>
    <row r="603">
      <c r="A603" s="34">
        <v>602.0</v>
      </c>
      <c r="B603" s="34">
        <v>2017.0</v>
      </c>
      <c r="C603" s="34">
        <v>4.0</v>
      </c>
      <c r="D603" s="34">
        <v>2.0</v>
      </c>
      <c r="E603" s="34">
        <v>10.0</v>
      </c>
      <c r="F603" s="35" t="s">
        <v>16</v>
      </c>
      <c r="G603" s="35" t="s">
        <v>55</v>
      </c>
      <c r="H603" s="34">
        <v>6.0</v>
      </c>
      <c r="I603" s="35">
        <v>6.67</v>
      </c>
      <c r="J603" s="35">
        <v>12.67</v>
      </c>
      <c r="L603" s="3">
        <f t="shared" si="4"/>
        <v>0</v>
      </c>
    </row>
    <row r="604">
      <c r="A604" s="34">
        <v>603.0</v>
      </c>
      <c r="B604" s="34">
        <v>2017.0</v>
      </c>
      <c r="C604" s="34">
        <v>4.0</v>
      </c>
      <c r="D604" s="34">
        <v>2.0</v>
      </c>
      <c r="E604" s="34">
        <v>11.0</v>
      </c>
      <c r="F604" s="35" t="s">
        <v>16</v>
      </c>
      <c r="G604" s="43" t="s">
        <v>64</v>
      </c>
      <c r="H604" s="35">
        <v>6.73</v>
      </c>
      <c r="I604" s="35">
        <v>7.67</v>
      </c>
      <c r="J604" s="35">
        <v>14.4</v>
      </c>
      <c r="L604" s="3">
        <f t="shared" si="4"/>
        <v>0</v>
      </c>
    </row>
    <row r="605">
      <c r="A605" s="34">
        <v>604.0</v>
      </c>
      <c r="B605" s="34">
        <v>2017.0</v>
      </c>
      <c r="C605" s="34">
        <v>4.0</v>
      </c>
      <c r="D605" s="34">
        <v>2.0</v>
      </c>
      <c r="E605" s="34">
        <v>11.0</v>
      </c>
      <c r="F605" s="35" t="s">
        <v>16</v>
      </c>
      <c r="G605" s="35" t="s">
        <v>68</v>
      </c>
      <c r="H605" s="34">
        <v>7.0</v>
      </c>
      <c r="I605" s="35">
        <v>6.53</v>
      </c>
      <c r="J605" s="35">
        <v>13.53</v>
      </c>
      <c r="L605" s="3">
        <f t="shared" si="4"/>
        <v>0</v>
      </c>
    </row>
    <row r="606">
      <c r="A606" s="34">
        <v>605.0</v>
      </c>
      <c r="B606" s="34">
        <v>2017.0</v>
      </c>
      <c r="C606" s="34">
        <v>4.0</v>
      </c>
      <c r="D606" s="34">
        <v>2.0</v>
      </c>
      <c r="E606" s="34">
        <v>12.0</v>
      </c>
      <c r="F606" s="35" t="s">
        <v>16</v>
      </c>
      <c r="G606" s="43" t="s">
        <v>54</v>
      </c>
      <c r="H606" s="35">
        <v>8.5</v>
      </c>
      <c r="I606" s="35">
        <v>7.1</v>
      </c>
      <c r="J606" s="35">
        <v>15.6</v>
      </c>
      <c r="L606" s="3">
        <f t="shared" si="4"/>
        <v>0</v>
      </c>
    </row>
    <row r="607">
      <c r="A607" s="34">
        <v>606.0</v>
      </c>
      <c r="B607" s="34">
        <v>2017.0</v>
      </c>
      <c r="C607" s="34">
        <v>4.0</v>
      </c>
      <c r="D607" s="34">
        <v>2.0</v>
      </c>
      <c r="E607" s="34">
        <v>12.0</v>
      </c>
      <c r="F607" s="35" t="s">
        <v>16</v>
      </c>
      <c r="G607" s="35" t="s">
        <v>69</v>
      </c>
      <c r="H607" s="35">
        <v>7.33</v>
      </c>
      <c r="I607" s="35">
        <v>7.93</v>
      </c>
      <c r="J607" s="35">
        <v>15.26</v>
      </c>
      <c r="L607" s="3">
        <f t="shared" si="4"/>
        <v>0</v>
      </c>
    </row>
    <row r="608">
      <c r="A608" s="34">
        <v>607.0</v>
      </c>
      <c r="B608" s="34">
        <v>2017.0</v>
      </c>
      <c r="C608" s="34">
        <v>4.0</v>
      </c>
      <c r="D608" s="34">
        <v>3.0</v>
      </c>
      <c r="E608" s="34">
        <v>1.0</v>
      </c>
      <c r="F608" s="35" t="s">
        <v>16</v>
      </c>
      <c r="G608" s="43" t="s">
        <v>42</v>
      </c>
      <c r="H608" s="35">
        <v>7.17</v>
      </c>
      <c r="I608" s="35">
        <v>8.5</v>
      </c>
      <c r="J608" s="35">
        <v>15.67</v>
      </c>
      <c r="L608" s="3">
        <f t="shared" si="4"/>
        <v>0</v>
      </c>
    </row>
    <row r="609">
      <c r="A609" s="34">
        <v>608.0</v>
      </c>
      <c r="B609" s="34">
        <v>2017.0</v>
      </c>
      <c r="C609" s="34">
        <v>4.0</v>
      </c>
      <c r="D609" s="34">
        <v>3.0</v>
      </c>
      <c r="E609" s="34">
        <v>1.0</v>
      </c>
      <c r="F609" s="35" t="s">
        <v>16</v>
      </c>
      <c r="G609" s="35" t="s">
        <v>67</v>
      </c>
      <c r="H609" s="35">
        <v>6.5</v>
      </c>
      <c r="I609" s="35">
        <v>5.83</v>
      </c>
      <c r="J609" s="35">
        <v>12.33</v>
      </c>
      <c r="L609" s="3">
        <f t="shared" si="4"/>
        <v>0</v>
      </c>
    </row>
    <row r="610">
      <c r="A610" s="34">
        <v>609.0</v>
      </c>
      <c r="B610" s="34">
        <v>2017.0</v>
      </c>
      <c r="C610" s="34">
        <v>4.0</v>
      </c>
      <c r="D610" s="34">
        <v>3.0</v>
      </c>
      <c r="E610" s="34">
        <v>2.0</v>
      </c>
      <c r="F610" s="35" t="s">
        <v>16</v>
      </c>
      <c r="G610" s="43" t="s">
        <v>54</v>
      </c>
      <c r="H610" s="34">
        <v>9.0</v>
      </c>
      <c r="I610" s="35">
        <v>9.27</v>
      </c>
      <c r="J610" s="35">
        <v>18.27</v>
      </c>
      <c r="L610" s="3">
        <f t="shared" si="4"/>
        <v>0</v>
      </c>
    </row>
    <row r="611">
      <c r="A611" s="34">
        <v>610.0</v>
      </c>
      <c r="B611" s="34">
        <v>2017.0</v>
      </c>
      <c r="C611" s="34">
        <v>4.0</v>
      </c>
      <c r="D611" s="34">
        <v>3.0</v>
      </c>
      <c r="E611" s="34">
        <v>2.0</v>
      </c>
      <c r="F611" s="35" t="s">
        <v>16</v>
      </c>
      <c r="G611" s="35" t="s">
        <v>38</v>
      </c>
      <c r="H611" s="35">
        <v>7.83</v>
      </c>
      <c r="I611" s="35">
        <v>3.9</v>
      </c>
      <c r="J611" s="35">
        <v>11.73</v>
      </c>
      <c r="L611" s="3">
        <f t="shared" si="4"/>
        <v>0</v>
      </c>
    </row>
    <row r="612">
      <c r="A612" s="34">
        <v>611.0</v>
      </c>
      <c r="B612" s="34">
        <v>2017.0</v>
      </c>
      <c r="C612" s="34">
        <v>4.0</v>
      </c>
      <c r="D612" s="34">
        <v>3.0</v>
      </c>
      <c r="E612" s="34">
        <v>3.0</v>
      </c>
      <c r="F612" s="35" t="s">
        <v>16</v>
      </c>
      <c r="G612" s="43" t="s">
        <v>30</v>
      </c>
      <c r="H612" s="35">
        <v>7.5</v>
      </c>
      <c r="I612" s="35">
        <v>6.8</v>
      </c>
      <c r="J612" s="35">
        <v>14.3</v>
      </c>
      <c r="L612" s="3">
        <f t="shared" si="4"/>
        <v>0</v>
      </c>
    </row>
    <row r="613">
      <c r="A613" s="34">
        <v>612.0</v>
      </c>
      <c r="B613" s="34">
        <v>2017.0</v>
      </c>
      <c r="C613" s="34">
        <v>4.0</v>
      </c>
      <c r="D613" s="34">
        <v>3.0</v>
      </c>
      <c r="E613" s="34">
        <v>3.0</v>
      </c>
      <c r="F613" s="35" t="s">
        <v>16</v>
      </c>
      <c r="G613" s="35" t="s">
        <v>59</v>
      </c>
      <c r="H613" s="35">
        <v>7.53</v>
      </c>
      <c r="I613" s="35">
        <v>6.33</v>
      </c>
      <c r="J613" s="35">
        <v>13.86</v>
      </c>
      <c r="L613" s="3">
        <f t="shared" si="4"/>
        <v>0</v>
      </c>
    </row>
    <row r="614">
      <c r="A614" s="34">
        <v>613.0</v>
      </c>
      <c r="B614" s="34">
        <v>2017.0</v>
      </c>
      <c r="C614" s="34">
        <v>4.0</v>
      </c>
      <c r="D614" s="34">
        <v>3.0</v>
      </c>
      <c r="E614" s="34">
        <v>4.0</v>
      </c>
      <c r="F614" s="35" t="s">
        <v>16</v>
      </c>
      <c r="G614" s="43" t="s">
        <v>39</v>
      </c>
      <c r="H614" s="35">
        <v>6.93</v>
      </c>
      <c r="I614" s="35">
        <v>8.5</v>
      </c>
      <c r="J614" s="35">
        <v>15.43</v>
      </c>
      <c r="L614" s="3">
        <f t="shared" si="4"/>
        <v>0</v>
      </c>
    </row>
    <row r="615">
      <c r="A615" s="34">
        <v>614.0</v>
      </c>
      <c r="B615" s="34">
        <v>2017.0</v>
      </c>
      <c r="C615" s="34">
        <v>4.0</v>
      </c>
      <c r="D615" s="34">
        <v>3.0</v>
      </c>
      <c r="E615" s="34">
        <v>4.0</v>
      </c>
      <c r="F615" s="35" t="s">
        <v>16</v>
      </c>
      <c r="G615" s="35" t="s">
        <v>50</v>
      </c>
      <c r="H615" s="35">
        <v>5.57</v>
      </c>
      <c r="I615" s="35">
        <v>5.87</v>
      </c>
      <c r="J615" s="35">
        <v>11.44</v>
      </c>
      <c r="L615" s="3">
        <f t="shared" si="4"/>
        <v>0</v>
      </c>
    </row>
    <row r="616">
      <c r="A616" s="34">
        <v>615.0</v>
      </c>
      <c r="B616" s="34">
        <v>2017.0</v>
      </c>
      <c r="C616" s="34">
        <v>4.0</v>
      </c>
      <c r="D616" s="34">
        <v>3.0</v>
      </c>
      <c r="E616" s="34">
        <v>5.0</v>
      </c>
      <c r="F616" s="35" t="s">
        <v>16</v>
      </c>
      <c r="G616" s="43" t="s">
        <v>41</v>
      </c>
      <c r="H616" s="35">
        <v>6.23</v>
      </c>
      <c r="I616" s="35">
        <v>7.17</v>
      </c>
      <c r="J616" s="35">
        <v>13.4</v>
      </c>
      <c r="L616" s="3">
        <f t="shared" si="4"/>
        <v>0</v>
      </c>
    </row>
    <row r="617">
      <c r="A617" s="34">
        <v>616.0</v>
      </c>
      <c r="B617" s="34">
        <v>2017.0</v>
      </c>
      <c r="C617" s="34">
        <v>4.0</v>
      </c>
      <c r="D617" s="34">
        <v>3.0</v>
      </c>
      <c r="E617" s="34">
        <v>5.0</v>
      </c>
      <c r="F617" s="35" t="s">
        <v>16</v>
      </c>
      <c r="G617" s="35" t="s">
        <v>61</v>
      </c>
      <c r="H617" s="35">
        <v>6.5</v>
      </c>
      <c r="I617" s="35">
        <v>5.4</v>
      </c>
      <c r="J617" s="35">
        <v>11.9</v>
      </c>
      <c r="L617" s="3">
        <f t="shared" si="4"/>
        <v>0</v>
      </c>
    </row>
    <row r="618">
      <c r="A618" s="34">
        <v>617.0</v>
      </c>
      <c r="B618" s="34">
        <v>2017.0</v>
      </c>
      <c r="C618" s="34">
        <v>4.0</v>
      </c>
      <c r="D618" s="34">
        <v>3.0</v>
      </c>
      <c r="E618" s="34">
        <v>6.0</v>
      </c>
      <c r="F618" s="35" t="s">
        <v>16</v>
      </c>
      <c r="G618" s="43" t="s">
        <v>169</v>
      </c>
      <c r="H618" s="35">
        <v>8.33</v>
      </c>
      <c r="I618" s="35">
        <v>7.17</v>
      </c>
      <c r="J618" s="35">
        <v>15.5</v>
      </c>
      <c r="L618" s="3">
        <f t="shared" si="4"/>
        <v>0</v>
      </c>
    </row>
    <row r="619">
      <c r="A619" s="34">
        <v>618.0</v>
      </c>
      <c r="B619" s="34">
        <v>2017.0</v>
      </c>
      <c r="C619" s="34">
        <v>4.0</v>
      </c>
      <c r="D619" s="34">
        <v>3.0</v>
      </c>
      <c r="E619" s="34">
        <v>6.0</v>
      </c>
      <c r="F619" s="35" t="s">
        <v>16</v>
      </c>
      <c r="G619" s="35" t="s">
        <v>26</v>
      </c>
      <c r="H619" s="35">
        <v>4.33</v>
      </c>
      <c r="I619" s="35">
        <v>5.83</v>
      </c>
      <c r="J619" s="35">
        <v>10.16</v>
      </c>
      <c r="L619" s="3">
        <f t="shared" si="4"/>
        <v>0</v>
      </c>
    </row>
    <row r="620">
      <c r="A620" s="34">
        <v>619.0</v>
      </c>
      <c r="B620" s="34">
        <v>2017.0</v>
      </c>
      <c r="C620" s="34">
        <v>4.0</v>
      </c>
      <c r="D620" s="34">
        <v>3.0</v>
      </c>
      <c r="E620" s="34">
        <v>7.0</v>
      </c>
      <c r="F620" s="35" t="s">
        <v>16</v>
      </c>
      <c r="G620" s="43" t="s">
        <v>28</v>
      </c>
      <c r="H620" s="35">
        <v>7.17</v>
      </c>
      <c r="I620" s="35">
        <v>7.73</v>
      </c>
      <c r="J620" s="35">
        <v>14.9</v>
      </c>
      <c r="L620" s="3">
        <f t="shared" si="4"/>
        <v>0</v>
      </c>
    </row>
    <row r="621">
      <c r="A621" s="34">
        <v>620.0</v>
      </c>
      <c r="B621" s="34">
        <v>2017.0</v>
      </c>
      <c r="C621" s="34">
        <v>4.0</v>
      </c>
      <c r="D621" s="34">
        <v>3.0</v>
      </c>
      <c r="E621" s="34">
        <v>7.0</v>
      </c>
      <c r="F621" s="35" t="s">
        <v>16</v>
      </c>
      <c r="G621" s="35" t="s">
        <v>35</v>
      </c>
      <c r="H621" s="35">
        <v>7.17</v>
      </c>
      <c r="I621" s="35">
        <v>7.1</v>
      </c>
      <c r="J621" s="35">
        <v>14.27</v>
      </c>
      <c r="L621" s="3">
        <f t="shared" si="4"/>
        <v>0</v>
      </c>
    </row>
    <row r="622">
      <c r="A622" s="34">
        <v>621.0</v>
      </c>
      <c r="B622" s="34">
        <v>2017.0</v>
      </c>
      <c r="C622" s="34">
        <v>4.0</v>
      </c>
      <c r="D622" s="34">
        <v>3.0</v>
      </c>
      <c r="E622" s="34">
        <v>8.0</v>
      </c>
      <c r="F622" s="35" t="s">
        <v>16</v>
      </c>
      <c r="G622" s="43" t="s">
        <v>40</v>
      </c>
      <c r="H622" s="35">
        <v>6.33</v>
      </c>
      <c r="I622" s="35">
        <v>6.83</v>
      </c>
      <c r="J622" s="35">
        <v>13.16</v>
      </c>
      <c r="L622" s="3">
        <f t="shared" si="4"/>
        <v>0</v>
      </c>
    </row>
    <row r="623">
      <c r="A623" s="34">
        <v>622.0</v>
      </c>
      <c r="B623" s="34">
        <v>2017.0</v>
      </c>
      <c r="C623" s="34">
        <v>4.0</v>
      </c>
      <c r="D623" s="34">
        <v>3.0</v>
      </c>
      <c r="E623" s="34">
        <v>8.0</v>
      </c>
      <c r="F623" s="35" t="s">
        <v>16</v>
      </c>
      <c r="G623" s="35" t="s">
        <v>47</v>
      </c>
      <c r="H623" s="35">
        <v>7.07</v>
      </c>
      <c r="I623" s="35">
        <v>4.17</v>
      </c>
      <c r="J623" s="35">
        <v>11.24</v>
      </c>
      <c r="L623" s="3">
        <f t="shared" si="4"/>
        <v>0</v>
      </c>
    </row>
    <row r="624">
      <c r="A624" s="34">
        <v>623.0</v>
      </c>
      <c r="B624" s="34">
        <v>2017.0</v>
      </c>
      <c r="C624" s="34">
        <v>4.0</v>
      </c>
      <c r="D624" s="34">
        <v>3.0</v>
      </c>
      <c r="E624" s="34">
        <v>9.0</v>
      </c>
      <c r="F624" s="35" t="s">
        <v>16</v>
      </c>
      <c r="G624" s="43" t="s">
        <v>34</v>
      </c>
      <c r="H624" s="35">
        <v>5.83</v>
      </c>
      <c r="I624" s="35">
        <v>7.17</v>
      </c>
      <c r="J624" s="34">
        <v>13.0</v>
      </c>
      <c r="L624" s="3">
        <f t="shared" si="4"/>
        <v>0</v>
      </c>
    </row>
    <row r="625">
      <c r="A625" s="34">
        <v>624.0</v>
      </c>
      <c r="B625" s="34">
        <v>2017.0</v>
      </c>
      <c r="C625" s="34">
        <v>4.0</v>
      </c>
      <c r="D625" s="34">
        <v>3.0</v>
      </c>
      <c r="E625" s="34">
        <v>9.0</v>
      </c>
      <c r="F625" s="35" t="s">
        <v>16</v>
      </c>
      <c r="G625" s="35" t="s">
        <v>45</v>
      </c>
      <c r="H625" s="35">
        <v>6.83</v>
      </c>
      <c r="I625" s="35">
        <v>5.9</v>
      </c>
      <c r="J625" s="35">
        <v>12.73</v>
      </c>
      <c r="L625" s="3">
        <f t="shared" si="4"/>
        <v>0</v>
      </c>
    </row>
    <row r="626">
      <c r="A626" s="34">
        <v>625.0</v>
      </c>
      <c r="B626" s="34">
        <v>2017.0</v>
      </c>
      <c r="C626" s="34">
        <v>4.0</v>
      </c>
      <c r="D626" s="34">
        <v>3.0</v>
      </c>
      <c r="E626" s="34">
        <v>10.0</v>
      </c>
      <c r="F626" s="35" t="s">
        <v>16</v>
      </c>
      <c r="G626" s="43" t="s">
        <v>33</v>
      </c>
      <c r="H626" s="35">
        <v>5.33</v>
      </c>
      <c r="I626" s="35">
        <v>6.4</v>
      </c>
      <c r="J626" s="35">
        <v>11.73</v>
      </c>
      <c r="L626" s="3">
        <f t="shared" si="4"/>
        <v>0</v>
      </c>
    </row>
    <row r="627">
      <c r="A627" s="34">
        <v>626.0</v>
      </c>
      <c r="B627" s="34">
        <v>2017.0</v>
      </c>
      <c r="C627" s="34">
        <v>4.0</v>
      </c>
      <c r="D627" s="34">
        <v>3.0</v>
      </c>
      <c r="E627" s="34">
        <v>10.0</v>
      </c>
      <c r="F627" s="35" t="s">
        <v>16</v>
      </c>
      <c r="G627" s="35" t="s">
        <v>53</v>
      </c>
      <c r="H627" s="35">
        <v>2.84</v>
      </c>
      <c r="I627" s="35">
        <v>5.73</v>
      </c>
      <c r="J627" s="35">
        <v>8.57</v>
      </c>
      <c r="L627" s="3">
        <f t="shared" si="4"/>
        <v>0</v>
      </c>
    </row>
    <row r="628">
      <c r="A628" s="34">
        <v>627.0</v>
      </c>
      <c r="B628" s="34">
        <v>2017.0</v>
      </c>
      <c r="C628" s="34">
        <v>4.0</v>
      </c>
      <c r="D628" s="34">
        <v>3.0</v>
      </c>
      <c r="E628" s="34">
        <v>11.0</v>
      </c>
      <c r="F628" s="35" t="s">
        <v>16</v>
      </c>
      <c r="G628" s="43" t="s">
        <v>31</v>
      </c>
      <c r="H628" s="34">
        <v>8.0</v>
      </c>
      <c r="I628" s="35">
        <v>8.23</v>
      </c>
      <c r="J628" s="35">
        <v>16.23</v>
      </c>
      <c r="L628" s="3">
        <f t="shared" si="4"/>
        <v>0</v>
      </c>
    </row>
    <row r="629">
      <c r="A629" s="34">
        <v>628.0</v>
      </c>
      <c r="B629" s="34">
        <v>2017.0</v>
      </c>
      <c r="C629" s="34">
        <v>4.0</v>
      </c>
      <c r="D629" s="34">
        <v>3.0</v>
      </c>
      <c r="E629" s="34">
        <v>11.0</v>
      </c>
      <c r="F629" s="35" t="s">
        <v>16</v>
      </c>
      <c r="G629" s="35" t="s">
        <v>64</v>
      </c>
      <c r="H629" s="35">
        <v>6.93</v>
      </c>
      <c r="I629" s="35">
        <v>9.2</v>
      </c>
      <c r="J629" s="35">
        <v>16.13</v>
      </c>
      <c r="L629" s="3">
        <f t="shared" si="4"/>
        <v>0</v>
      </c>
    </row>
    <row r="630">
      <c r="A630" s="34">
        <v>629.0</v>
      </c>
      <c r="B630" s="34">
        <v>2017.0</v>
      </c>
      <c r="C630" s="34">
        <v>4.0</v>
      </c>
      <c r="D630" s="34">
        <v>3.0</v>
      </c>
      <c r="E630" s="34">
        <v>12.0</v>
      </c>
      <c r="F630" s="35" t="s">
        <v>16</v>
      </c>
      <c r="G630" s="43" t="s">
        <v>57</v>
      </c>
      <c r="H630" s="35">
        <v>8.3</v>
      </c>
      <c r="I630" s="35">
        <v>8.7</v>
      </c>
      <c r="J630" s="34">
        <v>17.0</v>
      </c>
      <c r="L630" s="3">
        <f t="shared" si="4"/>
        <v>0</v>
      </c>
    </row>
    <row r="631">
      <c r="A631" s="34">
        <v>630.0</v>
      </c>
      <c r="B631" s="34">
        <v>2017.0</v>
      </c>
      <c r="C631" s="34">
        <v>4.0</v>
      </c>
      <c r="D631" s="34">
        <v>3.0</v>
      </c>
      <c r="E631" s="34">
        <v>12.0</v>
      </c>
      <c r="F631" s="35" t="s">
        <v>16</v>
      </c>
      <c r="G631" s="35" t="s">
        <v>56</v>
      </c>
      <c r="H631" s="35">
        <v>7.83</v>
      </c>
      <c r="I631" s="35">
        <v>8.03</v>
      </c>
      <c r="J631" s="35">
        <v>15.86</v>
      </c>
      <c r="L631" s="3">
        <f t="shared" si="4"/>
        <v>0</v>
      </c>
    </row>
    <row r="632">
      <c r="A632" s="34">
        <v>631.0</v>
      </c>
      <c r="B632" s="34">
        <v>2017.0</v>
      </c>
      <c r="C632" s="34">
        <v>4.0</v>
      </c>
      <c r="D632" s="34">
        <v>4.0</v>
      </c>
      <c r="E632" s="34">
        <v>1.0</v>
      </c>
      <c r="F632" s="35" t="s">
        <v>16</v>
      </c>
      <c r="G632" s="43" t="s">
        <v>42</v>
      </c>
      <c r="H632" s="35">
        <v>8.67</v>
      </c>
      <c r="I632" s="35">
        <v>8.6</v>
      </c>
      <c r="J632" s="35">
        <v>17.27</v>
      </c>
      <c r="L632" s="3">
        <f t="shared" si="4"/>
        <v>0</v>
      </c>
    </row>
    <row r="633">
      <c r="A633" s="34">
        <v>632.0</v>
      </c>
      <c r="B633" s="34">
        <v>2017.0</v>
      </c>
      <c r="C633" s="34">
        <v>4.0</v>
      </c>
      <c r="D633" s="34">
        <v>4.0</v>
      </c>
      <c r="E633" s="34">
        <v>1.0</v>
      </c>
      <c r="F633" s="35" t="s">
        <v>16</v>
      </c>
      <c r="G633" s="35" t="s">
        <v>54</v>
      </c>
      <c r="H633" s="35">
        <v>7.77</v>
      </c>
      <c r="I633" s="35">
        <v>8.77</v>
      </c>
      <c r="J633" s="35">
        <v>16.54</v>
      </c>
      <c r="L633" s="3">
        <f t="shared" si="4"/>
        <v>0</v>
      </c>
    </row>
    <row r="634">
      <c r="A634" s="34">
        <v>633.0</v>
      </c>
      <c r="B634" s="34">
        <v>2017.0</v>
      </c>
      <c r="C634" s="34">
        <v>4.0</v>
      </c>
      <c r="D634" s="34">
        <v>4.0</v>
      </c>
      <c r="E634" s="34">
        <v>1.0</v>
      </c>
      <c r="F634" s="35" t="s">
        <v>16</v>
      </c>
      <c r="G634" s="35" t="s">
        <v>30</v>
      </c>
      <c r="H634" s="35">
        <v>7.53</v>
      </c>
      <c r="I634" s="34">
        <v>9.0</v>
      </c>
      <c r="J634" s="35">
        <v>16.53</v>
      </c>
      <c r="L634" s="3">
        <f t="shared" si="4"/>
        <v>0</v>
      </c>
    </row>
    <row r="635">
      <c r="A635" s="34">
        <v>634.0</v>
      </c>
      <c r="B635" s="34">
        <v>2017.0</v>
      </c>
      <c r="C635" s="34">
        <v>4.0</v>
      </c>
      <c r="D635" s="34">
        <v>4.0</v>
      </c>
      <c r="E635" s="34">
        <v>2.0</v>
      </c>
      <c r="F635" s="35" t="s">
        <v>16</v>
      </c>
      <c r="G635" s="43" t="s">
        <v>41</v>
      </c>
      <c r="H635" s="34">
        <v>8.0</v>
      </c>
      <c r="I635" s="35">
        <v>9.5</v>
      </c>
      <c r="J635" s="35">
        <v>17.5</v>
      </c>
      <c r="L635" s="3">
        <f t="shared" si="4"/>
        <v>0</v>
      </c>
    </row>
    <row r="636">
      <c r="A636" s="34">
        <v>635.0</v>
      </c>
      <c r="B636" s="34">
        <v>2017.0</v>
      </c>
      <c r="C636" s="34">
        <v>4.0</v>
      </c>
      <c r="D636" s="34">
        <v>4.0</v>
      </c>
      <c r="E636" s="34">
        <v>2.0</v>
      </c>
      <c r="F636" s="35" t="s">
        <v>16</v>
      </c>
      <c r="G636" s="35" t="s">
        <v>169</v>
      </c>
      <c r="H636" s="35">
        <v>6.73</v>
      </c>
      <c r="I636" s="35">
        <v>8.4</v>
      </c>
      <c r="J636" s="35">
        <v>15.13</v>
      </c>
      <c r="L636" s="3">
        <f t="shared" si="4"/>
        <v>0</v>
      </c>
    </row>
    <row r="637">
      <c r="A637" s="34">
        <v>636.0</v>
      </c>
      <c r="B637" s="34">
        <v>2017.0</v>
      </c>
      <c r="C637" s="34">
        <v>4.0</v>
      </c>
      <c r="D637" s="34">
        <v>4.0</v>
      </c>
      <c r="E637" s="34">
        <v>2.0</v>
      </c>
      <c r="F637" s="35" t="s">
        <v>16</v>
      </c>
      <c r="G637" s="35" t="s">
        <v>39</v>
      </c>
      <c r="H637" s="35">
        <v>5.77</v>
      </c>
      <c r="I637" s="35">
        <v>6.77</v>
      </c>
      <c r="J637" s="35">
        <v>12.54</v>
      </c>
      <c r="L637" s="3">
        <f t="shared" si="4"/>
        <v>0</v>
      </c>
    </row>
    <row r="638">
      <c r="A638" s="34">
        <v>637.0</v>
      </c>
      <c r="B638" s="34">
        <v>2017.0</v>
      </c>
      <c r="C638" s="34">
        <v>4.0</v>
      </c>
      <c r="D638" s="34">
        <v>4.0</v>
      </c>
      <c r="E638" s="34">
        <v>3.0</v>
      </c>
      <c r="F638" s="35" t="s">
        <v>16</v>
      </c>
      <c r="G638" s="43" t="s">
        <v>47</v>
      </c>
      <c r="H638" s="34">
        <v>7.0</v>
      </c>
      <c r="I638" s="35">
        <v>8.67</v>
      </c>
      <c r="J638" s="35">
        <v>15.67</v>
      </c>
      <c r="L638" s="3">
        <f t="shared" si="4"/>
        <v>0</v>
      </c>
    </row>
    <row r="639">
      <c r="A639" s="34">
        <v>638.0</v>
      </c>
      <c r="B639" s="34">
        <v>2017.0</v>
      </c>
      <c r="C639" s="34">
        <v>4.0</v>
      </c>
      <c r="D639" s="34">
        <v>4.0</v>
      </c>
      <c r="E639" s="34">
        <v>3.0</v>
      </c>
      <c r="F639" s="35" t="s">
        <v>16</v>
      </c>
      <c r="G639" s="35" t="s">
        <v>28</v>
      </c>
      <c r="H639" s="35">
        <v>7.87</v>
      </c>
      <c r="I639" s="35">
        <v>7.37</v>
      </c>
      <c r="J639" s="35">
        <v>15.24</v>
      </c>
      <c r="L639" s="3">
        <f t="shared" si="4"/>
        <v>0</v>
      </c>
    </row>
    <row r="640">
      <c r="A640" s="34">
        <v>639.0</v>
      </c>
      <c r="B640" s="34">
        <v>2017.0</v>
      </c>
      <c r="C640" s="34">
        <v>4.0</v>
      </c>
      <c r="D640" s="34">
        <v>4.0</v>
      </c>
      <c r="E640" s="34">
        <v>3.0</v>
      </c>
      <c r="F640" s="35" t="s">
        <v>16</v>
      </c>
      <c r="G640" s="35" t="s">
        <v>34</v>
      </c>
      <c r="H640" s="35">
        <v>5.83</v>
      </c>
      <c r="I640" s="35">
        <v>6.83</v>
      </c>
      <c r="J640" s="35">
        <v>12.66</v>
      </c>
      <c r="L640" s="3">
        <f t="shared" si="4"/>
        <v>0</v>
      </c>
    </row>
    <row r="641">
      <c r="A641" s="34">
        <v>640.0</v>
      </c>
      <c r="B641" s="34">
        <v>2017.0</v>
      </c>
      <c r="C641" s="34">
        <v>4.0</v>
      </c>
      <c r="D641" s="34">
        <v>4.0</v>
      </c>
      <c r="E641" s="34">
        <v>4.0</v>
      </c>
      <c r="F641" s="35" t="s">
        <v>16</v>
      </c>
      <c r="G641" s="43" t="s">
        <v>57</v>
      </c>
      <c r="H641" s="35">
        <v>9.73</v>
      </c>
      <c r="I641" s="35">
        <v>7.5</v>
      </c>
      <c r="J641" s="35">
        <v>17.23</v>
      </c>
      <c r="L641" s="3">
        <f t="shared" si="4"/>
        <v>0</v>
      </c>
    </row>
    <row r="642">
      <c r="A642" s="34">
        <v>641.0</v>
      </c>
      <c r="B642" s="34">
        <v>2017.0</v>
      </c>
      <c r="C642" s="34">
        <v>4.0</v>
      </c>
      <c r="D642" s="34">
        <v>4.0</v>
      </c>
      <c r="E642" s="34">
        <v>4.0</v>
      </c>
      <c r="F642" s="35" t="s">
        <v>16</v>
      </c>
      <c r="G642" s="35" t="s">
        <v>53</v>
      </c>
      <c r="H642" s="34">
        <v>8.0</v>
      </c>
      <c r="I642" s="35">
        <v>8.83</v>
      </c>
      <c r="J642" s="35">
        <v>16.83</v>
      </c>
      <c r="L642" s="3">
        <f t="shared" si="4"/>
        <v>0</v>
      </c>
    </row>
    <row r="643">
      <c r="A643" s="34">
        <v>642.0</v>
      </c>
      <c r="B643" s="34">
        <v>2017.0</v>
      </c>
      <c r="C643" s="34">
        <v>4.0</v>
      </c>
      <c r="D643" s="34">
        <v>4.0</v>
      </c>
      <c r="E643" s="34">
        <v>4.0</v>
      </c>
      <c r="F643" s="35" t="s">
        <v>16</v>
      </c>
      <c r="G643" s="35" t="s">
        <v>31</v>
      </c>
      <c r="H643" s="35">
        <v>7.57</v>
      </c>
      <c r="I643" s="35">
        <v>8.37</v>
      </c>
      <c r="J643" s="35">
        <v>15.94</v>
      </c>
      <c r="L643" s="3">
        <f t="shared" si="4"/>
        <v>0</v>
      </c>
    </row>
    <row r="644">
      <c r="A644" s="34">
        <v>643.0</v>
      </c>
      <c r="B644" s="34">
        <v>2017.0</v>
      </c>
      <c r="C644" s="34">
        <v>4.0</v>
      </c>
      <c r="D644" s="34">
        <v>5.0</v>
      </c>
      <c r="E644" s="34">
        <v>1.0</v>
      </c>
      <c r="F644" s="35" t="s">
        <v>16</v>
      </c>
      <c r="G644" s="43" t="s">
        <v>39</v>
      </c>
      <c r="H644" s="35">
        <v>6.67</v>
      </c>
      <c r="I644" s="35">
        <v>9.33</v>
      </c>
      <c r="J644" s="34">
        <v>16.0</v>
      </c>
      <c r="L644" s="3">
        <f t="shared" si="4"/>
        <v>0</v>
      </c>
    </row>
    <row r="645">
      <c r="A645" s="34">
        <v>644.0</v>
      </c>
      <c r="B645" s="34">
        <v>2017.0</v>
      </c>
      <c r="C645" s="34">
        <v>4.0</v>
      </c>
      <c r="D645" s="34">
        <v>5.0</v>
      </c>
      <c r="E645" s="34">
        <v>1.0</v>
      </c>
      <c r="F645" s="35" t="s">
        <v>16</v>
      </c>
      <c r="G645" s="35" t="s">
        <v>54</v>
      </c>
      <c r="H645" s="35">
        <v>6.83</v>
      </c>
      <c r="I645" s="35">
        <v>7.33</v>
      </c>
      <c r="J645" s="35">
        <v>14.16</v>
      </c>
      <c r="L645" s="3">
        <f t="shared" si="4"/>
        <v>0</v>
      </c>
    </row>
    <row r="646">
      <c r="A646" s="34">
        <v>645.0</v>
      </c>
      <c r="B646" s="34">
        <v>2017.0</v>
      </c>
      <c r="C646" s="34">
        <v>4.0</v>
      </c>
      <c r="D646" s="34">
        <v>5.0</v>
      </c>
      <c r="E646" s="34">
        <v>2.0</v>
      </c>
      <c r="F646" s="35" t="s">
        <v>16</v>
      </c>
      <c r="G646" s="43" t="s">
        <v>169</v>
      </c>
      <c r="H646" s="35">
        <v>7.5</v>
      </c>
      <c r="I646" s="35">
        <v>8.17</v>
      </c>
      <c r="J646" s="35">
        <v>15.67</v>
      </c>
      <c r="L646" s="3">
        <f t="shared" si="4"/>
        <v>0</v>
      </c>
    </row>
    <row r="647">
      <c r="A647" s="34">
        <v>646.0</v>
      </c>
      <c r="B647" s="34">
        <v>2017.0</v>
      </c>
      <c r="C647" s="34">
        <v>4.0</v>
      </c>
      <c r="D647" s="34">
        <v>5.0</v>
      </c>
      <c r="E647" s="34">
        <v>2.0</v>
      </c>
      <c r="F647" s="35" t="s">
        <v>16</v>
      </c>
      <c r="G647" s="35" t="s">
        <v>30</v>
      </c>
      <c r="H647" s="35">
        <v>7.1</v>
      </c>
      <c r="I647" s="35">
        <v>7.73</v>
      </c>
      <c r="J647" s="35">
        <v>14.83</v>
      </c>
      <c r="L647" s="3">
        <f t="shared" si="4"/>
        <v>0</v>
      </c>
    </row>
    <row r="648">
      <c r="A648" s="34">
        <v>647.0</v>
      </c>
      <c r="B648" s="34">
        <v>2017.0</v>
      </c>
      <c r="C648" s="34">
        <v>4.0</v>
      </c>
      <c r="D648" s="34">
        <v>5.0</v>
      </c>
      <c r="E648" s="34">
        <v>3.0</v>
      </c>
      <c r="F648" s="35" t="s">
        <v>16</v>
      </c>
      <c r="G648" s="43" t="s">
        <v>28</v>
      </c>
      <c r="H648" s="35">
        <v>9.03</v>
      </c>
      <c r="I648" s="35">
        <v>6.67</v>
      </c>
      <c r="J648" s="35">
        <v>15.7</v>
      </c>
      <c r="L648" s="3">
        <f t="shared" si="4"/>
        <v>0</v>
      </c>
    </row>
    <row r="649">
      <c r="A649" s="34">
        <v>648.0</v>
      </c>
      <c r="B649" s="34">
        <v>2017.0</v>
      </c>
      <c r="C649" s="34">
        <v>4.0</v>
      </c>
      <c r="D649" s="34">
        <v>5.0</v>
      </c>
      <c r="E649" s="34">
        <v>3.0</v>
      </c>
      <c r="F649" s="35" t="s">
        <v>16</v>
      </c>
      <c r="G649" s="35" t="s">
        <v>31</v>
      </c>
      <c r="H649" s="35">
        <v>3.93</v>
      </c>
      <c r="I649" s="35">
        <v>1.2</v>
      </c>
      <c r="J649" s="35">
        <v>5.13</v>
      </c>
      <c r="L649" s="3">
        <f t="shared" si="4"/>
        <v>0</v>
      </c>
    </row>
    <row r="650">
      <c r="A650" s="34">
        <v>649.0</v>
      </c>
      <c r="B650" s="34">
        <v>2017.0</v>
      </c>
      <c r="C650" s="34">
        <v>4.0</v>
      </c>
      <c r="D650" s="34">
        <v>5.0</v>
      </c>
      <c r="E650" s="34">
        <v>4.0</v>
      </c>
      <c r="F650" s="35" t="s">
        <v>16</v>
      </c>
      <c r="G650" s="43" t="s">
        <v>34</v>
      </c>
      <c r="H650" s="35">
        <v>6.5</v>
      </c>
      <c r="I650" s="35">
        <v>7.83</v>
      </c>
      <c r="J650" s="35">
        <v>14.33</v>
      </c>
      <c r="L650" s="3">
        <f t="shared" si="4"/>
        <v>0</v>
      </c>
    </row>
    <row r="651">
      <c r="A651" s="34">
        <v>650.0</v>
      </c>
      <c r="B651" s="34">
        <v>2017.0</v>
      </c>
      <c r="C651" s="34">
        <v>4.0</v>
      </c>
      <c r="D651" s="34">
        <v>5.0</v>
      </c>
      <c r="E651" s="34">
        <v>4.0</v>
      </c>
      <c r="F651" s="35" t="s">
        <v>16</v>
      </c>
      <c r="G651" s="35" t="s">
        <v>53</v>
      </c>
      <c r="H651" s="35">
        <v>4.77</v>
      </c>
      <c r="I651" s="35">
        <v>8.2</v>
      </c>
      <c r="J651" s="35">
        <v>12.97</v>
      </c>
      <c r="L651" s="3">
        <f t="shared" si="4"/>
        <v>0</v>
      </c>
    </row>
    <row r="652">
      <c r="A652" s="34">
        <v>651.0</v>
      </c>
      <c r="B652" s="34">
        <v>2017.0</v>
      </c>
      <c r="C652" s="34">
        <v>4.0</v>
      </c>
      <c r="D652" s="34">
        <v>6.0</v>
      </c>
      <c r="E652" s="34">
        <v>1.0</v>
      </c>
      <c r="F652" s="35" t="s">
        <v>16</v>
      </c>
      <c r="G652" s="43" t="s">
        <v>42</v>
      </c>
      <c r="H652" s="35">
        <v>8.67</v>
      </c>
      <c r="I652" s="35">
        <v>9.83</v>
      </c>
      <c r="J652" s="35">
        <v>18.5</v>
      </c>
      <c r="L652" s="3">
        <f t="shared" si="4"/>
        <v>0</v>
      </c>
    </row>
    <row r="653">
      <c r="A653" s="34">
        <v>652.0</v>
      </c>
      <c r="B653" s="34">
        <v>2017.0</v>
      </c>
      <c r="C653" s="34">
        <v>4.0</v>
      </c>
      <c r="D653" s="34">
        <v>6.0</v>
      </c>
      <c r="E653" s="34">
        <v>1.0</v>
      </c>
      <c r="F653" s="35" t="s">
        <v>16</v>
      </c>
      <c r="G653" s="35" t="s">
        <v>39</v>
      </c>
      <c r="H653" s="35">
        <v>7.17</v>
      </c>
      <c r="I653" s="35">
        <v>3.83</v>
      </c>
      <c r="J653" s="34">
        <v>11.0</v>
      </c>
      <c r="L653" s="3">
        <f t="shared" si="4"/>
        <v>0</v>
      </c>
    </row>
    <row r="654">
      <c r="A654" s="34">
        <v>653.0</v>
      </c>
      <c r="B654" s="34">
        <v>2017.0</v>
      </c>
      <c r="C654" s="34">
        <v>4.0</v>
      </c>
      <c r="D654" s="34">
        <v>6.0</v>
      </c>
      <c r="E654" s="34">
        <v>2.0</v>
      </c>
      <c r="F654" s="35" t="s">
        <v>16</v>
      </c>
      <c r="G654" s="43" t="s">
        <v>169</v>
      </c>
      <c r="H654" s="35">
        <v>6.17</v>
      </c>
      <c r="I654" s="35">
        <v>6.27</v>
      </c>
      <c r="J654" s="35">
        <v>12.44</v>
      </c>
      <c r="L654" s="3">
        <f t="shared" si="4"/>
        <v>0</v>
      </c>
    </row>
    <row r="655">
      <c r="A655" s="34">
        <v>654.0</v>
      </c>
      <c r="B655" s="34">
        <v>2017.0</v>
      </c>
      <c r="C655" s="34">
        <v>4.0</v>
      </c>
      <c r="D655" s="34">
        <v>6.0</v>
      </c>
      <c r="E655" s="34">
        <v>2.0</v>
      </c>
      <c r="F655" s="35" t="s">
        <v>16</v>
      </c>
      <c r="G655" s="35" t="s">
        <v>41</v>
      </c>
      <c r="H655" s="35">
        <v>7.17</v>
      </c>
      <c r="I655" s="35">
        <v>5.17</v>
      </c>
      <c r="J655" s="35">
        <v>12.34</v>
      </c>
      <c r="L655" s="3">
        <f t="shared" si="4"/>
        <v>0</v>
      </c>
    </row>
    <row r="656">
      <c r="A656" s="34">
        <v>655.0</v>
      </c>
      <c r="B656" s="34">
        <v>2017.0</v>
      </c>
      <c r="C656" s="34">
        <v>4.0</v>
      </c>
      <c r="D656" s="34">
        <v>6.0</v>
      </c>
      <c r="E656" s="34">
        <v>3.0</v>
      </c>
      <c r="F656" s="35" t="s">
        <v>16</v>
      </c>
      <c r="G656" s="43" t="s">
        <v>47</v>
      </c>
      <c r="H656" s="35">
        <v>8.6</v>
      </c>
      <c r="I656" s="35">
        <v>7.77</v>
      </c>
      <c r="J656" s="35">
        <v>16.37</v>
      </c>
      <c r="L656" s="3">
        <f t="shared" si="4"/>
        <v>0</v>
      </c>
    </row>
    <row r="657">
      <c r="A657" s="34">
        <v>656.0</v>
      </c>
      <c r="B657" s="34">
        <v>2017.0</v>
      </c>
      <c r="C657" s="34">
        <v>4.0</v>
      </c>
      <c r="D657" s="34">
        <v>6.0</v>
      </c>
      <c r="E657" s="34">
        <v>3.0</v>
      </c>
      <c r="F657" s="35" t="s">
        <v>16</v>
      </c>
      <c r="G657" s="35" t="s">
        <v>28</v>
      </c>
      <c r="H657" s="35">
        <v>6.6</v>
      </c>
      <c r="I657" s="35">
        <v>6.87</v>
      </c>
      <c r="J657" s="35">
        <v>13.47</v>
      </c>
      <c r="L657" s="3">
        <f t="shared" si="4"/>
        <v>0</v>
      </c>
    </row>
    <row r="658">
      <c r="A658" s="34">
        <v>657.0</v>
      </c>
      <c r="B658" s="34">
        <v>2017.0</v>
      </c>
      <c r="C658" s="34">
        <v>4.0</v>
      </c>
      <c r="D658" s="34">
        <v>6.0</v>
      </c>
      <c r="E658" s="34">
        <v>4.0</v>
      </c>
      <c r="F658" s="35" t="s">
        <v>16</v>
      </c>
      <c r="G658" s="43" t="s">
        <v>34</v>
      </c>
      <c r="H658" s="35">
        <v>8.4</v>
      </c>
      <c r="I658" s="35">
        <v>8.83</v>
      </c>
      <c r="J658" s="35">
        <v>17.23</v>
      </c>
      <c r="L658" s="3">
        <f t="shared" si="4"/>
        <v>0</v>
      </c>
    </row>
    <row r="659">
      <c r="A659" s="34">
        <v>658.0</v>
      </c>
      <c r="B659" s="34">
        <v>2017.0</v>
      </c>
      <c r="C659" s="34">
        <v>4.0</v>
      </c>
      <c r="D659" s="34">
        <v>6.0</v>
      </c>
      <c r="E659" s="34">
        <v>4.0</v>
      </c>
      <c r="F659" s="35" t="s">
        <v>16</v>
      </c>
      <c r="G659" s="35" t="s">
        <v>57</v>
      </c>
      <c r="H659" s="35">
        <v>7.77</v>
      </c>
      <c r="I659" s="35">
        <v>6.93</v>
      </c>
      <c r="J659" s="35">
        <v>14.7</v>
      </c>
      <c r="L659" s="3">
        <f t="shared" si="4"/>
        <v>0</v>
      </c>
    </row>
    <row r="660">
      <c r="A660" s="34">
        <v>659.0</v>
      </c>
      <c r="B660" s="34">
        <v>2017.0</v>
      </c>
      <c r="C660" s="34">
        <v>4.0</v>
      </c>
      <c r="D660" s="34">
        <v>7.0</v>
      </c>
      <c r="E660" s="34">
        <v>1.0</v>
      </c>
      <c r="F660" s="35" t="s">
        <v>16</v>
      </c>
      <c r="G660" s="43" t="s">
        <v>42</v>
      </c>
      <c r="H660" s="35">
        <v>9.57</v>
      </c>
      <c r="I660" s="35">
        <v>8.4</v>
      </c>
      <c r="J660" s="35">
        <v>17.97</v>
      </c>
      <c r="L660" s="3">
        <f t="shared" si="4"/>
        <v>0</v>
      </c>
    </row>
    <row r="661">
      <c r="A661" s="34">
        <v>660.0</v>
      </c>
      <c r="B661" s="34">
        <v>2017.0</v>
      </c>
      <c r="C661" s="34">
        <v>4.0</v>
      </c>
      <c r="D661" s="34">
        <v>7.0</v>
      </c>
      <c r="E661" s="34">
        <v>1.0</v>
      </c>
      <c r="F661" s="35" t="s">
        <v>16</v>
      </c>
      <c r="G661" s="35" t="s">
        <v>169</v>
      </c>
      <c r="H661" s="35">
        <v>3.97</v>
      </c>
      <c r="I661" s="34">
        <v>8.0</v>
      </c>
      <c r="J661" s="35">
        <v>11.97</v>
      </c>
      <c r="L661" s="3">
        <f t="shared" si="4"/>
        <v>0</v>
      </c>
    </row>
    <row r="662">
      <c r="A662" s="34">
        <v>661.0</v>
      </c>
      <c r="B662" s="34">
        <v>2017.0</v>
      </c>
      <c r="C662" s="34">
        <v>4.0</v>
      </c>
      <c r="D662" s="34">
        <v>7.0</v>
      </c>
      <c r="E662" s="34">
        <v>2.0</v>
      </c>
      <c r="F662" s="35" t="s">
        <v>16</v>
      </c>
      <c r="G662" s="43" t="s">
        <v>47</v>
      </c>
      <c r="H662" s="34">
        <v>8.0</v>
      </c>
      <c r="I662" s="35">
        <v>8.97</v>
      </c>
      <c r="J662" s="35">
        <v>16.97</v>
      </c>
      <c r="L662" s="3">
        <f t="shared" si="4"/>
        <v>0</v>
      </c>
    </row>
    <row r="663">
      <c r="A663" s="34">
        <v>662.0</v>
      </c>
      <c r="B663" s="34">
        <v>2017.0</v>
      </c>
      <c r="C663" s="34">
        <v>4.0</v>
      </c>
      <c r="D663" s="34">
        <v>7.0</v>
      </c>
      <c r="E663" s="34">
        <v>2.0</v>
      </c>
      <c r="F663" s="35" t="s">
        <v>16</v>
      </c>
      <c r="G663" s="35" t="s">
        <v>34</v>
      </c>
      <c r="H663" s="35">
        <v>6.17</v>
      </c>
      <c r="I663" s="35">
        <v>5.43</v>
      </c>
      <c r="J663" s="35">
        <v>11.6</v>
      </c>
      <c r="L663" s="3">
        <f t="shared" si="4"/>
        <v>0</v>
      </c>
    </row>
    <row r="664">
      <c r="A664" s="34">
        <v>663.0</v>
      </c>
      <c r="B664" s="34">
        <v>2017.0</v>
      </c>
      <c r="C664" s="34">
        <v>4.0</v>
      </c>
      <c r="D664" s="34">
        <v>8.0</v>
      </c>
      <c r="E664" s="34">
        <v>1.0</v>
      </c>
      <c r="F664" s="35" t="s">
        <v>16</v>
      </c>
      <c r="G664" s="43" t="s">
        <v>42</v>
      </c>
      <c r="H664" s="35">
        <v>7.83</v>
      </c>
      <c r="I664" s="35">
        <v>9.8</v>
      </c>
      <c r="J664" s="35">
        <v>17.63</v>
      </c>
      <c r="L664" s="3">
        <f t="shared" si="4"/>
        <v>0</v>
      </c>
    </row>
    <row r="665">
      <c r="A665" s="34">
        <v>664.0</v>
      </c>
      <c r="B665" s="34">
        <v>2017.0</v>
      </c>
      <c r="C665" s="34">
        <v>4.0</v>
      </c>
      <c r="D665" s="34">
        <v>8.0</v>
      </c>
      <c r="E665" s="34">
        <v>1.0</v>
      </c>
      <c r="F665" s="35" t="s">
        <v>16</v>
      </c>
      <c r="G665" s="35" t="s">
        <v>47</v>
      </c>
      <c r="H665" s="35">
        <v>9.2</v>
      </c>
      <c r="I665" s="35">
        <v>8.03</v>
      </c>
      <c r="J665" s="35">
        <v>17.23</v>
      </c>
      <c r="L665" s="3">
        <f t="shared" si="4"/>
        <v>0</v>
      </c>
      <c r="M665" s="3">
        <f>SUM(L548:L665)</f>
        <v>20.03</v>
      </c>
    </row>
    <row r="666">
      <c r="A666" s="34">
        <v>665.0</v>
      </c>
      <c r="B666" s="34">
        <v>2017.0</v>
      </c>
      <c r="C666" s="34">
        <v>4.0</v>
      </c>
      <c r="D666" s="34">
        <v>1.0</v>
      </c>
      <c r="E666" s="34">
        <v>1.0</v>
      </c>
      <c r="F666" s="35" t="s">
        <v>145</v>
      </c>
      <c r="G666" s="35" t="s">
        <v>150</v>
      </c>
      <c r="H666" s="35">
        <v>7.5</v>
      </c>
      <c r="I666" s="35">
        <v>4.5</v>
      </c>
      <c r="J666" s="34">
        <v>12.0</v>
      </c>
    </row>
    <row r="667">
      <c r="A667" s="34">
        <v>666.0</v>
      </c>
      <c r="B667" s="34">
        <v>2017.0</v>
      </c>
      <c r="C667" s="34">
        <v>4.0</v>
      </c>
      <c r="D667" s="34">
        <v>1.0</v>
      </c>
      <c r="E667" s="34">
        <v>1.0</v>
      </c>
      <c r="F667" s="35" t="s">
        <v>145</v>
      </c>
      <c r="G667" s="35" t="s">
        <v>158</v>
      </c>
      <c r="H667" s="35">
        <v>3.5</v>
      </c>
      <c r="I667" s="34">
        <v>0.0</v>
      </c>
      <c r="J667" s="35">
        <v>3.5</v>
      </c>
    </row>
    <row r="668">
      <c r="A668" s="34">
        <v>667.0</v>
      </c>
      <c r="B668" s="34">
        <v>2017.0</v>
      </c>
      <c r="C668" s="34">
        <v>4.0</v>
      </c>
      <c r="D668" s="34">
        <v>1.0</v>
      </c>
      <c r="E668" s="34">
        <v>1.0</v>
      </c>
      <c r="F668" s="35" t="s">
        <v>145</v>
      </c>
      <c r="G668" s="35" t="s">
        <v>160</v>
      </c>
      <c r="H668" s="35">
        <v>2.5</v>
      </c>
      <c r="I668" s="34">
        <v>0.0</v>
      </c>
      <c r="J668" s="35">
        <v>2.5</v>
      </c>
    </row>
    <row r="669">
      <c r="A669" s="34">
        <v>668.0</v>
      </c>
      <c r="B669" s="34">
        <v>2017.0</v>
      </c>
      <c r="C669" s="34">
        <v>4.0</v>
      </c>
      <c r="D669" s="34">
        <v>1.0</v>
      </c>
      <c r="E669" s="34">
        <v>2.0</v>
      </c>
      <c r="F669" s="35" t="s">
        <v>145</v>
      </c>
      <c r="G669" s="35" t="s">
        <v>155</v>
      </c>
      <c r="H669" s="35">
        <v>4.4</v>
      </c>
      <c r="I669" s="35">
        <v>8.67</v>
      </c>
      <c r="J669" s="35">
        <v>13.07</v>
      </c>
    </row>
    <row r="670">
      <c r="A670" s="34">
        <v>669.0</v>
      </c>
      <c r="B670" s="34">
        <v>2017.0</v>
      </c>
      <c r="C670" s="34">
        <v>4.0</v>
      </c>
      <c r="D670" s="34">
        <v>1.0</v>
      </c>
      <c r="E670" s="34">
        <v>2.0</v>
      </c>
      <c r="F670" s="35" t="s">
        <v>145</v>
      </c>
      <c r="G670" s="35" t="s">
        <v>152</v>
      </c>
      <c r="H670" s="35">
        <v>5.5</v>
      </c>
      <c r="I670" s="35">
        <v>5.5</v>
      </c>
      <c r="J670" s="34">
        <v>11.0</v>
      </c>
    </row>
    <row r="671">
      <c r="A671" s="34">
        <v>670.0</v>
      </c>
      <c r="B671" s="34">
        <v>2017.0</v>
      </c>
      <c r="C671" s="34">
        <v>4.0</v>
      </c>
      <c r="D671" s="34">
        <v>1.0</v>
      </c>
      <c r="E671" s="34">
        <v>2.0</v>
      </c>
      <c r="F671" s="35" t="s">
        <v>145</v>
      </c>
      <c r="G671" s="35" t="s">
        <v>151</v>
      </c>
      <c r="H671" s="35">
        <v>3.57</v>
      </c>
      <c r="I671" s="34">
        <v>3.0</v>
      </c>
      <c r="J671" s="35">
        <v>6.57</v>
      </c>
    </row>
    <row r="672">
      <c r="A672" s="34">
        <v>671.0</v>
      </c>
      <c r="B672" s="34">
        <v>2017.0</v>
      </c>
      <c r="C672" s="34">
        <v>4.0</v>
      </c>
      <c r="D672" s="34">
        <v>1.0</v>
      </c>
      <c r="E672" s="34">
        <v>3.0</v>
      </c>
      <c r="F672" s="35" t="s">
        <v>145</v>
      </c>
      <c r="G672" s="35" t="s">
        <v>161</v>
      </c>
      <c r="H672" s="35">
        <v>6.33</v>
      </c>
      <c r="I672" s="34">
        <v>0.0</v>
      </c>
      <c r="J672" s="35">
        <v>6.33</v>
      </c>
    </row>
    <row r="673">
      <c r="A673" s="34">
        <v>672.0</v>
      </c>
      <c r="B673" s="34">
        <v>2017.0</v>
      </c>
      <c r="C673" s="34">
        <v>4.0</v>
      </c>
      <c r="D673" s="34">
        <v>1.0</v>
      </c>
      <c r="E673" s="34">
        <v>3.0</v>
      </c>
      <c r="F673" s="35" t="s">
        <v>145</v>
      </c>
      <c r="G673" s="35" t="s">
        <v>170</v>
      </c>
      <c r="H673" s="35">
        <v>1.5</v>
      </c>
      <c r="I673" s="34">
        <v>0.0</v>
      </c>
      <c r="J673" s="35">
        <v>1.5</v>
      </c>
    </row>
    <row r="674">
      <c r="A674" s="34">
        <v>673.0</v>
      </c>
      <c r="B674" s="34">
        <v>2017.0</v>
      </c>
      <c r="C674" s="34">
        <v>4.0</v>
      </c>
      <c r="D674" s="34">
        <v>1.0</v>
      </c>
      <c r="E674" s="34">
        <v>3.0</v>
      </c>
      <c r="F674" s="35" t="s">
        <v>145</v>
      </c>
      <c r="G674" s="35" t="s">
        <v>147</v>
      </c>
      <c r="H674" s="35">
        <v>0.5</v>
      </c>
      <c r="I674" s="34">
        <v>0.0</v>
      </c>
      <c r="J674" s="35">
        <v>0.5</v>
      </c>
    </row>
    <row r="675">
      <c r="A675" s="34">
        <v>674.0</v>
      </c>
      <c r="B675" s="34">
        <v>2017.0</v>
      </c>
      <c r="C675" s="34">
        <v>4.0</v>
      </c>
      <c r="D675" s="34">
        <v>1.0</v>
      </c>
      <c r="E675" s="34">
        <v>4.0</v>
      </c>
      <c r="F675" s="35" t="s">
        <v>145</v>
      </c>
      <c r="G675" s="35" t="s">
        <v>159</v>
      </c>
      <c r="H675" s="35">
        <v>8.5</v>
      </c>
      <c r="I675" s="35">
        <v>6.17</v>
      </c>
      <c r="J675" s="35">
        <v>14.67</v>
      </c>
    </row>
    <row r="676">
      <c r="A676" s="34">
        <v>675.0</v>
      </c>
      <c r="B676" s="34">
        <v>2017.0</v>
      </c>
      <c r="C676" s="34">
        <v>4.0</v>
      </c>
      <c r="D676" s="34">
        <v>1.0</v>
      </c>
      <c r="E676" s="34">
        <v>4.0</v>
      </c>
      <c r="F676" s="35" t="s">
        <v>145</v>
      </c>
      <c r="G676" s="35" t="s">
        <v>165</v>
      </c>
      <c r="H676" s="35">
        <v>6.83</v>
      </c>
      <c r="I676" s="35">
        <v>5.6</v>
      </c>
      <c r="J676" s="35">
        <v>12.43</v>
      </c>
    </row>
    <row r="677">
      <c r="A677" s="34">
        <v>676.0</v>
      </c>
      <c r="B677" s="34">
        <v>2017.0</v>
      </c>
      <c r="C677" s="34">
        <v>4.0</v>
      </c>
      <c r="D677" s="34">
        <v>1.0</v>
      </c>
      <c r="E677" s="34">
        <v>4.0</v>
      </c>
      <c r="F677" s="35" t="s">
        <v>145</v>
      </c>
      <c r="G677" s="35" t="s">
        <v>153</v>
      </c>
      <c r="H677" s="34">
        <v>5.0</v>
      </c>
      <c r="I677" s="35">
        <v>6.83</v>
      </c>
      <c r="J677" s="35">
        <v>11.83</v>
      </c>
    </row>
    <row r="678">
      <c r="A678" s="34">
        <v>677.0</v>
      </c>
      <c r="B678" s="34">
        <v>2017.0</v>
      </c>
      <c r="C678" s="34">
        <v>4.0</v>
      </c>
      <c r="D678" s="34">
        <v>1.0</v>
      </c>
      <c r="E678" s="34">
        <v>5.0</v>
      </c>
      <c r="F678" s="35" t="s">
        <v>145</v>
      </c>
      <c r="G678" s="35" t="s">
        <v>146</v>
      </c>
      <c r="H678" s="35">
        <v>5.93</v>
      </c>
      <c r="I678" s="35">
        <v>6.77</v>
      </c>
      <c r="J678" s="35">
        <v>12.7</v>
      </c>
    </row>
    <row r="679">
      <c r="A679" s="34">
        <v>678.0</v>
      </c>
      <c r="B679" s="34">
        <v>2017.0</v>
      </c>
      <c r="C679" s="34">
        <v>4.0</v>
      </c>
      <c r="D679" s="34">
        <v>1.0</v>
      </c>
      <c r="E679" s="34">
        <v>5.0</v>
      </c>
      <c r="F679" s="35" t="s">
        <v>145</v>
      </c>
      <c r="G679" s="35" t="s">
        <v>149</v>
      </c>
      <c r="H679" s="35">
        <v>5.13</v>
      </c>
      <c r="I679" s="35">
        <v>6.57</v>
      </c>
      <c r="J679" s="35">
        <v>11.7</v>
      </c>
    </row>
    <row r="680">
      <c r="A680" s="34">
        <v>679.0</v>
      </c>
      <c r="B680" s="34">
        <v>2017.0</v>
      </c>
      <c r="C680" s="34">
        <v>4.0</v>
      </c>
      <c r="D680" s="34">
        <v>1.0</v>
      </c>
      <c r="E680" s="34">
        <v>5.0</v>
      </c>
      <c r="F680" s="35" t="s">
        <v>145</v>
      </c>
      <c r="G680" s="35" t="s">
        <v>156</v>
      </c>
      <c r="H680" s="35">
        <v>3.33</v>
      </c>
      <c r="I680" s="35">
        <v>4.07</v>
      </c>
      <c r="J680" s="35">
        <v>7.4</v>
      </c>
    </row>
    <row r="681">
      <c r="A681" s="34">
        <v>680.0</v>
      </c>
      <c r="B681" s="34">
        <v>2017.0</v>
      </c>
      <c r="C681" s="34">
        <v>4.0</v>
      </c>
      <c r="D681" s="34">
        <v>1.0</v>
      </c>
      <c r="E681" s="34">
        <v>6.0</v>
      </c>
      <c r="F681" s="35" t="s">
        <v>145</v>
      </c>
      <c r="G681" s="35" t="s">
        <v>148</v>
      </c>
      <c r="H681" s="35">
        <v>7.5</v>
      </c>
      <c r="I681" s="35">
        <v>8.1</v>
      </c>
      <c r="J681" s="35">
        <v>15.6</v>
      </c>
    </row>
    <row r="682">
      <c r="A682" s="34">
        <v>681.0</v>
      </c>
      <c r="B682" s="34">
        <v>2017.0</v>
      </c>
      <c r="C682" s="34">
        <v>4.0</v>
      </c>
      <c r="D682" s="34">
        <v>1.0</v>
      </c>
      <c r="E682" s="34">
        <v>6.0</v>
      </c>
      <c r="F682" s="35" t="s">
        <v>145</v>
      </c>
      <c r="G682" s="35" t="s">
        <v>157</v>
      </c>
      <c r="H682" s="35">
        <v>5.23</v>
      </c>
      <c r="I682" s="35">
        <v>7.1</v>
      </c>
      <c r="J682" s="35">
        <v>12.33</v>
      </c>
    </row>
    <row r="683">
      <c r="A683" s="34">
        <v>682.0</v>
      </c>
      <c r="B683" s="34">
        <v>2017.0</v>
      </c>
      <c r="C683" s="34">
        <v>4.0</v>
      </c>
      <c r="D683" s="34">
        <v>1.0</v>
      </c>
      <c r="E683" s="34">
        <v>6.0</v>
      </c>
      <c r="F683" s="35" t="s">
        <v>145</v>
      </c>
      <c r="G683" s="35" t="s">
        <v>162</v>
      </c>
      <c r="H683" s="35">
        <v>4.67</v>
      </c>
      <c r="I683" s="35">
        <v>3.6</v>
      </c>
      <c r="J683" s="35">
        <v>8.27</v>
      </c>
    </row>
    <row r="684">
      <c r="A684" s="34">
        <v>683.0</v>
      </c>
      <c r="B684" s="34">
        <v>2017.0</v>
      </c>
      <c r="C684" s="34">
        <v>4.0</v>
      </c>
      <c r="D684" s="34">
        <v>2.0</v>
      </c>
      <c r="E684" s="34">
        <v>1.0</v>
      </c>
      <c r="F684" s="35" t="s">
        <v>145</v>
      </c>
      <c r="G684" s="35" t="s">
        <v>160</v>
      </c>
      <c r="H684" s="35">
        <v>5.43</v>
      </c>
      <c r="I684" s="35">
        <v>6.6</v>
      </c>
      <c r="J684" s="35">
        <v>12.03</v>
      </c>
    </row>
    <row r="685">
      <c r="A685" s="34">
        <v>684.0</v>
      </c>
      <c r="B685" s="34">
        <v>2017.0</v>
      </c>
      <c r="C685" s="34">
        <v>4.0</v>
      </c>
      <c r="D685" s="34">
        <v>2.0</v>
      </c>
      <c r="E685" s="34">
        <v>1.0</v>
      </c>
      <c r="F685" s="35" t="s">
        <v>145</v>
      </c>
      <c r="G685" s="35" t="s">
        <v>149</v>
      </c>
      <c r="H685" s="35">
        <v>5.33</v>
      </c>
      <c r="I685" s="34">
        <v>6.0</v>
      </c>
      <c r="J685" s="35">
        <v>11.33</v>
      </c>
    </row>
    <row r="686">
      <c r="A686" s="34">
        <v>685.0</v>
      </c>
      <c r="B686" s="34">
        <v>2017.0</v>
      </c>
      <c r="C686" s="34">
        <v>4.0</v>
      </c>
      <c r="D686" s="34">
        <v>2.0</v>
      </c>
      <c r="E686" s="34">
        <v>2.0</v>
      </c>
      <c r="F686" s="35" t="s">
        <v>145</v>
      </c>
      <c r="G686" s="35" t="s">
        <v>152</v>
      </c>
      <c r="H686" s="35">
        <v>7.77</v>
      </c>
      <c r="I686" s="35">
        <v>7.77</v>
      </c>
      <c r="J686" s="35">
        <v>15.54</v>
      </c>
    </row>
    <row r="687">
      <c r="A687" s="34">
        <v>686.0</v>
      </c>
      <c r="B687" s="34">
        <v>2017.0</v>
      </c>
      <c r="C687" s="34">
        <v>4.0</v>
      </c>
      <c r="D687" s="34">
        <v>2.0</v>
      </c>
      <c r="E687" s="34">
        <v>2.0</v>
      </c>
      <c r="F687" s="35" t="s">
        <v>145</v>
      </c>
      <c r="G687" s="35" t="s">
        <v>151</v>
      </c>
      <c r="H687" s="35">
        <v>3.17</v>
      </c>
      <c r="I687" s="35">
        <v>3.37</v>
      </c>
      <c r="J687" s="35">
        <v>6.54</v>
      </c>
    </row>
    <row r="688">
      <c r="A688" s="34">
        <v>687.0</v>
      </c>
      <c r="B688" s="34">
        <v>2017.0</v>
      </c>
      <c r="C688" s="34">
        <v>4.0</v>
      </c>
      <c r="D688" s="34">
        <v>2.0</v>
      </c>
      <c r="E688" s="34">
        <v>3.0</v>
      </c>
      <c r="F688" s="35" t="s">
        <v>145</v>
      </c>
      <c r="G688" s="35" t="s">
        <v>153</v>
      </c>
      <c r="H688" s="35">
        <v>8.33</v>
      </c>
      <c r="I688" s="35">
        <v>9.67</v>
      </c>
      <c r="J688" s="34">
        <v>18.0</v>
      </c>
    </row>
    <row r="689">
      <c r="A689" s="34">
        <v>688.0</v>
      </c>
      <c r="B689" s="34">
        <v>2017.0</v>
      </c>
      <c r="C689" s="34">
        <v>4.0</v>
      </c>
      <c r="D689" s="34">
        <v>2.0</v>
      </c>
      <c r="E689" s="34">
        <v>3.0</v>
      </c>
      <c r="F689" s="35" t="s">
        <v>145</v>
      </c>
      <c r="G689" s="35" t="s">
        <v>170</v>
      </c>
      <c r="H689" s="35">
        <v>3.33</v>
      </c>
      <c r="I689" s="35">
        <v>2.6</v>
      </c>
      <c r="J689" s="35">
        <v>5.93</v>
      </c>
    </row>
    <row r="690">
      <c r="A690" s="34">
        <v>689.0</v>
      </c>
      <c r="B690" s="34">
        <v>2017.0</v>
      </c>
      <c r="C690" s="34">
        <v>4.0</v>
      </c>
      <c r="D690" s="34">
        <v>2.0</v>
      </c>
      <c r="E690" s="34">
        <v>4.0</v>
      </c>
      <c r="F690" s="35" t="s">
        <v>145</v>
      </c>
      <c r="G690" s="35" t="s">
        <v>165</v>
      </c>
      <c r="H690" s="35">
        <v>5.67</v>
      </c>
      <c r="I690" s="35">
        <v>7.17</v>
      </c>
      <c r="J690" s="35">
        <v>12.84</v>
      </c>
    </row>
    <row r="691">
      <c r="A691" s="34">
        <v>690.0</v>
      </c>
      <c r="B691" s="34">
        <v>2017.0</v>
      </c>
      <c r="C691" s="34">
        <v>4.0</v>
      </c>
      <c r="D691" s="34">
        <v>2.0</v>
      </c>
      <c r="E691" s="34">
        <v>4.0</v>
      </c>
      <c r="F691" s="35" t="s">
        <v>145</v>
      </c>
      <c r="G691" s="35" t="s">
        <v>158</v>
      </c>
      <c r="H691" s="35">
        <v>5.17</v>
      </c>
      <c r="I691" s="35">
        <v>5.43</v>
      </c>
      <c r="J691" s="35">
        <v>10.6</v>
      </c>
    </row>
    <row r="692">
      <c r="A692" s="34">
        <v>691.0</v>
      </c>
      <c r="B692" s="34">
        <v>2017.0</v>
      </c>
      <c r="C692" s="34">
        <v>4.0</v>
      </c>
      <c r="D692" s="34">
        <v>2.0</v>
      </c>
      <c r="E692" s="34">
        <v>5.0</v>
      </c>
      <c r="F692" s="35" t="s">
        <v>145</v>
      </c>
      <c r="G692" s="35" t="s">
        <v>162</v>
      </c>
      <c r="H692" s="35">
        <v>4.83</v>
      </c>
      <c r="I692" s="35">
        <v>8.77</v>
      </c>
      <c r="J692" s="35">
        <v>13.6</v>
      </c>
    </row>
    <row r="693">
      <c r="A693" s="34">
        <v>692.0</v>
      </c>
      <c r="B693" s="34">
        <v>2017.0</v>
      </c>
      <c r="C693" s="34">
        <v>4.0</v>
      </c>
      <c r="D693" s="34">
        <v>2.0</v>
      </c>
      <c r="E693" s="34">
        <v>5.0</v>
      </c>
      <c r="F693" s="35" t="s">
        <v>145</v>
      </c>
      <c r="G693" s="35" t="s">
        <v>156</v>
      </c>
      <c r="H693" s="35">
        <v>5.17</v>
      </c>
      <c r="I693" s="35">
        <v>5.17</v>
      </c>
      <c r="J693" s="35">
        <v>10.34</v>
      </c>
    </row>
    <row r="694">
      <c r="A694" s="34">
        <v>693.0</v>
      </c>
      <c r="B694" s="34">
        <v>2017.0</v>
      </c>
      <c r="C694" s="34">
        <v>4.0</v>
      </c>
      <c r="D694" s="34">
        <v>2.0</v>
      </c>
      <c r="E694" s="34">
        <v>6.0</v>
      </c>
      <c r="F694" s="35" t="s">
        <v>145</v>
      </c>
      <c r="G694" s="35" t="s">
        <v>147</v>
      </c>
      <c r="H694" s="35">
        <v>6.5</v>
      </c>
      <c r="I694" s="35">
        <v>7.37</v>
      </c>
      <c r="J694" s="35">
        <v>13.87</v>
      </c>
    </row>
    <row r="695">
      <c r="A695" s="34">
        <v>694.0</v>
      </c>
      <c r="B695" s="34">
        <v>2017.0</v>
      </c>
      <c r="C695" s="34">
        <v>4.0</v>
      </c>
      <c r="D695" s="34">
        <v>2.0</v>
      </c>
      <c r="E695" s="34">
        <v>6.0</v>
      </c>
      <c r="F695" s="35" t="s">
        <v>145</v>
      </c>
      <c r="G695" s="35" t="s">
        <v>157</v>
      </c>
      <c r="H695" s="35">
        <v>4.27</v>
      </c>
      <c r="I695" s="35">
        <v>7.33</v>
      </c>
      <c r="J695" s="35">
        <v>11.6</v>
      </c>
    </row>
    <row r="696">
      <c r="A696" s="34">
        <v>695.0</v>
      </c>
      <c r="B696" s="34">
        <v>2017.0</v>
      </c>
      <c r="C696" s="34">
        <v>4.0</v>
      </c>
      <c r="D696" s="34">
        <v>3.0</v>
      </c>
      <c r="E696" s="34">
        <v>1.0</v>
      </c>
      <c r="F696" s="35" t="s">
        <v>145</v>
      </c>
      <c r="G696" s="35" t="s">
        <v>165</v>
      </c>
      <c r="H696" s="35">
        <v>7.17</v>
      </c>
      <c r="I696" s="35">
        <v>8.27</v>
      </c>
      <c r="J696" s="35">
        <v>15.44</v>
      </c>
    </row>
    <row r="697">
      <c r="A697" s="34">
        <v>696.0</v>
      </c>
      <c r="B697" s="34">
        <v>2017.0</v>
      </c>
      <c r="C697" s="34">
        <v>4.0</v>
      </c>
      <c r="D697" s="34">
        <v>3.0</v>
      </c>
      <c r="E697" s="34">
        <v>1.0</v>
      </c>
      <c r="F697" s="35" t="s">
        <v>145</v>
      </c>
      <c r="G697" s="35" t="s">
        <v>148</v>
      </c>
      <c r="H697" s="35">
        <v>8.67</v>
      </c>
      <c r="I697" s="35">
        <v>6.07</v>
      </c>
      <c r="J697" s="35">
        <v>14.74</v>
      </c>
    </row>
    <row r="698">
      <c r="A698" s="34">
        <v>697.0</v>
      </c>
      <c r="B698" s="34">
        <v>2017.0</v>
      </c>
      <c r="C698" s="34">
        <v>4.0</v>
      </c>
      <c r="D698" s="34">
        <v>3.0</v>
      </c>
      <c r="E698" s="34">
        <v>1.0</v>
      </c>
      <c r="F698" s="35" t="s">
        <v>145</v>
      </c>
      <c r="G698" s="35" t="s">
        <v>155</v>
      </c>
      <c r="H698" s="35">
        <v>5.33</v>
      </c>
      <c r="I698" s="35">
        <v>6.27</v>
      </c>
      <c r="J698" s="35">
        <v>11.6</v>
      </c>
    </row>
    <row r="699">
      <c r="A699" s="34">
        <v>698.0</v>
      </c>
      <c r="B699" s="34">
        <v>2017.0</v>
      </c>
      <c r="C699" s="34">
        <v>4.0</v>
      </c>
      <c r="D699" s="34">
        <v>3.0</v>
      </c>
      <c r="E699" s="34">
        <v>2.0</v>
      </c>
      <c r="F699" s="35" t="s">
        <v>145</v>
      </c>
      <c r="G699" s="35" t="s">
        <v>161</v>
      </c>
      <c r="H699" s="35">
        <v>9.23</v>
      </c>
      <c r="I699" s="35">
        <v>8.1</v>
      </c>
      <c r="J699" s="35">
        <v>17.33</v>
      </c>
    </row>
    <row r="700">
      <c r="A700" s="34">
        <v>699.0</v>
      </c>
      <c r="B700" s="34">
        <v>2017.0</v>
      </c>
      <c r="C700" s="34">
        <v>4.0</v>
      </c>
      <c r="D700" s="34">
        <v>3.0</v>
      </c>
      <c r="E700" s="34">
        <v>2.0</v>
      </c>
      <c r="F700" s="35" t="s">
        <v>145</v>
      </c>
      <c r="G700" s="35" t="s">
        <v>152</v>
      </c>
      <c r="H700" s="34">
        <v>8.0</v>
      </c>
      <c r="I700" s="35">
        <v>8.5</v>
      </c>
      <c r="J700" s="35">
        <v>16.5</v>
      </c>
    </row>
    <row r="701">
      <c r="A701" s="34">
        <v>700.0</v>
      </c>
      <c r="B701" s="34">
        <v>2017.0</v>
      </c>
      <c r="C701" s="34">
        <v>4.0</v>
      </c>
      <c r="D701" s="34">
        <v>3.0</v>
      </c>
      <c r="E701" s="34">
        <v>2.0</v>
      </c>
      <c r="F701" s="35" t="s">
        <v>145</v>
      </c>
      <c r="G701" s="35" t="s">
        <v>159</v>
      </c>
      <c r="H701" s="35">
        <v>5.17</v>
      </c>
      <c r="I701" s="35">
        <v>5.93</v>
      </c>
      <c r="J701" s="35">
        <v>11.1</v>
      </c>
    </row>
    <row r="702">
      <c r="A702" s="34">
        <v>701.0</v>
      </c>
      <c r="B702" s="34">
        <v>2017.0</v>
      </c>
      <c r="C702" s="34">
        <v>4.0</v>
      </c>
      <c r="D702" s="34">
        <v>3.0</v>
      </c>
      <c r="E702" s="34">
        <v>3.0</v>
      </c>
      <c r="F702" s="35" t="s">
        <v>145</v>
      </c>
      <c r="G702" s="35" t="s">
        <v>150</v>
      </c>
      <c r="H702" s="35">
        <v>8.93</v>
      </c>
      <c r="I702" s="35">
        <v>9.33</v>
      </c>
      <c r="J702" s="35">
        <v>18.26</v>
      </c>
    </row>
    <row r="703">
      <c r="A703" s="34">
        <v>702.0</v>
      </c>
      <c r="B703" s="34">
        <v>2017.0</v>
      </c>
      <c r="C703" s="34">
        <v>4.0</v>
      </c>
      <c r="D703" s="34">
        <v>3.0</v>
      </c>
      <c r="E703" s="34">
        <v>3.0</v>
      </c>
      <c r="F703" s="35" t="s">
        <v>145</v>
      </c>
      <c r="G703" s="35" t="s">
        <v>153</v>
      </c>
      <c r="H703" s="35">
        <v>5.93</v>
      </c>
      <c r="I703" s="35">
        <v>9.1</v>
      </c>
      <c r="J703" s="35">
        <v>15.03</v>
      </c>
    </row>
    <row r="704">
      <c r="A704" s="34">
        <v>703.0</v>
      </c>
      <c r="B704" s="34">
        <v>2017.0</v>
      </c>
      <c r="C704" s="34">
        <v>4.0</v>
      </c>
      <c r="D704" s="34">
        <v>3.0</v>
      </c>
      <c r="E704" s="34">
        <v>3.0</v>
      </c>
      <c r="F704" s="35" t="s">
        <v>145</v>
      </c>
      <c r="G704" s="35" t="s">
        <v>147</v>
      </c>
      <c r="H704" s="35">
        <v>6.23</v>
      </c>
      <c r="I704" s="34">
        <v>7.0</v>
      </c>
      <c r="J704" s="35">
        <v>13.23</v>
      </c>
    </row>
    <row r="705">
      <c r="A705" s="34">
        <v>704.0</v>
      </c>
      <c r="B705" s="34">
        <v>2017.0</v>
      </c>
      <c r="C705" s="34">
        <v>4.0</v>
      </c>
      <c r="D705" s="34">
        <v>3.0</v>
      </c>
      <c r="E705" s="34">
        <v>4.0</v>
      </c>
      <c r="F705" s="35" t="s">
        <v>145</v>
      </c>
      <c r="G705" s="35" t="s">
        <v>146</v>
      </c>
      <c r="H705" s="35">
        <v>8.5</v>
      </c>
      <c r="I705" s="35">
        <v>8.07</v>
      </c>
      <c r="J705" s="35">
        <v>16.57</v>
      </c>
    </row>
    <row r="706">
      <c r="A706" s="34">
        <v>705.0</v>
      </c>
      <c r="B706" s="34">
        <v>2017.0</v>
      </c>
      <c r="C706" s="34">
        <v>4.0</v>
      </c>
      <c r="D706" s="34">
        <v>3.0</v>
      </c>
      <c r="E706" s="34">
        <v>4.0</v>
      </c>
      <c r="F706" s="35" t="s">
        <v>145</v>
      </c>
      <c r="G706" s="35" t="s">
        <v>162</v>
      </c>
      <c r="H706" s="35">
        <v>9.27</v>
      </c>
      <c r="I706" s="35">
        <v>6.77</v>
      </c>
      <c r="J706" s="35">
        <v>16.04</v>
      </c>
    </row>
    <row r="707">
      <c r="A707" s="34">
        <v>706.0</v>
      </c>
      <c r="B707" s="34">
        <v>2017.0</v>
      </c>
      <c r="C707" s="34">
        <v>4.0</v>
      </c>
      <c r="D707" s="34">
        <v>3.0</v>
      </c>
      <c r="E707" s="34">
        <v>4.0</v>
      </c>
      <c r="F707" s="35" t="s">
        <v>145</v>
      </c>
      <c r="G707" s="35" t="s">
        <v>160</v>
      </c>
      <c r="H707" s="35">
        <v>6.5</v>
      </c>
      <c r="I707" s="35">
        <v>5.57</v>
      </c>
      <c r="J707" s="35">
        <v>12.07</v>
      </c>
    </row>
    <row r="708">
      <c r="A708" s="34">
        <v>707.0</v>
      </c>
      <c r="B708" s="34">
        <v>2017.0</v>
      </c>
      <c r="C708" s="34">
        <v>4.0</v>
      </c>
      <c r="D708" s="34">
        <v>4.0</v>
      </c>
      <c r="E708" s="34">
        <v>1.0</v>
      </c>
      <c r="F708" s="35" t="s">
        <v>145</v>
      </c>
      <c r="G708" s="35" t="s">
        <v>148</v>
      </c>
      <c r="H708" s="35">
        <v>8.73</v>
      </c>
      <c r="I708" s="35">
        <v>6.23</v>
      </c>
      <c r="J708" s="35">
        <v>14.96</v>
      </c>
    </row>
    <row r="709">
      <c r="A709" s="34">
        <v>708.0</v>
      </c>
      <c r="B709" s="34">
        <v>2017.0</v>
      </c>
      <c r="C709" s="34">
        <v>4.0</v>
      </c>
      <c r="D709" s="34">
        <v>4.0</v>
      </c>
      <c r="E709" s="34">
        <v>1.0</v>
      </c>
      <c r="F709" s="35" t="s">
        <v>145</v>
      </c>
      <c r="G709" s="35" t="s">
        <v>159</v>
      </c>
      <c r="H709" s="35">
        <v>6.83</v>
      </c>
      <c r="I709" s="35">
        <v>6.67</v>
      </c>
      <c r="J709" s="35">
        <v>13.5</v>
      </c>
    </row>
    <row r="710">
      <c r="A710" s="34">
        <v>709.0</v>
      </c>
      <c r="B710" s="34">
        <v>2017.0</v>
      </c>
      <c r="C710" s="34">
        <v>4.0</v>
      </c>
      <c r="D710" s="34">
        <v>4.0</v>
      </c>
      <c r="E710" s="34">
        <v>2.0</v>
      </c>
      <c r="F710" s="35" t="s">
        <v>145</v>
      </c>
      <c r="G710" s="35" t="s">
        <v>152</v>
      </c>
      <c r="H710" s="35">
        <v>7.5</v>
      </c>
      <c r="I710" s="35">
        <v>7.43</v>
      </c>
      <c r="J710" s="35">
        <v>14.93</v>
      </c>
    </row>
    <row r="711">
      <c r="A711" s="34">
        <v>710.0</v>
      </c>
      <c r="B711" s="34">
        <v>2017.0</v>
      </c>
      <c r="C711" s="34">
        <v>4.0</v>
      </c>
      <c r="D711" s="34">
        <v>4.0</v>
      </c>
      <c r="E711" s="34">
        <v>2.0</v>
      </c>
      <c r="F711" s="35" t="s">
        <v>145</v>
      </c>
      <c r="G711" s="35" t="s">
        <v>155</v>
      </c>
      <c r="H711" s="35">
        <v>7.17</v>
      </c>
      <c r="I711" s="35">
        <v>5.6</v>
      </c>
      <c r="J711" s="35">
        <v>12.77</v>
      </c>
    </row>
    <row r="712">
      <c r="A712" s="34">
        <v>711.0</v>
      </c>
      <c r="B712" s="34">
        <v>2017.0</v>
      </c>
      <c r="C712" s="34">
        <v>4.0</v>
      </c>
      <c r="D712" s="34">
        <v>4.0</v>
      </c>
      <c r="E712" s="34">
        <v>3.0</v>
      </c>
      <c r="F712" s="35" t="s">
        <v>145</v>
      </c>
      <c r="G712" s="35" t="s">
        <v>153</v>
      </c>
      <c r="H712" s="35">
        <v>8.17</v>
      </c>
      <c r="I712" s="35">
        <v>7.9</v>
      </c>
      <c r="J712" s="35">
        <v>16.07</v>
      </c>
    </row>
    <row r="713">
      <c r="A713" s="34">
        <v>712.0</v>
      </c>
      <c r="B713" s="34">
        <v>2017.0</v>
      </c>
      <c r="C713" s="34">
        <v>4.0</v>
      </c>
      <c r="D713" s="34">
        <v>4.0</v>
      </c>
      <c r="E713" s="34">
        <v>3.0</v>
      </c>
      <c r="F713" s="35" t="s">
        <v>145</v>
      </c>
      <c r="G713" s="35" t="s">
        <v>160</v>
      </c>
      <c r="H713" s="35">
        <v>5.5</v>
      </c>
      <c r="I713" s="35">
        <v>2.83</v>
      </c>
      <c r="J713" s="35">
        <v>8.33</v>
      </c>
    </row>
    <row r="714">
      <c r="A714" s="34">
        <v>713.0</v>
      </c>
      <c r="B714" s="34">
        <v>2017.0</v>
      </c>
      <c r="C714" s="34">
        <v>4.0</v>
      </c>
      <c r="D714" s="34">
        <v>4.0</v>
      </c>
      <c r="E714" s="34">
        <v>4.0</v>
      </c>
      <c r="F714" s="35" t="s">
        <v>145</v>
      </c>
      <c r="G714" s="35" t="s">
        <v>147</v>
      </c>
      <c r="H714" s="34">
        <v>6.0</v>
      </c>
      <c r="I714" s="35">
        <v>7.43</v>
      </c>
      <c r="J714" s="35">
        <v>13.43</v>
      </c>
    </row>
    <row r="715">
      <c r="A715" s="34">
        <v>714.0</v>
      </c>
      <c r="B715" s="34">
        <v>2017.0</v>
      </c>
      <c r="C715" s="34">
        <v>4.0</v>
      </c>
      <c r="D715" s="34">
        <v>4.0</v>
      </c>
      <c r="E715" s="34">
        <v>4.0</v>
      </c>
      <c r="F715" s="35" t="s">
        <v>145</v>
      </c>
      <c r="G715" s="35" t="s">
        <v>162</v>
      </c>
      <c r="H715" s="35">
        <v>6.23</v>
      </c>
      <c r="I715" s="35">
        <v>4.4</v>
      </c>
      <c r="J715" s="35">
        <v>10.63</v>
      </c>
    </row>
    <row r="716">
      <c r="A716" s="34">
        <v>715.0</v>
      </c>
      <c r="B716" s="34">
        <v>2017.0</v>
      </c>
      <c r="C716" s="34">
        <v>4.0</v>
      </c>
      <c r="D716" s="34">
        <v>5.0</v>
      </c>
      <c r="E716" s="34">
        <v>1.0</v>
      </c>
      <c r="F716" s="35" t="s">
        <v>145</v>
      </c>
      <c r="G716" s="35" t="s">
        <v>148</v>
      </c>
      <c r="H716" s="35">
        <v>8.5</v>
      </c>
      <c r="I716" s="34">
        <v>9.0</v>
      </c>
      <c r="J716" s="35">
        <v>17.5</v>
      </c>
    </row>
    <row r="717">
      <c r="A717" s="34">
        <v>716.0</v>
      </c>
      <c r="B717" s="34">
        <v>2017.0</v>
      </c>
      <c r="C717" s="34">
        <v>4.0</v>
      </c>
      <c r="D717" s="34">
        <v>5.0</v>
      </c>
      <c r="E717" s="34">
        <v>1.0</v>
      </c>
      <c r="F717" s="35" t="s">
        <v>145</v>
      </c>
      <c r="G717" s="35" t="s">
        <v>165</v>
      </c>
      <c r="H717" s="35">
        <v>5.67</v>
      </c>
      <c r="I717" s="35">
        <v>7.77</v>
      </c>
      <c r="J717" s="35">
        <v>13.44</v>
      </c>
    </row>
    <row r="718">
      <c r="A718" s="34">
        <v>717.0</v>
      </c>
      <c r="B718" s="34">
        <v>2017.0</v>
      </c>
      <c r="C718" s="34">
        <v>4.0</v>
      </c>
      <c r="D718" s="34">
        <v>5.0</v>
      </c>
      <c r="E718" s="34">
        <v>2.0</v>
      </c>
      <c r="F718" s="35" t="s">
        <v>145</v>
      </c>
      <c r="G718" s="35" t="s">
        <v>152</v>
      </c>
      <c r="H718" s="35">
        <v>8.77</v>
      </c>
      <c r="I718" s="35">
        <v>8.67</v>
      </c>
      <c r="J718" s="35">
        <v>17.44</v>
      </c>
    </row>
    <row r="719">
      <c r="A719" s="34">
        <v>718.0</v>
      </c>
      <c r="B719" s="34">
        <v>2017.0</v>
      </c>
      <c r="C719" s="34">
        <v>4.0</v>
      </c>
      <c r="D719" s="34">
        <v>5.0</v>
      </c>
      <c r="E719" s="34">
        <v>2.0</v>
      </c>
      <c r="F719" s="35" t="s">
        <v>145</v>
      </c>
      <c r="G719" s="35" t="s">
        <v>161</v>
      </c>
      <c r="H719" s="35">
        <v>6.2</v>
      </c>
      <c r="I719" s="35">
        <v>7.23</v>
      </c>
      <c r="J719" s="35">
        <v>13.43</v>
      </c>
    </row>
    <row r="720">
      <c r="A720" s="34">
        <v>719.0</v>
      </c>
      <c r="B720" s="34">
        <v>2017.0</v>
      </c>
      <c r="C720" s="34">
        <v>4.0</v>
      </c>
      <c r="D720" s="34">
        <v>5.0</v>
      </c>
      <c r="E720" s="34">
        <v>3.0</v>
      </c>
      <c r="F720" s="35" t="s">
        <v>145</v>
      </c>
      <c r="G720" s="35" t="s">
        <v>153</v>
      </c>
      <c r="H720" s="35">
        <v>8.1</v>
      </c>
      <c r="I720" s="35">
        <v>9.87</v>
      </c>
      <c r="J720" s="35">
        <v>17.97</v>
      </c>
    </row>
    <row r="721">
      <c r="A721" s="34">
        <v>720.0</v>
      </c>
      <c r="B721" s="34">
        <v>2017.0</v>
      </c>
      <c r="C721" s="34">
        <v>4.0</v>
      </c>
      <c r="D721" s="34">
        <v>5.0</v>
      </c>
      <c r="E721" s="34">
        <v>3.0</v>
      </c>
      <c r="F721" s="35" t="s">
        <v>145</v>
      </c>
      <c r="G721" s="35" t="s">
        <v>150</v>
      </c>
      <c r="H721" s="35">
        <v>6.67</v>
      </c>
      <c r="I721" s="35">
        <v>6.07</v>
      </c>
      <c r="J721" s="35">
        <v>12.74</v>
      </c>
    </row>
    <row r="722">
      <c r="A722" s="34">
        <v>721.0</v>
      </c>
      <c r="B722" s="34">
        <v>2017.0</v>
      </c>
      <c r="C722" s="34">
        <v>4.0</v>
      </c>
      <c r="D722" s="34">
        <v>5.0</v>
      </c>
      <c r="E722" s="34">
        <v>4.0</v>
      </c>
      <c r="F722" s="35" t="s">
        <v>145</v>
      </c>
      <c r="G722" s="35" t="s">
        <v>146</v>
      </c>
      <c r="H722" s="35">
        <v>7.33</v>
      </c>
      <c r="I722" s="35">
        <v>7.47</v>
      </c>
      <c r="J722" s="35">
        <v>14.8</v>
      </c>
    </row>
    <row r="723">
      <c r="A723" s="34">
        <v>722.0</v>
      </c>
      <c r="B723" s="34">
        <v>2017.0</v>
      </c>
      <c r="C723" s="34">
        <v>4.0</v>
      </c>
      <c r="D723" s="34">
        <v>5.0</v>
      </c>
      <c r="E723" s="34">
        <v>4.0</v>
      </c>
      <c r="F723" s="35" t="s">
        <v>145</v>
      </c>
      <c r="G723" s="35" t="s">
        <v>147</v>
      </c>
      <c r="H723" s="35">
        <v>7.5</v>
      </c>
      <c r="I723" s="35">
        <v>3.8</v>
      </c>
      <c r="J723" s="35">
        <v>11.3</v>
      </c>
    </row>
    <row r="724">
      <c r="A724" s="34">
        <v>723.0</v>
      </c>
      <c r="B724" s="34">
        <v>2017.0</v>
      </c>
      <c r="C724" s="34">
        <v>4.0</v>
      </c>
      <c r="D724" s="34">
        <v>6.0</v>
      </c>
      <c r="E724" s="34">
        <v>1.0</v>
      </c>
      <c r="F724" s="35" t="s">
        <v>145</v>
      </c>
      <c r="G724" s="35" t="s">
        <v>148</v>
      </c>
      <c r="H724" s="34">
        <v>8.0</v>
      </c>
      <c r="I724" s="35">
        <v>6.33</v>
      </c>
      <c r="J724" s="35">
        <v>14.33</v>
      </c>
    </row>
    <row r="725">
      <c r="A725" s="34">
        <v>724.0</v>
      </c>
      <c r="B725" s="34">
        <v>2017.0</v>
      </c>
      <c r="C725" s="34">
        <v>4.0</v>
      </c>
      <c r="D725" s="34">
        <v>6.0</v>
      </c>
      <c r="E725" s="34">
        <v>1.0</v>
      </c>
      <c r="F725" s="35" t="s">
        <v>145</v>
      </c>
      <c r="G725" s="35" t="s">
        <v>152</v>
      </c>
      <c r="H725" s="35">
        <v>7.5</v>
      </c>
      <c r="I725" s="35">
        <v>5.87</v>
      </c>
      <c r="J725" s="35">
        <v>13.37</v>
      </c>
    </row>
    <row r="726">
      <c r="A726" s="34">
        <v>725.0</v>
      </c>
      <c r="B726" s="34">
        <v>2017.0</v>
      </c>
      <c r="C726" s="34">
        <v>4.0</v>
      </c>
      <c r="D726" s="34">
        <v>6.0</v>
      </c>
      <c r="E726" s="34">
        <v>2.0</v>
      </c>
      <c r="F726" s="35" t="s">
        <v>145</v>
      </c>
      <c r="G726" s="35" t="s">
        <v>153</v>
      </c>
      <c r="H726" s="34">
        <v>9.0</v>
      </c>
      <c r="I726" s="35">
        <v>8.87</v>
      </c>
      <c r="J726" s="35">
        <v>17.87</v>
      </c>
    </row>
    <row r="727">
      <c r="A727" s="34">
        <v>726.0</v>
      </c>
      <c r="B727" s="34">
        <v>2017.0</v>
      </c>
      <c r="C727" s="34">
        <v>4.0</v>
      </c>
      <c r="D727" s="34">
        <v>6.0</v>
      </c>
      <c r="E727" s="34">
        <v>2.0</v>
      </c>
      <c r="F727" s="35" t="s">
        <v>145</v>
      </c>
      <c r="G727" s="35" t="s">
        <v>146</v>
      </c>
      <c r="H727" s="34">
        <v>7.0</v>
      </c>
      <c r="I727" s="35">
        <v>6.77</v>
      </c>
      <c r="J727" s="35">
        <v>13.77</v>
      </c>
    </row>
    <row r="728">
      <c r="A728" s="34">
        <v>727.0</v>
      </c>
      <c r="B728" s="34">
        <v>2017.0</v>
      </c>
      <c r="C728" s="34">
        <v>4.0</v>
      </c>
      <c r="D728" s="34">
        <v>7.0</v>
      </c>
      <c r="E728" s="34">
        <v>1.0</v>
      </c>
      <c r="F728" s="35" t="s">
        <v>145</v>
      </c>
      <c r="G728" s="35" t="s">
        <v>153</v>
      </c>
      <c r="H728" s="35">
        <v>7.5</v>
      </c>
      <c r="I728" s="35">
        <v>9.67</v>
      </c>
      <c r="J728" s="35">
        <v>17.17</v>
      </c>
    </row>
    <row r="729">
      <c r="A729" s="34">
        <v>728.0</v>
      </c>
      <c r="B729" s="34">
        <v>2017.0</v>
      </c>
      <c r="C729" s="34">
        <v>4.0</v>
      </c>
      <c r="D729" s="34">
        <v>7.0</v>
      </c>
      <c r="E729" s="34">
        <v>1.0</v>
      </c>
      <c r="F729" s="35" t="s">
        <v>145</v>
      </c>
      <c r="G729" s="35" t="s">
        <v>148</v>
      </c>
      <c r="H729" s="35">
        <v>5.77</v>
      </c>
      <c r="I729" s="35">
        <v>7.43</v>
      </c>
      <c r="J729" s="35">
        <v>13.2</v>
      </c>
    </row>
    <row r="730">
      <c r="A730" s="34">
        <v>729.0</v>
      </c>
      <c r="B730" s="34">
        <v>2017.0</v>
      </c>
      <c r="C730" s="34">
        <v>5.0</v>
      </c>
      <c r="D730" s="34">
        <v>1.0</v>
      </c>
      <c r="E730" s="34">
        <v>1.0</v>
      </c>
      <c r="F730" s="35" t="s">
        <v>16</v>
      </c>
      <c r="G730" s="44" t="s">
        <v>17</v>
      </c>
      <c r="H730" s="35">
        <v>5.33</v>
      </c>
      <c r="I730" s="35">
        <v>6.1</v>
      </c>
      <c r="J730" s="35">
        <v>11.43</v>
      </c>
      <c r="L730" s="3">
        <f t="shared" ref="L730:L847" si="5">IF(G730="Tevita Gukilau",J730,0)</f>
        <v>0</v>
      </c>
    </row>
    <row r="731">
      <c r="A731" s="34">
        <v>730.0</v>
      </c>
      <c r="B731" s="34">
        <v>2017.0</v>
      </c>
      <c r="C731" s="34">
        <v>5.0</v>
      </c>
      <c r="D731" s="34">
        <v>1.0</v>
      </c>
      <c r="E731" s="34">
        <v>1.0</v>
      </c>
      <c r="F731" s="35" t="s">
        <v>16</v>
      </c>
      <c r="G731" s="35" t="s">
        <v>32</v>
      </c>
      <c r="H731" s="35">
        <v>5.9</v>
      </c>
      <c r="I731" s="35">
        <v>5.1</v>
      </c>
      <c r="J731" s="34">
        <v>11.0</v>
      </c>
      <c r="L731" s="3">
        <f t="shared" si="5"/>
        <v>0</v>
      </c>
    </row>
    <row r="732">
      <c r="A732" s="34">
        <v>731.0</v>
      </c>
      <c r="B732" s="34">
        <v>2017.0</v>
      </c>
      <c r="C732" s="34">
        <v>5.0</v>
      </c>
      <c r="D732" s="34">
        <v>1.0</v>
      </c>
      <c r="E732" s="34">
        <v>1.0</v>
      </c>
      <c r="F732" s="35" t="s">
        <v>16</v>
      </c>
      <c r="G732" s="35" t="s">
        <v>65</v>
      </c>
      <c r="H732" s="35">
        <v>2.07</v>
      </c>
      <c r="I732" s="35">
        <v>1.87</v>
      </c>
      <c r="J732" s="35">
        <v>3.94</v>
      </c>
      <c r="L732" s="3">
        <f t="shared" si="5"/>
        <v>0</v>
      </c>
    </row>
    <row r="733">
      <c r="A733" s="34">
        <v>732.0</v>
      </c>
      <c r="B733" s="34">
        <v>2017.0</v>
      </c>
      <c r="C733" s="34">
        <v>5.0</v>
      </c>
      <c r="D733" s="34">
        <v>1.0</v>
      </c>
      <c r="E733" s="34">
        <v>2.0</v>
      </c>
      <c r="F733" s="35" t="s">
        <v>16</v>
      </c>
      <c r="G733" s="44" t="s">
        <v>34</v>
      </c>
      <c r="H733" s="35">
        <v>7.17</v>
      </c>
      <c r="I733" s="35">
        <v>5.33</v>
      </c>
      <c r="J733" s="35">
        <v>12.5</v>
      </c>
      <c r="L733" s="3">
        <f t="shared" si="5"/>
        <v>0</v>
      </c>
    </row>
    <row r="734">
      <c r="A734" s="34">
        <v>733.0</v>
      </c>
      <c r="B734" s="34">
        <v>2017.0</v>
      </c>
      <c r="C734" s="34">
        <v>5.0</v>
      </c>
      <c r="D734" s="34">
        <v>1.0</v>
      </c>
      <c r="E734" s="34">
        <v>2.0</v>
      </c>
      <c r="F734" s="35" t="s">
        <v>16</v>
      </c>
      <c r="G734" s="35" t="s">
        <v>50</v>
      </c>
      <c r="H734" s="35">
        <v>6.17</v>
      </c>
      <c r="I734" s="35">
        <v>1.57</v>
      </c>
      <c r="J734" s="35">
        <v>7.74</v>
      </c>
      <c r="L734" s="3">
        <f t="shared" si="5"/>
        <v>0</v>
      </c>
    </row>
    <row r="735">
      <c r="A735" s="34">
        <v>734.0</v>
      </c>
      <c r="B735" s="34">
        <v>2017.0</v>
      </c>
      <c r="C735" s="34">
        <v>5.0</v>
      </c>
      <c r="D735" s="34">
        <v>1.0</v>
      </c>
      <c r="E735" s="34">
        <v>2.0</v>
      </c>
      <c r="F735" s="35" t="s">
        <v>16</v>
      </c>
      <c r="G735" s="35" t="s">
        <v>63</v>
      </c>
      <c r="H735" s="35">
        <v>5.33</v>
      </c>
      <c r="I735" s="35">
        <v>1.57</v>
      </c>
      <c r="J735" s="35">
        <v>6.9</v>
      </c>
      <c r="L735" s="3">
        <f t="shared" si="5"/>
        <v>0</v>
      </c>
    </row>
    <row r="736">
      <c r="A736" s="34">
        <v>735.0</v>
      </c>
      <c r="B736" s="34">
        <v>2017.0</v>
      </c>
      <c r="C736" s="34">
        <v>5.0</v>
      </c>
      <c r="D736" s="34">
        <v>1.0</v>
      </c>
      <c r="E736" s="34">
        <v>3.0</v>
      </c>
      <c r="F736" s="35" t="s">
        <v>16</v>
      </c>
      <c r="G736" s="44" t="s">
        <v>57</v>
      </c>
      <c r="H736" s="35">
        <v>5.5</v>
      </c>
      <c r="I736" s="35">
        <v>8.5</v>
      </c>
      <c r="J736" s="34">
        <v>14.0</v>
      </c>
      <c r="L736" s="3">
        <f t="shared" si="5"/>
        <v>0</v>
      </c>
    </row>
    <row r="737">
      <c r="A737" s="34">
        <v>736.0</v>
      </c>
      <c r="B737" s="34">
        <v>2017.0</v>
      </c>
      <c r="C737" s="34">
        <v>5.0</v>
      </c>
      <c r="D737" s="34">
        <v>1.0</v>
      </c>
      <c r="E737" s="34">
        <v>3.0</v>
      </c>
      <c r="F737" s="35" t="s">
        <v>16</v>
      </c>
      <c r="G737" s="35" t="s">
        <v>141</v>
      </c>
      <c r="H737" s="35">
        <v>6.33</v>
      </c>
      <c r="I737" s="35">
        <v>6.27</v>
      </c>
      <c r="J737" s="35">
        <v>12.6</v>
      </c>
      <c r="L737" s="3">
        <f t="shared" si="5"/>
        <v>0</v>
      </c>
    </row>
    <row r="738">
      <c r="A738" s="34">
        <v>737.0</v>
      </c>
      <c r="B738" s="34">
        <v>2017.0</v>
      </c>
      <c r="C738" s="34">
        <v>5.0</v>
      </c>
      <c r="D738" s="34">
        <v>1.0</v>
      </c>
      <c r="E738" s="34">
        <v>3.0</v>
      </c>
      <c r="F738" s="35" t="s">
        <v>16</v>
      </c>
      <c r="G738" s="35" t="s">
        <v>69</v>
      </c>
      <c r="H738" s="35">
        <v>3.9</v>
      </c>
      <c r="I738" s="35">
        <v>4.27</v>
      </c>
      <c r="J738" s="35">
        <v>8.17</v>
      </c>
      <c r="L738" s="3">
        <f t="shared" si="5"/>
        <v>0</v>
      </c>
    </row>
    <row r="739">
      <c r="A739" s="34">
        <v>738.0</v>
      </c>
      <c r="B739" s="34">
        <v>2017.0</v>
      </c>
      <c r="C739" s="34">
        <v>5.0</v>
      </c>
      <c r="D739" s="34">
        <v>1.0</v>
      </c>
      <c r="E739" s="34">
        <v>4.0</v>
      </c>
      <c r="F739" s="35" t="s">
        <v>16</v>
      </c>
      <c r="G739" s="44" t="s">
        <v>42</v>
      </c>
      <c r="H739" s="34">
        <v>5.0</v>
      </c>
      <c r="I739" s="35">
        <v>5.83</v>
      </c>
      <c r="J739" s="35">
        <v>10.83</v>
      </c>
      <c r="L739" s="3">
        <f t="shared" si="5"/>
        <v>0</v>
      </c>
    </row>
    <row r="740">
      <c r="A740" s="34">
        <v>739.0</v>
      </c>
      <c r="B740" s="34">
        <v>2017.0</v>
      </c>
      <c r="C740" s="34">
        <v>5.0</v>
      </c>
      <c r="D740" s="34">
        <v>1.0</v>
      </c>
      <c r="E740" s="34">
        <v>4.0</v>
      </c>
      <c r="F740" s="35" t="s">
        <v>16</v>
      </c>
      <c r="G740" s="35" t="s">
        <v>53</v>
      </c>
      <c r="H740" s="34">
        <v>6.0</v>
      </c>
      <c r="I740" s="35">
        <v>1.43</v>
      </c>
      <c r="J740" s="35">
        <v>7.43</v>
      </c>
      <c r="L740" s="3">
        <f t="shared" si="5"/>
        <v>0</v>
      </c>
    </row>
    <row r="741">
      <c r="A741" s="34">
        <v>740.0</v>
      </c>
      <c r="B741" s="34">
        <v>2017.0</v>
      </c>
      <c r="C741" s="34">
        <v>5.0</v>
      </c>
      <c r="D741" s="34">
        <v>1.0</v>
      </c>
      <c r="E741" s="34">
        <v>4.0</v>
      </c>
      <c r="F741" s="35" t="s">
        <v>16</v>
      </c>
      <c r="G741" s="35" t="s">
        <v>168</v>
      </c>
      <c r="H741" s="35">
        <v>1.87</v>
      </c>
      <c r="I741" s="35">
        <v>1.43</v>
      </c>
      <c r="J741" s="35">
        <v>3.3</v>
      </c>
      <c r="L741" s="3">
        <f t="shared" si="5"/>
        <v>0</v>
      </c>
    </row>
    <row r="742">
      <c r="A742" s="34">
        <v>741.0</v>
      </c>
      <c r="B742" s="34">
        <v>2017.0</v>
      </c>
      <c r="C742" s="34">
        <v>5.0</v>
      </c>
      <c r="D742" s="34">
        <v>1.0</v>
      </c>
      <c r="E742" s="34">
        <v>5.0</v>
      </c>
      <c r="F742" s="35" t="s">
        <v>16</v>
      </c>
      <c r="G742" s="44" t="s">
        <v>28</v>
      </c>
      <c r="H742" s="35">
        <v>6.33</v>
      </c>
      <c r="I742" s="35">
        <v>5.83</v>
      </c>
      <c r="J742" s="35">
        <v>12.16</v>
      </c>
      <c r="L742" s="3">
        <f t="shared" si="5"/>
        <v>0</v>
      </c>
    </row>
    <row r="743">
      <c r="A743" s="34">
        <v>742.0</v>
      </c>
      <c r="B743" s="34">
        <v>2017.0</v>
      </c>
      <c r="C743" s="34">
        <v>5.0</v>
      </c>
      <c r="D743" s="34">
        <v>1.0</v>
      </c>
      <c r="E743" s="34">
        <v>5.0</v>
      </c>
      <c r="F743" s="35" t="s">
        <v>16</v>
      </c>
      <c r="G743" s="35" t="s">
        <v>169</v>
      </c>
      <c r="H743" s="34">
        <v>7.0</v>
      </c>
      <c r="I743" s="35">
        <v>2.43</v>
      </c>
      <c r="J743" s="35">
        <v>9.43</v>
      </c>
      <c r="L743" s="3">
        <f t="shared" si="5"/>
        <v>0</v>
      </c>
    </row>
    <row r="744">
      <c r="A744" s="34">
        <v>743.0</v>
      </c>
      <c r="B744" s="34">
        <v>2017.0</v>
      </c>
      <c r="C744" s="34">
        <v>5.0</v>
      </c>
      <c r="D744" s="34">
        <v>1.0</v>
      </c>
      <c r="E744" s="34">
        <v>5.0</v>
      </c>
      <c r="F744" s="35" t="s">
        <v>16</v>
      </c>
      <c r="G744" s="35" t="s">
        <v>68</v>
      </c>
      <c r="H744" s="35">
        <v>2.33</v>
      </c>
      <c r="I744" s="35">
        <v>2.77</v>
      </c>
      <c r="J744" s="35">
        <v>5.1</v>
      </c>
      <c r="L744" s="3">
        <f t="shared" si="5"/>
        <v>0</v>
      </c>
    </row>
    <row r="745">
      <c r="A745" s="34">
        <v>744.0</v>
      </c>
      <c r="B745" s="34">
        <v>2017.0</v>
      </c>
      <c r="C745" s="34">
        <v>5.0</v>
      </c>
      <c r="D745" s="34">
        <v>1.0</v>
      </c>
      <c r="E745" s="34">
        <v>6.0</v>
      </c>
      <c r="F745" s="35" t="s">
        <v>16</v>
      </c>
      <c r="G745" s="44" t="s">
        <v>26</v>
      </c>
      <c r="H745" s="35">
        <v>8.17</v>
      </c>
      <c r="I745" s="35">
        <v>6.67</v>
      </c>
      <c r="J745" s="35">
        <v>14.84</v>
      </c>
      <c r="L745" s="3">
        <f t="shared" si="5"/>
        <v>0</v>
      </c>
    </row>
    <row r="746">
      <c r="A746" s="34">
        <v>745.0</v>
      </c>
      <c r="B746" s="34">
        <v>2017.0</v>
      </c>
      <c r="C746" s="34">
        <v>5.0</v>
      </c>
      <c r="D746" s="34">
        <v>1.0</v>
      </c>
      <c r="E746" s="34">
        <v>6.0</v>
      </c>
      <c r="F746" s="35" t="s">
        <v>16</v>
      </c>
      <c r="G746" s="35" t="s">
        <v>82</v>
      </c>
      <c r="H746" s="35">
        <v>8.3</v>
      </c>
      <c r="I746" s="35">
        <v>1.87</v>
      </c>
      <c r="J746" s="35">
        <v>10.17</v>
      </c>
      <c r="L746" s="3">
        <f t="shared" si="5"/>
        <v>10.17</v>
      </c>
    </row>
    <row r="747">
      <c r="A747" s="34">
        <v>746.0</v>
      </c>
      <c r="B747" s="34">
        <v>2017.0</v>
      </c>
      <c r="C747" s="34">
        <v>5.0</v>
      </c>
      <c r="D747" s="34">
        <v>1.0</v>
      </c>
      <c r="E747" s="34">
        <v>6.0</v>
      </c>
      <c r="F747" s="35" t="s">
        <v>16</v>
      </c>
      <c r="G747" s="35" t="s">
        <v>45</v>
      </c>
      <c r="H747" s="35">
        <v>5.33</v>
      </c>
      <c r="I747" s="34">
        <v>3.0</v>
      </c>
      <c r="J747" s="35">
        <v>8.33</v>
      </c>
      <c r="L747" s="3">
        <f t="shared" si="5"/>
        <v>0</v>
      </c>
    </row>
    <row r="748">
      <c r="A748" s="34">
        <v>747.0</v>
      </c>
      <c r="B748" s="34">
        <v>2017.0</v>
      </c>
      <c r="C748" s="34">
        <v>5.0</v>
      </c>
      <c r="D748" s="34">
        <v>1.0</v>
      </c>
      <c r="E748" s="34">
        <v>7.0</v>
      </c>
      <c r="F748" s="35" t="s">
        <v>16</v>
      </c>
      <c r="G748" s="44" t="s">
        <v>64</v>
      </c>
      <c r="H748" s="35">
        <v>5.17</v>
      </c>
      <c r="I748" s="35">
        <v>5.27</v>
      </c>
      <c r="J748" s="35">
        <v>10.44</v>
      </c>
      <c r="L748" s="3">
        <f t="shared" si="5"/>
        <v>0</v>
      </c>
    </row>
    <row r="749">
      <c r="A749" s="34">
        <v>748.0</v>
      </c>
      <c r="B749" s="34">
        <v>2017.0</v>
      </c>
      <c r="C749" s="34">
        <v>5.0</v>
      </c>
      <c r="D749" s="34">
        <v>1.0</v>
      </c>
      <c r="E749" s="34">
        <v>7.0</v>
      </c>
      <c r="F749" s="35" t="s">
        <v>16</v>
      </c>
      <c r="G749" s="35" t="s">
        <v>35</v>
      </c>
      <c r="H749" s="35">
        <v>3.83</v>
      </c>
      <c r="I749" s="35">
        <v>5.5</v>
      </c>
      <c r="J749" s="35">
        <v>9.33</v>
      </c>
      <c r="L749" s="3">
        <f t="shared" si="5"/>
        <v>0</v>
      </c>
    </row>
    <row r="750">
      <c r="A750" s="34">
        <v>749.0</v>
      </c>
      <c r="B750" s="34">
        <v>2017.0</v>
      </c>
      <c r="C750" s="34">
        <v>5.0</v>
      </c>
      <c r="D750" s="34">
        <v>1.0</v>
      </c>
      <c r="E750" s="34">
        <v>7.0</v>
      </c>
      <c r="F750" s="35" t="s">
        <v>16</v>
      </c>
      <c r="G750" s="35" t="s">
        <v>39</v>
      </c>
      <c r="H750" s="35">
        <v>1.6</v>
      </c>
      <c r="I750" s="34">
        <v>7.0</v>
      </c>
      <c r="J750" s="35">
        <v>8.6</v>
      </c>
      <c r="L750" s="3">
        <f t="shared" si="5"/>
        <v>0</v>
      </c>
    </row>
    <row r="751">
      <c r="A751" s="34">
        <v>750.0</v>
      </c>
      <c r="B751" s="34">
        <v>2017.0</v>
      </c>
      <c r="C751" s="34">
        <v>5.0</v>
      </c>
      <c r="D751" s="34">
        <v>1.0</v>
      </c>
      <c r="E751" s="34">
        <v>8.0</v>
      </c>
      <c r="F751" s="35" t="s">
        <v>16</v>
      </c>
      <c r="G751" s="44" t="s">
        <v>30</v>
      </c>
      <c r="H751" s="35">
        <v>4.5</v>
      </c>
      <c r="I751" s="35">
        <v>7.5</v>
      </c>
      <c r="J751" s="34">
        <v>12.0</v>
      </c>
      <c r="L751" s="3">
        <f t="shared" si="5"/>
        <v>0</v>
      </c>
    </row>
    <row r="752">
      <c r="A752" s="34">
        <v>751.0</v>
      </c>
      <c r="B752" s="34">
        <v>2017.0</v>
      </c>
      <c r="C752" s="34">
        <v>5.0</v>
      </c>
      <c r="D752" s="34">
        <v>1.0</v>
      </c>
      <c r="E752" s="34">
        <v>8.0</v>
      </c>
      <c r="F752" s="35" t="s">
        <v>16</v>
      </c>
      <c r="G752" s="35" t="s">
        <v>56</v>
      </c>
      <c r="H752" s="35">
        <v>1.43</v>
      </c>
      <c r="I752" s="34">
        <v>6.0</v>
      </c>
      <c r="J752" s="35">
        <v>7.43</v>
      </c>
      <c r="L752" s="3">
        <f t="shared" si="5"/>
        <v>0</v>
      </c>
    </row>
    <row r="753">
      <c r="A753" s="34">
        <v>752.0</v>
      </c>
      <c r="B753" s="34">
        <v>2017.0</v>
      </c>
      <c r="C753" s="34">
        <v>5.0</v>
      </c>
      <c r="D753" s="34">
        <v>1.0</v>
      </c>
      <c r="E753" s="34">
        <v>8.0</v>
      </c>
      <c r="F753" s="35" t="s">
        <v>16</v>
      </c>
      <c r="G753" s="35" t="s">
        <v>54</v>
      </c>
      <c r="H753" s="34">
        <v>2.0</v>
      </c>
      <c r="I753" s="35">
        <v>3.63</v>
      </c>
      <c r="J753" s="35">
        <v>5.63</v>
      </c>
      <c r="L753" s="3">
        <f t="shared" si="5"/>
        <v>0</v>
      </c>
    </row>
    <row r="754">
      <c r="A754" s="34">
        <v>753.0</v>
      </c>
      <c r="B754" s="34">
        <v>2017.0</v>
      </c>
      <c r="C754" s="34">
        <v>5.0</v>
      </c>
      <c r="D754" s="34">
        <v>1.0</v>
      </c>
      <c r="E754" s="34">
        <v>9.0</v>
      </c>
      <c r="F754" s="35" t="s">
        <v>16</v>
      </c>
      <c r="G754" s="44" t="s">
        <v>31</v>
      </c>
      <c r="H754" s="35">
        <v>6.83</v>
      </c>
      <c r="I754" s="35">
        <v>9.5</v>
      </c>
      <c r="J754" s="35">
        <v>16.33</v>
      </c>
      <c r="L754" s="3">
        <f t="shared" si="5"/>
        <v>0</v>
      </c>
    </row>
    <row r="755">
      <c r="A755" s="34">
        <v>754.0</v>
      </c>
      <c r="B755" s="34">
        <v>2017.0</v>
      </c>
      <c r="C755" s="34">
        <v>5.0</v>
      </c>
      <c r="D755" s="34">
        <v>1.0</v>
      </c>
      <c r="E755" s="34">
        <v>9.0</v>
      </c>
      <c r="F755" s="35" t="s">
        <v>16</v>
      </c>
      <c r="G755" s="35" t="s">
        <v>52</v>
      </c>
      <c r="H755" s="35">
        <v>8.77</v>
      </c>
      <c r="I755" s="35">
        <v>6.5</v>
      </c>
      <c r="J755" s="35">
        <v>15.27</v>
      </c>
      <c r="L755" s="3">
        <f t="shared" si="5"/>
        <v>0</v>
      </c>
    </row>
    <row r="756">
      <c r="A756" s="34">
        <v>755.0</v>
      </c>
      <c r="B756" s="34">
        <v>2017.0</v>
      </c>
      <c r="C756" s="34">
        <v>5.0</v>
      </c>
      <c r="D756" s="34">
        <v>1.0</v>
      </c>
      <c r="E756" s="34">
        <v>9.0</v>
      </c>
      <c r="F756" s="35" t="s">
        <v>16</v>
      </c>
      <c r="G756" s="35" t="s">
        <v>36</v>
      </c>
      <c r="H756" s="35">
        <v>3.73</v>
      </c>
      <c r="I756" s="35">
        <v>5.17</v>
      </c>
      <c r="J756" s="35">
        <v>8.9</v>
      </c>
      <c r="L756" s="3">
        <f t="shared" si="5"/>
        <v>0</v>
      </c>
    </row>
    <row r="757">
      <c r="A757" s="34">
        <v>756.0</v>
      </c>
      <c r="B757" s="34">
        <v>2017.0</v>
      </c>
      <c r="C757" s="34">
        <v>5.0</v>
      </c>
      <c r="D757" s="34">
        <v>1.0</v>
      </c>
      <c r="E757" s="34">
        <v>10.0</v>
      </c>
      <c r="F757" s="35" t="s">
        <v>16</v>
      </c>
      <c r="G757" s="45" t="s">
        <v>61</v>
      </c>
      <c r="H757" s="35">
        <v>6.83</v>
      </c>
      <c r="I757" s="35">
        <v>4.17</v>
      </c>
      <c r="J757" s="34">
        <v>11.0</v>
      </c>
      <c r="L757" s="3">
        <f t="shared" si="5"/>
        <v>0</v>
      </c>
    </row>
    <row r="758">
      <c r="A758" s="34">
        <v>757.0</v>
      </c>
      <c r="B758" s="34">
        <v>2017.0</v>
      </c>
      <c r="C758" s="34">
        <v>5.0</v>
      </c>
      <c r="D758" s="34">
        <v>1.0</v>
      </c>
      <c r="E758" s="34">
        <v>10.0</v>
      </c>
      <c r="F758" s="35" t="s">
        <v>16</v>
      </c>
      <c r="G758" s="35" t="s">
        <v>67</v>
      </c>
      <c r="H758" s="35">
        <v>3.67</v>
      </c>
      <c r="I758" s="35">
        <v>5.6</v>
      </c>
      <c r="J758" s="35">
        <v>9.27</v>
      </c>
      <c r="L758" s="3">
        <f t="shared" si="5"/>
        <v>0</v>
      </c>
    </row>
    <row r="759">
      <c r="A759" s="34">
        <v>758.0</v>
      </c>
      <c r="B759" s="34">
        <v>2017.0</v>
      </c>
      <c r="C759" s="34">
        <v>5.0</v>
      </c>
      <c r="D759" s="34">
        <v>1.0</v>
      </c>
      <c r="E759" s="34">
        <v>10.0</v>
      </c>
      <c r="F759" s="35" t="s">
        <v>16</v>
      </c>
      <c r="G759" s="35" t="s">
        <v>38</v>
      </c>
      <c r="H759" s="35">
        <v>3.17</v>
      </c>
      <c r="I759" s="35">
        <v>5.17</v>
      </c>
      <c r="J759" s="35">
        <v>8.34</v>
      </c>
      <c r="L759" s="3">
        <f t="shared" si="5"/>
        <v>0</v>
      </c>
    </row>
    <row r="760">
      <c r="A760" s="34">
        <v>759.0</v>
      </c>
      <c r="B760" s="34">
        <v>2017.0</v>
      </c>
      <c r="C760" s="34">
        <v>5.0</v>
      </c>
      <c r="D760" s="34">
        <v>1.0</v>
      </c>
      <c r="E760" s="34">
        <v>11.0</v>
      </c>
      <c r="F760" s="35" t="s">
        <v>16</v>
      </c>
      <c r="G760" s="44" t="s">
        <v>27</v>
      </c>
      <c r="H760" s="35">
        <v>9.53</v>
      </c>
      <c r="I760" s="35">
        <v>9.17</v>
      </c>
      <c r="J760" s="35">
        <v>18.7</v>
      </c>
      <c r="L760" s="3">
        <f t="shared" si="5"/>
        <v>0</v>
      </c>
    </row>
    <row r="761">
      <c r="A761" s="34">
        <v>760.0</v>
      </c>
      <c r="B761" s="34">
        <v>2017.0</v>
      </c>
      <c r="C761" s="34">
        <v>5.0</v>
      </c>
      <c r="D761" s="34">
        <v>1.0</v>
      </c>
      <c r="E761" s="34">
        <v>11.0</v>
      </c>
      <c r="F761" s="35" t="s">
        <v>16</v>
      </c>
      <c r="G761" s="35" t="s">
        <v>55</v>
      </c>
      <c r="H761" s="35">
        <v>8.73</v>
      </c>
      <c r="I761" s="35">
        <v>8.77</v>
      </c>
      <c r="J761" s="35">
        <v>17.5</v>
      </c>
      <c r="L761" s="3">
        <f t="shared" si="5"/>
        <v>0</v>
      </c>
    </row>
    <row r="762">
      <c r="A762" s="34">
        <v>761.0</v>
      </c>
      <c r="B762" s="34">
        <v>2017.0</v>
      </c>
      <c r="C762" s="34">
        <v>5.0</v>
      </c>
      <c r="D762" s="34">
        <v>1.0</v>
      </c>
      <c r="E762" s="34">
        <v>11.0</v>
      </c>
      <c r="F762" s="35" t="s">
        <v>16</v>
      </c>
      <c r="G762" s="35" t="s">
        <v>47</v>
      </c>
      <c r="H762" s="35">
        <v>7.5</v>
      </c>
      <c r="I762" s="35">
        <v>4.83</v>
      </c>
      <c r="J762" s="35">
        <v>12.33</v>
      </c>
      <c r="L762" s="3">
        <f t="shared" si="5"/>
        <v>0</v>
      </c>
    </row>
    <row r="763">
      <c r="A763" s="34">
        <v>762.0</v>
      </c>
      <c r="B763" s="34">
        <v>2017.0</v>
      </c>
      <c r="C763" s="34">
        <v>5.0</v>
      </c>
      <c r="D763" s="34">
        <v>1.0</v>
      </c>
      <c r="E763" s="34">
        <v>12.0</v>
      </c>
      <c r="F763" s="35" t="s">
        <v>16</v>
      </c>
      <c r="G763" s="44" t="s">
        <v>41</v>
      </c>
      <c r="H763" s="34">
        <v>8.0</v>
      </c>
      <c r="I763" s="35">
        <v>5.93</v>
      </c>
      <c r="J763" s="35">
        <v>13.93</v>
      </c>
      <c r="L763" s="3">
        <f t="shared" si="5"/>
        <v>0</v>
      </c>
    </row>
    <row r="764">
      <c r="A764" s="34">
        <v>763.0</v>
      </c>
      <c r="B764" s="34">
        <v>2017.0</v>
      </c>
      <c r="C764" s="34">
        <v>5.0</v>
      </c>
      <c r="D764" s="34">
        <v>1.0</v>
      </c>
      <c r="E764" s="34">
        <v>12.0</v>
      </c>
      <c r="F764" s="35" t="s">
        <v>16</v>
      </c>
      <c r="G764" s="35" t="s">
        <v>59</v>
      </c>
      <c r="H764" s="35">
        <v>6.5</v>
      </c>
      <c r="I764" s="35">
        <v>2.63</v>
      </c>
      <c r="J764" s="35">
        <v>9.13</v>
      </c>
      <c r="L764" s="3">
        <f t="shared" si="5"/>
        <v>0</v>
      </c>
    </row>
    <row r="765">
      <c r="A765" s="34">
        <v>764.0</v>
      </c>
      <c r="B765" s="34">
        <v>2017.0</v>
      </c>
      <c r="C765" s="34">
        <v>5.0</v>
      </c>
      <c r="D765" s="34">
        <v>1.0</v>
      </c>
      <c r="E765" s="34">
        <v>12.0</v>
      </c>
      <c r="F765" s="35" t="s">
        <v>16</v>
      </c>
      <c r="G765" s="35" t="s">
        <v>37</v>
      </c>
      <c r="H765" s="35">
        <v>2.2</v>
      </c>
      <c r="I765" s="34">
        <v>3.0</v>
      </c>
      <c r="J765" s="35">
        <v>5.2</v>
      </c>
      <c r="L765" s="3">
        <f t="shared" si="5"/>
        <v>0</v>
      </c>
    </row>
    <row r="766">
      <c r="A766" s="34">
        <v>765.0</v>
      </c>
      <c r="B766" s="34">
        <v>2017.0</v>
      </c>
      <c r="C766" s="34">
        <v>5.0</v>
      </c>
      <c r="D766" s="34">
        <v>2.0</v>
      </c>
      <c r="E766" s="34">
        <v>1.0</v>
      </c>
      <c r="F766" s="35" t="s">
        <v>16</v>
      </c>
      <c r="G766" s="44" t="s">
        <v>32</v>
      </c>
      <c r="H766" s="35">
        <v>5.5</v>
      </c>
      <c r="I766" s="34">
        <v>8.0</v>
      </c>
      <c r="J766" s="35">
        <v>13.5</v>
      </c>
      <c r="L766" s="3">
        <f t="shared" si="5"/>
        <v>0</v>
      </c>
    </row>
    <row r="767">
      <c r="A767" s="34">
        <v>766.0</v>
      </c>
      <c r="B767" s="34">
        <v>2017.0</v>
      </c>
      <c r="C767" s="34">
        <v>5.0</v>
      </c>
      <c r="D767" s="34">
        <v>2.0</v>
      </c>
      <c r="E767" s="34">
        <v>1.0</v>
      </c>
      <c r="F767" s="35" t="s">
        <v>16</v>
      </c>
      <c r="G767" s="35" t="s">
        <v>82</v>
      </c>
      <c r="H767" s="35">
        <v>0.83</v>
      </c>
      <c r="I767" s="35">
        <v>3.33</v>
      </c>
      <c r="J767" s="35">
        <v>4.16</v>
      </c>
      <c r="L767" s="3">
        <f t="shared" si="5"/>
        <v>4.16</v>
      </c>
    </row>
    <row r="768">
      <c r="A768" s="34">
        <v>767.0</v>
      </c>
      <c r="B768" s="34">
        <v>2017.0</v>
      </c>
      <c r="C768" s="34">
        <v>5.0</v>
      </c>
      <c r="D768" s="34">
        <v>2.0</v>
      </c>
      <c r="E768" s="34">
        <v>2.0</v>
      </c>
      <c r="F768" s="35" t="s">
        <v>16</v>
      </c>
      <c r="G768" s="44" t="s">
        <v>39</v>
      </c>
      <c r="H768" s="35">
        <v>6.33</v>
      </c>
      <c r="I768" s="35">
        <v>4.33</v>
      </c>
      <c r="J768" s="35">
        <v>10.66</v>
      </c>
      <c r="L768" s="3">
        <f t="shared" si="5"/>
        <v>0</v>
      </c>
    </row>
    <row r="769">
      <c r="A769" s="34">
        <v>768.0</v>
      </c>
      <c r="B769" s="34">
        <v>2017.0</v>
      </c>
      <c r="C769" s="34">
        <v>5.0</v>
      </c>
      <c r="D769" s="34">
        <v>2.0</v>
      </c>
      <c r="E769" s="34">
        <v>2.0</v>
      </c>
      <c r="F769" s="35" t="s">
        <v>16</v>
      </c>
      <c r="G769" s="35" t="s">
        <v>169</v>
      </c>
      <c r="H769" s="35">
        <v>6.83</v>
      </c>
      <c r="I769" s="35">
        <v>3.5</v>
      </c>
      <c r="J769" s="35">
        <v>10.33</v>
      </c>
      <c r="L769" s="3">
        <f t="shared" si="5"/>
        <v>0</v>
      </c>
    </row>
    <row r="770">
      <c r="A770" s="34">
        <v>769.0</v>
      </c>
      <c r="B770" s="34">
        <v>2017.0</v>
      </c>
      <c r="C770" s="34">
        <v>5.0</v>
      </c>
      <c r="D770" s="34">
        <v>2.0</v>
      </c>
      <c r="E770" s="34">
        <v>3.0</v>
      </c>
      <c r="F770" s="35" t="s">
        <v>16</v>
      </c>
      <c r="G770" s="44" t="s">
        <v>38</v>
      </c>
      <c r="H770" s="35">
        <v>9.43</v>
      </c>
      <c r="I770" s="34">
        <v>9.0</v>
      </c>
      <c r="J770" s="35">
        <v>18.43</v>
      </c>
      <c r="L770" s="3">
        <f t="shared" si="5"/>
        <v>0</v>
      </c>
    </row>
    <row r="771">
      <c r="A771" s="34">
        <v>770.0</v>
      </c>
      <c r="B771" s="34">
        <v>2017.0</v>
      </c>
      <c r="C771" s="34">
        <v>5.0</v>
      </c>
      <c r="D771" s="34">
        <v>2.0</v>
      </c>
      <c r="E771" s="34">
        <v>3.0</v>
      </c>
      <c r="F771" s="35" t="s">
        <v>16</v>
      </c>
      <c r="G771" s="35" t="s">
        <v>168</v>
      </c>
      <c r="H771" s="35">
        <v>4.83</v>
      </c>
      <c r="I771" s="35">
        <v>4.7</v>
      </c>
      <c r="J771" s="35">
        <v>9.53</v>
      </c>
      <c r="L771" s="3">
        <f t="shared" si="5"/>
        <v>0</v>
      </c>
    </row>
    <row r="772">
      <c r="A772" s="34">
        <v>771.0</v>
      </c>
      <c r="B772" s="34">
        <v>2017.0</v>
      </c>
      <c r="C772" s="34">
        <v>5.0</v>
      </c>
      <c r="D772" s="34">
        <v>2.0</v>
      </c>
      <c r="E772" s="34">
        <v>4.0</v>
      </c>
      <c r="F772" s="35" t="s">
        <v>16</v>
      </c>
      <c r="G772" s="44" t="s">
        <v>141</v>
      </c>
      <c r="H772" s="35">
        <v>8.33</v>
      </c>
      <c r="I772" s="35">
        <v>3.93</v>
      </c>
      <c r="J772" s="35">
        <v>12.26</v>
      </c>
      <c r="L772" s="3">
        <f t="shared" si="5"/>
        <v>0</v>
      </c>
    </row>
    <row r="773">
      <c r="A773" s="34">
        <v>772.0</v>
      </c>
      <c r="B773" s="34">
        <v>2017.0</v>
      </c>
      <c r="C773" s="34">
        <v>5.0</v>
      </c>
      <c r="D773" s="34">
        <v>2.0</v>
      </c>
      <c r="E773" s="34">
        <v>4.0</v>
      </c>
      <c r="F773" s="35" t="s">
        <v>16</v>
      </c>
      <c r="G773" s="35" t="s">
        <v>47</v>
      </c>
      <c r="H773" s="35">
        <v>8.5</v>
      </c>
      <c r="I773" s="35">
        <v>3.37</v>
      </c>
      <c r="J773" s="35">
        <v>11.87</v>
      </c>
      <c r="L773" s="3">
        <f t="shared" si="5"/>
        <v>0</v>
      </c>
    </row>
    <row r="774">
      <c r="A774" s="34">
        <v>773.0</v>
      </c>
      <c r="B774" s="34">
        <v>2017.0</v>
      </c>
      <c r="C774" s="34">
        <v>5.0</v>
      </c>
      <c r="D774" s="34">
        <v>2.0</v>
      </c>
      <c r="E774" s="34">
        <v>5.0</v>
      </c>
      <c r="F774" s="35" t="s">
        <v>16</v>
      </c>
      <c r="G774" s="44" t="s">
        <v>37</v>
      </c>
      <c r="H774" s="35">
        <v>7.73</v>
      </c>
      <c r="I774" s="35">
        <v>7.8</v>
      </c>
      <c r="J774" s="35">
        <v>15.53</v>
      </c>
      <c r="L774" s="3">
        <f t="shared" si="5"/>
        <v>0</v>
      </c>
    </row>
    <row r="775">
      <c r="A775" s="34">
        <v>774.0</v>
      </c>
      <c r="B775" s="34">
        <v>2017.0</v>
      </c>
      <c r="C775" s="34">
        <v>5.0</v>
      </c>
      <c r="D775" s="34">
        <v>2.0</v>
      </c>
      <c r="E775" s="34">
        <v>5.0</v>
      </c>
      <c r="F775" s="35" t="s">
        <v>16</v>
      </c>
      <c r="G775" s="35" t="s">
        <v>63</v>
      </c>
      <c r="H775" s="35">
        <v>2.27</v>
      </c>
      <c r="I775" s="35">
        <v>6.73</v>
      </c>
      <c r="J775" s="34">
        <v>9.0</v>
      </c>
      <c r="L775" s="3">
        <f t="shared" si="5"/>
        <v>0</v>
      </c>
    </row>
    <row r="776">
      <c r="A776" s="34">
        <v>775.0</v>
      </c>
      <c r="B776" s="34">
        <v>2017.0</v>
      </c>
      <c r="C776" s="34">
        <v>5.0</v>
      </c>
      <c r="D776" s="34">
        <v>2.0</v>
      </c>
      <c r="E776" s="34">
        <v>6.0</v>
      </c>
      <c r="F776" s="35" t="s">
        <v>16</v>
      </c>
      <c r="G776" s="44" t="s">
        <v>65</v>
      </c>
      <c r="H776" s="35">
        <v>5.83</v>
      </c>
      <c r="I776" s="35">
        <v>7.17</v>
      </c>
      <c r="J776" s="34">
        <v>13.0</v>
      </c>
      <c r="L776" s="3">
        <f t="shared" si="5"/>
        <v>0</v>
      </c>
    </row>
    <row r="777">
      <c r="A777" s="34">
        <v>776.0</v>
      </c>
      <c r="B777" s="34">
        <v>2017.0</v>
      </c>
      <c r="C777" s="34">
        <v>5.0</v>
      </c>
      <c r="D777" s="34">
        <v>2.0</v>
      </c>
      <c r="E777" s="34">
        <v>6.0</v>
      </c>
      <c r="F777" s="35" t="s">
        <v>16</v>
      </c>
      <c r="G777" s="35" t="s">
        <v>52</v>
      </c>
      <c r="H777" s="35">
        <v>5.63</v>
      </c>
      <c r="I777" s="35">
        <v>4.67</v>
      </c>
      <c r="J777" s="35">
        <v>10.3</v>
      </c>
      <c r="L777" s="3">
        <f t="shared" si="5"/>
        <v>0</v>
      </c>
    </row>
    <row r="778">
      <c r="A778" s="34">
        <v>777.0</v>
      </c>
      <c r="B778" s="34">
        <v>2017.0</v>
      </c>
      <c r="C778" s="34">
        <v>5.0</v>
      </c>
      <c r="D778" s="34">
        <v>2.0</v>
      </c>
      <c r="E778" s="34">
        <v>7.0</v>
      </c>
      <c r="F778" s="35" t="s">
        <v>16</v>
      </c>
      <c r="G778" s="44" t="s">
        <v>54</v>
      </c>
      <c r="H778" s="35">
        <v>8.17</v>
      </c>
      <c r="I778" s="35">
        <v>6.6</v>
      </c>
      <c r="J778" s="35">
        <v>14.77</v>
      </c>
      <c r="L778" s="3">
        <f t="shared" si="5"/>
        <v>0</v>
      </c>
    </row>
    <row r="779">
      <c r="A779" s="34">
        <v>778.0</v>
      </c>
      <c r="B779" s="34">
        <v>2017.0</v>
      </c>
      <c r="C779" s="34">
        <v>5.0</v>
      </c>
      <c r="D779" s="34">
        <v>2.0</v>
      </c>
      <c r="E779" s="34">
        <v>7.0</v>
      </c>
      <c r="F779" s="35" t="s">
        <v>16</v>
      </c>
      <c r="G779" s="35" t="s">
        <v>35</v>
      </c>
      <c r="H779" s="35">
        <v>6.17</v>
      </c>
      <c r="I779" s="35">
        <v>6.1</v>
      </c>
      <c r="J779" s="35">
        <v>12.27</v>
      </c>
      <c r="L779" s="3">
        <f t="shared" si="5"/>
        <v>0</v>
      </c>
    </row>
    <row r="780">
      <c r="A780" s="34">
        <v>779.0</v>
      </c>
      <c r="B780" s="34">
        <v>2017.0</v>
      </c>
      <c r="C780" s="34">
        <v>5.0</v>
      </c>
      <c r="D780" s="34">
        <v>2.0</v>
      </c>
      <c r="E780" s="34">
        <v>8.0</v>
      </c>
      <c r="F780" s="35" t="s">
        <v>16</v>
      </c>
      <c r="G780" s="44" t="s">
        <v>50</v>
      </c>
      <c r="H780" s="34">
        <v>8.0</v>
      </c>
      <c r="I780" s="35">
        <v>9.57</v>
      </c>
      <c r="J780" s="35">
        <v>17.57</v>
      </c>
      <c r="L780" s="3">
        <f t="shared" si="5"/>
        <v>0</v>
      </c>
    </row>
    <row r="781">
      <c r="A781" s="34">
        <v>780.0</v>
      </c>
      <c r="B781" s="34">
        <v>2017.0</v>
      </c>
      <c r="C781" s="34">
        <v>5.0</v>
      </c>
      <c r="D781" s="34">
        <v>2.0</v>
      </c>
      <c r="E781" s="34">
        <v>8.0</v>
      </c>
      <c r="F781" s="35" t="s">
        <v>16</v>
      </c>
      <c r="G781" s="35" t="s">
        <v>56</v>
      </c>
      <c r="H781" s="34">
        <v>6.0</v>
      </c>
      <c r="I781" s="35">
        <v>5.1</v>
      </c>
      <c r="J781" s="35">
        <v>11.1</v>
      </c>
      <c r="L781" s="3">
        <f t="shared" si="5"/>
        <v>0</v>
      </c>
    </row>
    <row r="782">
      <c r="A782" s="34">
        <v>781.0</v>
      </c>
      <c r="B782" s="34">
        <v>2017.0</v>
      </c>
      <c r="C782" s="34">
        <v>5.0</v>
      </c>
      <c r="D782" s="34">
        <v>2.0</v>
      </c>
      <c r="E782" s="34">
        <v>9.0</v>
      </c>
      <c r="F782" s="35" t="s">
        <v>16</v>
      </c>
      <c r="G782" s="44" t="s">
        <v>36</v>
      </c>
      <c r="H782" s="35">
        <v>7.57</v>
      </c>
      <c r="I782" s="35">
        <v>3.17</v>
      </c>
      <c r="J782" s="35">
        <v>10.74</v>
      </c>
      <c r="L782" s="3">
        <f t="shared" si="5"/>
        <v>0</v>
      </c>
    </row>
    <row r="783">
      <c r="A783" s="34">
        <v>782.0</v>
      </c>
      <c r="B783" s="34">
        <v>2017.0</v>
      </c>
      <c r="C783" s="34">
        <v>5.0</v>
      </c>
      <c r="D783" s="34">
        <v>2.0</v>
      </c>
      <c r="E783" s="34">
        <v>9.0</v>
      </c>
      <c r="F783" s="35" t="s">
        <v>16</v>
      </c>
      <c r="G783" s="35" t="s">
        <v>69</v>
      </c>
      <c r="H783" s="35">
        <v>6.83</v>
      </c>
      <c r="I783" s="35">
        <v>2.27</v>
      </c>
      <c r="J783" s="35">
        <v>9.1</v>
      </c>
      <c r="L783" s="3">
        <f t="shared" si="5"/>
        <v>0</v>
      </c>
    </row>
    <row r="784">
      <c r="A784" s="34">
        <v>783.0</v>
      </c>
      <c r="B784" s="34">
        <v>2017.0</v>
      </c>
      <c r="C784" s="34">
        <v>5.0</v>
      </c>
      <c r="D784" s="34">
        <v>2.0</v>
      </c>
      <c r="E784" s="34">
        <v>10.0</v>
      </c>
      <c r="F784" s="35" t="s">
        <v>16</v>
      </c>
      <c r="G784" s="44" t="s">
        <v>67</v>
      </c>
      <c r="H784" s="35">
        <v>7.83</v>
      </c>
      <c r="I784" s="35">
        <v>7.17</v>
      </c>
      <c r="J784" s="34">
        <v>15.0</v>
      </c>
      <c r="L784" s="3">
        <f t="shared" si="5"/>
        <v>0</v>
      </c>
    </row>
    <row r="785">
      <c r="A785" s="34">
        <v>784.0</v>
      </c>
      <c r="B785" s="34">
        <v>2017.0</v>
      </c>
      <c r="C785" s="34">
        <v>5.0</v>
      </c>
      <c r="D785" s="34">
        <v>2.0</v>
      </c>
      <c r="E785" s="34">
        <v>10.0</v>
      </c>
      <c r="F785" s="35" t="s">
        <v>16</v>
      </c>
      <c r="G785" s="35" t="s">
        <v>53</v>
      </c>
      <c r="H785" s="35">
        <v>4.33</v>
      </c>
      <c r="I785" s="35">
        <v>2.8</v>
      </c>
      <c r="J785" s="35">
        <v>7.13</v>
      </c>
      <c r="L785" s="3">
        <f t="shared" si="5"/>
        <v>0</v>
      </c>
    </row>
    <row r="786">
      <c r="A786" s="34">
        <v>785.0</v>
      </c>
      <c r="B786" s="34">
        <v>2017.0</v>
      </c>
      <c r="C786" s="34">
        <v>5.0</v>
      </c>
      <c r="D786" s="34">
        <v>2.0</v>
      </c>
      <c r="E786" s="34">
        <v>11.0</v>
      </c>
      <c r="F786" s="35" t="s">
        <v>16</v>
      </c>
      <c r="G786" s="44" t="s">
        <v>55</v>
      </c>
      <c r="H786" s="35">
        <v>5.17</v>
      </c>
      <c r="I786" s="35">
        <v>6.83</v>
      </c>
      <c r="J786" s="34">
        <v>12.0</v>
      </c>
      <c r="L786" s="3">
        <f t="shared" si="5"/>
        <v>0</v>
      </c>
    </row>
    <row r="787">
      <c r="A787" s="34">
        <v>786.0</v>
      </c>
      <c r="B787" s="34">
        <v>2017.0</v>
      </c>
      <c r="C787" s="34">
        <v>5.0</v>
      </c>
      <c r="D787" s="34">
        <v>2.0</v>
      </c>
      <c r="E787" s="34">
        <v>11.0</v>
      </c>
      <c r="F787" s="35" t="s">
        <v>16</v>
      </c>
      <c r="G787" s="35" t="s">
        <v>68</v>
      </c>
      <c r="H787" s="35">
        <v>4.63</v>
      </c>
      <c r="I787" s="35">
        <v>4.6</v>
      </c>
      <c r="J787" s="35">
        <v>9.23</v>
      </c>
      <c r="L787" s="3">
        <f t="shared" si="5"/>
        <v>0</v>
      </c>
    </row>
    <row r="788">
      <c r="A788" s="34">
        <v>787.0</v>
      </c>
      <c r="B788" s="34">
        <v>2017.0</v>
      </c>
      <c r="C788" s="34">
        <v>5.0</v>
      </c>
      <c r="D788" s="34">
        <v>2.0</v>
      </c>
      <c r="E788" s="34">
        <v>12.0</v>
      </c>
      <c r="F788" s="35" t="s">
        <v>16</v>
      </c>
      <c r="G788" s="44" t="s">
        <v>59</v>
      </c>
      <c r="H788" s="35">
        <v>6.83</v>
      </c>
      <c r="I788" s="35">
        <v>6.27</v>
      </c>
      <c r="J788" s="35">
        <v>13.1</v>
      </c>
      <c r="L788" s="3">
        <f t="shared" si="5"/>
        <v>0</v>
      </c>
    </row>
    <row r="789">
      <c r="A789" s="34">
        <v>788.0</v>
      </c>
      <c r="B789" s="34">
        <v>2017.0</v>
      </c>
      <c r="C789" s="34">
        <v>5.0</v>
      </c>
      <c r="D789" s="34">
        <v>2.0</v>
      </c>
      <c r="E789" s="34">
        <v>12.0</v>
      </c>
      <c r="F789" s="35" t="s">
        <v>16</v>
      </c>
      <c r="G789" s="35" t="s">
        <v>45</v>
      </c>
      <c r="H789" s="35">
        <v>5.17</v>
      </c>
      <c r="I789" s="35">
        <v>4.73</v>
      </c>
      <c r="J789" s="35">
        <v>9.9</v>
      </c>
      <c r="L789" s="3">
        <f t="shared" si="5"/>
        <v>0</v>
      </c>
    </row>
    <row r="790">
      <c r="A790" s="34">
        <v>789.0</v>
      </c>
      <c r="B790" s="34">
        <v>2017.0</v>
      </c>
      <c r="C790" s="34">
        <v>5.0</v>
      </c>
      <c r="D790" s="34">
        <v>3.0</v>
      </c>
      <c r="E790" s="34">
        <v>1.0</v>
      </c>
      <c r="F790" s="35" t="s">
        <v>16</v>
      </c>
      <c r="G790" s="44" t="s">
        <v>67</v>
      </c>
      <c r="H790" s="35">
        <v>8.33</v>
      </c>
      <c r="I790" s="35">
        <v>7.33</v>
      </c>
      <c r="J790" s="35">
        <v>15.66</v>
      </c>
      <c r="L790" s="3">
        <f t="shared" si="5"/>
        <v>0</v>
      </c>
    </row>
    <row r="791">
      <c r="A791" s="34">
        <v>790.0</v>
      </c>
      <c r="B791" s="34">
        <v>2017.0</v>
      </c>
      <c r="C791" s="34">
        <v>5.0</v>
      </c>
      <c r="D791" s="34">
        <v>3.0</v>
      </c>
      <c r="E791" s="34">
        <v>1.0</v>
      </c>
      <c r="F791" s="35" t="s">
        <v>16</v>
      </c>
      <c r="G791" s="35" t="s">
        <v>57</v>
      </c>
      <c r="H791" s="35">
        <v>6.33</v>
      </c>
      <c r="I791" s="35">
        <v>8.93</v>
      </c>
      <c r="J791" s="35">
        <v>15.26</v>
      </c>
      <c r="L791" s="3">
        <f t="shared" si="5"/>
        <v>0</v>
      </c>
    </row>
    <row r="792">
      <c r="A792" s="34">
        <v>791.0</v>
      </c>
      <c r="B792" s="34">
        <v>2017.0</v>
      </c>
      <c r="C792" s="34">
        <v>5.0</v>
      </c>
      <c r="D792" s="34">
        <v>3.0</v>
      </c>
      <c r="E792" s="34">
        <v>2.0</v>
      </c>
      <c r="F792" s="35" t="s">
        <v>16</v>
      </c>
      <c r="G792" s="44" t="s">
        <v>31</v>
      </c>
      <c r="H792" s="35">
        <v>6.17</v>
      </c>
      <c r="I792" s="35">
        <v>8.87</v>
      </c>
      <c r="J792" s="35">
        <v>15.04</v>
      </c>
      <c r="L792" s="3">
        <f t="shared" si="5"/>
        <v>0</v>
      </c>
    </row>
    <row r="793">
      <c r="A793" s="34">
        <v>792.0</v>
      </c>
      <c r="B793" s="34">
        <v>2017.0</v>
      </c>
      <c r="C793" s="34">
        <v>5.0</v>
      </c>
      <c r="D793" s="34">
        <v>3.0</v>
      </c>
      <c r="E793" s="34">
        <v>2.0</v>
      </c>
      <c r="F793" s="35" t="s">
        <v>16</v>
      </c>
      <c r="G793" s="35" t="s">
        <v>64</v>
      </c>
      <c r="H793" s="35">
        <v>4.67</v>
      </c>
      <c r="I793" s="35">
        <v>5.53</v>
      </c>
      <c r="J793" s="35">
        <v>10.2</v>
      </c>
      <c r="L793" s="3">
        <f t="shared" si="5"/>
        <v>0</v>
      </c>
    </row>
    <row r="794">
      <c r="A794" s="34">
        <v>793.0</v>
      </c>
      <c r="B794" s="34">
        <v>2017.0</v>
      </c>
      <c r="C794" s="34">
        <v>5.0</v>
      </c>
      <c r="D794" s="34">
        <v>3.0</v>
      </c>
      <c r="E794" s="34">
        <v>3.0</v>
      </c>
      <c r="F794" s="35" t="s">
        <v>16</v>
      </c>
      <c r="G794" s="44" t="s">
        <v>34</v>
      </c>
      <c r="H794" s="35">
        <v>8.07</v>
      </c>
      <c r="I794" s="35">
        <v>8.77</v>
      </c>
      <c r="J794" s="35">
        <v>16.84</v>
      </c>
      <c r="L794" s="3">
        <f t="shared" si="5"/>
        <v>0</v>
      </c>
    </row>
    <row r="795">
      <c r="A795" s="34">
        <v>794.0</v>
      </c>
      <c r="B795" s="34">
        <v>2017.0</v>
      </c>
      <c r="C795" s="34">
        <v>5.0</v>
      </c>
      <c r="D795" s="34">
        <v>3.0</v>
      </c>
      <c r="E795" s="34">
        <v>3.0</v>
      </c>
      <c r="F795" s="35" t="s">
        <v>16</v>
      </c>
      <c r="G795" s="35" t="s">
        <v>55</v>
      </c>
      <c r="H795" s="35">
        <v>3.5</v>
      </c>
      <c r="I795" s="35">
        <v>2.17</v>
      </c>
      <c r="J795" s="35">
        <v>5.67</v>
      </c>
      <c r="L795" s="3">
        <f t="shared" si="5"/>
        <v>0</v>
      </c>
    </row>
    <row r="796">
      <c r="A796" s="34">
        <v>795.0</v>
      </c>
      <c r="B796" s="34">
        <v>2017.0</v>
      </c>
      <c r="C796" s="34">
        <v>5.0</v>
      </c>
      <c r="D796" s="34">
        <v>3.0</v>
      </c>
      <c r="E796" s="34">
        <v>4.0</v>
      </c>
      <c r="F796" s="35" t="s">
        <v>16</v>
      </c>
      <c r="G796" s="44" t="s">
        <v>17</v>
      </c>
      <c r="H796" s="35">
        <v>7.83</v>
      </c>
      <c r="I796" s="34">
        <v>8.0</v>
      </c>
      <c r="J796" s="35">
        <v>15.83</v>
      </c>
      <c r="L796" s="3">
        <f t="shared" si="5"/>
        <v>0</v>
      </c>
    </row>
    <row r="797">
      <c r="A797" s="34">
        <v>796.0</v>
      </c>
      <c r="B797" s="34">
        <v>2017.0</v>
      </c>
      <c r="C797" s="34">
        <v>5.0</v>
      </c>
      <c r="D797" s="34">
        <v>3.0</v>
      </c>
      <c r="E797" s="34">
        <v>4.0</v>
      </c>
      <c r="F797" s="35" t="s">
        <v>16</v>
      </c>
      <c r="G797" s="35" t="s">
        <v>30</v>
      </c>
      <c r="H797" s="35">
        <v>8.1</v>
      </c>
      <c r="I797" s="35">
        <v>7.37</v>
      </c>
      <c r="J797" s="35">
        <v>15.47</v>
      </c>
      <c r="L797" s="3">
        <f t="shared" si="5"/>
        <v>0</v>
      </c>
    </row>
    <row r="798">
      <c r="A798" s="34">
        <v>797.0</v>
      </c>
      <c r="B798" s="34">
        <v>2017.0</v>
      </c>
      <c r="C798" s="34">
        <v>5.0</v>
      </c>
      <c r="D798" s="34">
        <v>3.0</v>
      </c>
      <c r="E798" s="34">
        <v>5.0</v>
      </c>
      <c r="F798" s="35" t="s">
        <v>16</v>
      </c>
      <c r="G798" s="46" t="s">
        <v>27</v>
      </c>
      <c r="H798" s="39">
        <v>7.0</v>
      </c>
      <c r="I798" s="39">
        <v>6.53</v>
      </c>
      <c r="J798" s="39">
        <v>13.53</v>
      </c>
      <c r="L798" s="3">
        <f t="shared" si="5"/>
        <v>0</v>
      </c>
    </row>
    <row r="799">
      <c r="A799" s="34">
        <v>798.0</v>
      </c>
      <c r="B799" s="34">
        <v>2017.0</v>
      </c>
      <c r="C799" s="34">
        <v>5.0</v>
      </c>
      <c r="D799" s="34">
        <v>3.0</v>
      </c>
      <c r="E799" s="34">
        <v>5.0</v>
      </c>
      <c r="F799" s="35" t="s">
        <v>16</v>
      </c>
      <c r="G799" s="39" t="s">
        <v>41</v>
      </c>
      <c r="H799" s="39">
        <v>5.67</v>
      </c>
      <c r="I799" s="39">
        <v>5.53</v>
      </c>
      <c r="J799" s="39">
        <v>11.2</v>
      </c>
      <c r="L799" s="3">
        <f t="shared" si="5"/>
        <v>0</v>
      </c>
    </row>
    <row r="800">
      <c r="A800" s="34">
        <v>799.0</v>
      </c>
      <c r="B800" s="34">
        <v>2017.0</v>
      </c>
      <c r="C800" s="34">
        <v>5.0</v>
      </c>
      <c r="D800" s="34">
        <v>3.0</v>
      </c>
      <c r="E800" s="34">
        <v>6.0</v>
      </c>
      <c r="F800" s="35" t="s">
        <v>16</v>
      </c>
      <c r="G800" s="46" t="s">
        <v>141</v>
      </c>
      <c r="H800" s="39">
        <v>8.5</v>
      </c>
      <c r="I800" s="39">
        <v>8.33</v>
      </c>
      <c r="J800" s="39">
        <v>16.83</v>
      </c>
      <c r="L800" s="3">
        <f t="shared" si="5"/>
        <v>0</v>
      </c>
    </row>
    <row r="801">
      <c r="A801" s="34">
        <v>800.0</v>
      </c>
      <c r="B801" s="34">
        <v>2017.0</v>
      </c>
      <c r="C801" s="34">
        <v>5.0</v>
      </c>
      <c r="D801" s="34">
        <v>3.0</v>
      </c>
      <c r="E801" s="34">
        <v>6.0</v>
      </c>
      <c r="F801" s="35" t="s">
        <v>16</v>
      </c>
      <c r="G801" s="39" t="s">
        <v>26</v>
      </c>
      <c r="H801" s="39">
        <v>7.0</v>
      </c>
      <c r="I801" s="39">
        <v>6.33</v>
      </c>
      <c r="J801" s="39">
        <v>13.33</v>
      </c>
      <c r="L801" s="3">
        <f t="shared" si="5"/>
        <v>0</v>
      </c>
    </row>
    <row r="802">
      <c r="A802" s="34">
        <v>801.0</v>
      </c>
      <c r="B802" s="34">
        <v>2017.0</v>
      </c>
      <c r="C802" s="34">
        <v>5.0</v>
      </c>
      <c r="D802" s="34">
        <v>3.0</v>
      </c>
      <c r="E802" s="34">
        <v>7.0</v>
      </c>
      <c r="F802" s="35" t="s">
        <v>16</v>
      </c>
      <c r="G802" s="46" t="s">
        <v>65</v>
      </c>
      <c r="H802" s="39">
        <v>9.2</v>
      </c>
      <c r="I802" s="39">
        <v>8.4</v>
      </c>
      <c r="J802" s="39">
        <v>17.6</v>
      </c>
      <c r="L802" s="3">
        <f t="shared" si="5"/>
        <v>0</v>
      </c>
    </row>
    <row r="803">
      <c r="A803" s="34">
        <v>802.0</v>
      </c>
      <c r="B803" s="34">
        <v>2017.0</v>
      </c>
      <c r="C803" s="34">
        <v>5.0</v>
      </c>
      <c r="D803" s="34">
        <v>3.0</v>
      </c>
      <c r="E803" s="34">
        <v>7.0</v>
      </c>
      <c r="F803" s="35" t="s">
        <v>16</v>
      </c>
      <c r="G803" s="39" t="s">
        <v>28</v>
      </c>
      <c r="H803" s="39">
        <v>6.9</v>
      </c>
      <c r="I803" s="39">
        <v>4.83</v>
      </c>
      <c r="J803" s="39">
        <v>11.73</v>
      </c>
      <c r="L803" s="3">
        <f t="shared" si="5"/>
        <v>0</v>
      </c>
    </row>
    <row r="804">
      <c r="A804" s="34">
        <v>803.0</v>
      </c>
      <c r="B804" s="34">
        <v>2017.0</v>
      </c>
      <c r="C804" s="34">
        <v>5.0</v>
      </c>
      <c r="D804" s="34">
        <v>3.0</v>
      </c>
      <c r="E804" s="34">
        <v>8.0</v>
      </c>
      <c r="F804" s="35" t="s">
        <v>16</v>
      </c>
      <c r="G804" s="46" t="s">
        <v>61</v>
      </c>
      <c r="H804" s="39">
        <v>5.57</v>
      </c>
      <c r="I804" s="39">
        <v>5.17</v>
      </c>
      <c r="J804" s="39">
        <v>10.74</v>
      </c>
      <c r="L804" s="3">
        <f t="shared" si="5"/>
        <v>0</v>
      </c>
    </row>
    <row r="805">
      <c r="A805" s="34">
        <v>804.0</v>
      </c>
      <c r="B805" s="34">
        <v>2017.0</v>
      </c>
      <c r="C805" s="34">
        <v>5.0</v>
      </c>
      <c r="D805" s="34">
        <v>3.0</v>
      </c>
      <c r="E805" s="34">
        <v>8.0</v>
      </c>
      <c r="F805" s="35" t="s">
        <v>16</v>
      </c>
      <c r="G805" s="39" t="s">
        <v>37</v>
      </c>
      <c r="H805" s="39">
        <v>6.67</v>
      </c>
      <c r="I805" s="39">
        <v>3.67</v>
      </c>
      <c r="J805" s="39">
        <v>10.34</v>
      </c>
      <c r="L805" s="3">
        <f t="shared" si="5"/>
        <v>0</v>
      </c>
    </row>
    <row r="806">
      <c r="A806" s="34">
        <v>805.0</v>
      </c>
      <c r="B806" s="34">
        <v>2017.0</v>
      </c>
      <c r="C806" s="34">
        <v>5.0</v>
      </c>
      <c r="D806" s="34">
        <v>3.0</v>
      </c>
      <c r="E806" s="34">
        <v>9.0</v>
      </c>
      <c r="F806" s="35" t="s">
        <v>16</v>
      </c>
      <c r="G806" s="46" t="s">
        <v>39</v>
      </c>
      <c r="H806" s="39">
        <v>7.77</v>
      </c>
      <c r="I806" s="39">
        <v>7.53</v>
      </c>
      <c r="J806" s="39">
        <v>15.3</v>
      </c>
      <c r="L806" s="3">
        <f t="shared" si="5"/>
        <v>0</v>
      </c>
    </row>
    <row r="807">
      <c r="A807" s="34">
        <v>806.0</v>
      </c>
      <c r="B807" s="34">
        <v>2017.0</v>
      </c>
      <c r="C807" s="34">
        <v>5.0</v>
      </c>
      <c r="D807" s="34">
        <v>3.0</v>
      </c>
      <c r="E807" s="34">
        <v>9.0</v>
      </c>
      <c r="F807" s="35" t="s">
        <v>16</v>
      </c>
      <c r="G807" s="39" t="s">
        <v>50</v>
      </c>
      <c r="H807" s="39">
        <v>8.67</v>
      </c>
      <c r="I807" s="39">
        <v>5.17</v>
      </c>
      <c r="J807" s="39">
        <v>13.84</v>
      </c>
      <c r="L807" s="3">
        <f t="shared" si="5"/>
        <v>0</v>
      </c>
    </row>
    <row r="808">
      <c r="A808" s="34">
        <v>807.0</v>
      </c>
      <c r="B808" s="34">
        <v>2017.0</v>
      </c>
      <c r="C808" s="34">
        <v>5.0</v>
      </c>
      <c r="D808" s="34">
        <v>3.0</v>
      </c>
      <c r="E808" s="34">
        <v>10.0</v>
      </c>
      <c r="F808" s="35" t="s">
        <v>16</v>
      </c>
      <c r="G808" s="46" t="s">
        <v>59</v>
      </c>
      <c r="H808" s="39">
        <v>8.43</v>
      </c>
      <c r="I808" s="39">
        <v>7.67</v>
      </c>
      <c r="J808" s="39">
        <v>16.1</v>
      </c>
      <c r="L808" s="3">
        <f t="shared" si="5"/>
        <v>0</v>
      </c>
    </row>
    <row r="809">
      <c r="A809" s="34">
        <v>808.0</v>
      </c>
      <c r="B809" s="34">
        <v>2017.0</v>
      </c>
      <c r="C809" s="34">
        <v>5.0</v>
      </c>
      <c r="D809" s="34">
        <v>3.0</v>
      </c>
      <c r="E809" s="34">
        <v>10.0</v>
      </c>
      <c r="F809" s="35" t="s">
        <v>16</v>
      </c>
      <c r="G809" s="39" t="s">
        <v>32</v>
      </c>
      <c r="H809" s="39">
        <v>6.83</v>
      </c>
      <c r="I809" s="39">
        <v>5.07</v>
      </c>
      <c r="J809" s="39">
        <v>11.9</v>
      </c>
      <c r="L809" s="3">
        <f t="shared" si="5"/>
        <v>0</v>
      </c>
    </row>
    <row r="810">
      <c r="A810" s="34">
        <v>809.0</v>
      </c>
      <c r="B810" s="34">
        <v>2017.0</v>
      </c>
      <c r="C810" s="34">
        <v>5.0</v>
      </c>
      <c r="D810" s="34">
        <v>3.0</v>
      </c>
      <c r="E810" s="34">
        <v>11.0</v>
      </c>
      <c r="F810" s="35" t="s">
        <v>16</v>
      </c>
      <c r="G810" s="46" t="s">
        <v>38</v>
      </c>
      <c r="H810" s="39">
        <v>7.33</v>
      </c>
      <c r="I810" s="39">
        <v>5.6</v>
      </c>
      <c r="J810" s="39">
        <v>12.93</v>
      </c>
      <c r="L810" s="3">
        <f t="shared" si="5"/>
        <v>0</v>
      </c>
    </row>
    <row r="811">
      <c r="A811" s="34">
        <v>810.0</v>
      </c>
      <c r="B811" s="34">
        <v>2017.0</v>
      </c>
      <c r="C811" s="34">
        <v>5.0</v>
      </c>
      <c r="D811" s="34">
        <v>3.0</v>
      </c>
      <c r="E811" s="34">
        <v>11.0</v>
      </c>
      <c r="F811" s="35" t="s">
        <v>16</v>
      </c>
      <c r="G811" s="39" t="s">
        <v>54</v>
      </c>
      <c r="H811" s="39">
        <v>7.63</v>
      </c>
      <c r="I811" s="39">
        <v>5.17</v>
      </c>
      <c r="J811" s="39">
        <v>12.8</v>
      </c>
      <c r="L811" s="3">
        <f t="shared" si="5"/>
        <v>0</v>
      </c>
    </row>
    <row r="812">
      <c r="A812" s="34">
        <v>811.0</v>
      </c>
      <c r="B812" s="34">
        <v>2017.0</v>
      </c>
      <c r="C812" s="34">
        <v>5.0</v>
      </c>
      <c r="D812" s="34">
        <v>3.0</v>
      </c>
      <c r="E812" s="34">
        <v>12.0</v>
      </c>
      <c r="F812" s="35" t="s">
        <v>16</v>
      </c>
      <c r="G812" s="46" t="s">
        <v>36</v>
      </c>
      <c r="H812" s="39">
        <v>8.0</v>
      </c>
      <c r="I812" s="39">
        <v>6.83</v>
      </c>
      <c r="J812" s="39">
        <v>14.83</v>
      </c>
      <c r="L812" s="3">
        <f t="shared" si="5"/>
        <v>0</v>
      </c>
    </row>
    <row r="813">
      <c r="A813" s="34">
        <v>812.0</v>
      </c>
      <c r="B813" s="34">
        <v>2017.0</v>
      </c>
      <c r="C813" s="34">
        <v>5.0</v>
      </c>
      <c r="D813" s="34">
        <v>3.0</v>
      </c>
      <c r="E813" s="34">
        <v>12.0</v>
      </c>
      <c r="F813" s="35" t="s">
        <v>16</v>
      </c>
      <c r="G813" s="39" t="s">
        <v>42</v>
      </c>
      <c r="H813" s="39">
        <v>7.33</v>
      </c>
      <c r="I813" s="39">
        <v>7.0</v>
      </c>
      <c r="J813" s="39">
        <v>14.33</v>
      </c>
      <c r="L813" s="3">
        <f t="shared" si="5"/>
        <v>0</v>
      </c>
    </row>
    <row r="814">
      <c r="A814" s="34">
        <v>813.0</v>
      </c>
      <c r="B814" s="34">
        <v>2017.0</v>
      </c>
      <c r="C814" s="34">
        <v>5.0</v>
      </c>
      <c r="D814" s="34">
        <v>4.0</v>
      </c>
      <c r="E814" s="34">
        <v>1.0</v>
      </c>
      <c r="F814" s="35" t="s">
        <v>16</v>
      </c>
      <c r="G814" s="44" t="s">
        <v>34</v>
      </c>
      <c r="H814" s="39">
        <v>8.67</v>
      </c>
      <c r="I814" s="39">
        <v>5.6</v>
      </c>
      <c r="J814" s="39">
        <v>14.27</v>
      </c>
      <c r="L814" s="3">
        <f t="shared" si="5"/>
        <v>0</v>
      </c>
    </row>
    <row r="815">
      <c r="A815" s="34">
        <v>814.0</v>
      </c>
      <c r="B815" s="34">
        <v>2017.0</v>
      </c>
      <c r="C815" s="34">
        <v>5.0</v>
      </c>
      <c r="D815" s="34">
        <v>4.0</v>
      </c>
      <c r="E815" s="34">
        <v>1.0</v>
      </c>
      <c r="F815" s="35" t="s">
        <v>16</v>
      </c>
      <c r="G815" s="39" t="s">
        <v>31</v>
      </c>
      <c r="H815" s="39">
        <v>7.93</v>
      </c>
      <c r="I815" s="39">
        <v>6.0</v>
      </c>
      <c r="J815" s="39">
        <v>13.93</v>
      </c>
      <c r="L815" s="3">
        <f t="shared" si="5"/>
        <v>0</v>
      </c>
    </row>
    <row r="816">
      <c r="A816" s="34">
        <v>815.0</v>
      </c>
      <c r="B816" s="34">
        <v>2017.0</v>
      </c>
      <c r="C816" s="34">
        <v>5.0</v>
      </c>
      <c r="D816" s="34">
        <v>4.0</v>
      </c>
      <c r="E816" s="34">
        <v>1.0</v>
      </c>
      <c r="F816" s="35" t="s">
        <v>16</v>
      </c>
      <c r="G816" s="39" t="s">
        <v>67</v>
      </c>
      <c r="H816" s="39">
        <v>6.43</v>
      </c>
      <c r="I816" s="39">
        <v>3.97</v>
      </c>
      <c r="J816" s="39">
        <v>10.4</v>
      </c>
      <c r="L816" s="3">
        <f t="shared" si="5"/>
        <v>0</v>
      </c>
    </row>
    <row r="817">
      <c r="A817" s="34">
        <v>816.0</v>
      </c>
      <c r="B817" s="34">
        <v>2017.0</v>
      </c>
      <c r="C817" s="34">
        <v>5.0</v>
      </c>
      <c r="D817" s="34">
        <v>4.0</v>
      </c>
      <c r="E817" s="34">
        <v>2.0</v>
      </c>
      <c r="F817" s="35" t="s">
        <v>16</v>
      </c>
      <c r="G817" s="46" t="s">
        <v>27</v>
      </c>
      <c r="H817" s="39">
        <v>9.0</v>
      </c>
      <c r="I817" s="39">
        <v>6.73</v>
      </c>
      <c r="J817" s="39">
        <v>15.73</v>
      </c>
      <c r="L817" s="3">
        <f t="shared" si="5"/>
        <v>0</v>
      </c>
    </row>
    <row r="818">
      <c r="A818" s="34">
        <v>817.0</v>
      </c>
      <c r="B818" s="34">
        <v>2017.0</v>
      </c>
      <c r="C818" s="34">
        <v>5.0</v>
      </c>
      <c r="D818" s="34">
        <v>4.0</v>
      </c>
      <c r="E818" s="34">
        <v>2.0</v>
      </c>
      <c r="F818" s="35" t="s">
        <v>16</v>
      </c>
      <c r="G818" s="39" t="s">
        <v>141</v>
      </c>
      <c r="H818" s="39">
        <v>6.5</v>
      </c>
      <c r="I818" s="39">
        <v>4.27</v>
      </c>
      <c r="J818" s="39">
        <v>10.77</v>
      </c>
      <c r="L818" s="3">
        <f t="shared" si="5"/>
        <v>0</v>
      </c>
    </row>
    <row r="819">
      <c r="A819" s="34">
        <v>818.0</v>
      </c>
      <c r="B819" s="34">
        <v>2017.0</v>
      </c>
      <c r="C819" s="34">
        <v>5.0</v>
      </c>
      <c r="D819" s="34">
        <v>4.0</v>
      </c>
      <c r="E819" s="34">
        <v>2.0</v>
      </c>
      <c r="F819" s="35" t="s">
        <v>16</v>
      </c>
      <c r="G819" s="39" t="s">
        <v>17</v>
      </c>
      <c r="H819" s="39">
        <v>4.67</v>
      </c>
      <c r="I819" s="39">
        <v>3.83</v>
      </c>
      <c r="J819" s="39">
        <v>8.5</v>
      </c>
      <c r="L819" s="3">
        <f t="shared" si="5"/>
        <v>0</v>
      </c>
    </row>
    <row r="820">
      <c r="A820" s="34">
        <v>819.0</v>
      </c>
      <c r="B820" s="34">
        <v>2017.0</v>
      </c>
      <c r="C820" s="34">
        <v>5.0</v>
      </c>
      <c r="D820" s="34">
        <v>4.0</v>
      </c>
      <c r="E820" s="34">
        <v>3.0</v>
      </c>
      <c r="F820" s="35" t="s">
        <v>16</v>
      </c>
      <c r="G820" s="46" t="s">
        <v>61</v>
      </c>
      <c r="H820" s="39">
        <v>7.33</v>
      </c>
      <c r="I820" s="39">
        <v>6.33</v>
      </c>
      <c r="J820" s="39">
        <v>13.66</v>
      </c>
      <c r="L820" s="3">
        <f t="shared" si="5"/>
        <v>0</v>
      </c>
    </row>
    <row r="821">
      <c r="A821" s="34">
        <v>820.0</v>
      </c>
      <c r="B821" s="34">
        <v>2017.0</v>
      </c>
      <c r="C821" s="34">
        <v>5.0</v>
      </c>
      <c r="D821" s="34">
        <v>4.0</v>
      </c>
      <c r="E821" s="34">
        <v>3.0</v>
      </c>
      <c r="F821" s="35" t="s">
        <v>16</v>
      </c>
      <c r="G821" s="39" t="s">
        <v>65</v>
      </c>
      <c r="H821" s="39">
        <v>8.0</v>
      </c>
      <c r="I821" s="39">
        <v>5.5</v>
      </c>
      <c r="J821" s="39">
        <v>13.5</v>
      </c>
      <c r="L821" s="3">
        <f t="shared" si="5"/>
        <v>0</v>
      </c>
    </row>
    <row r="822">
      <c r="A822" s="34">
        <v>821.0</v>
      </c>
      <c r="B822" s="34">
        <v>2017.0</v>
      </c>
      <c r="C822" s="34">
        <v>5.0</v>
      </c>
      <c r="D822" s="34">
        <v>4.0</v>
      </c>
      <c r="E822" s="34">
        <v>3.0</v>
      </c>
      <c r="F822" s="35" t="s">
        <v>16</v>
      </c>
      <c r="G822" s="39" t="s">
        <v>39</v>
      </c>
      <c r="H822" s="39">
        <v>5.83</v>
      </c>
      <c r="I822" s="39">
        <v>5.0</v>
      </c>
      <c r="J822" s="39">
        <v>10.83</v>
      </c>
      <c r="L822" s="3">
        <f t="shared" si="5"/>
        <v>0</v>
      </c>
    </row>
    <row r="823">
      <c r="A823" s="34">
        <v>822.0</v>
      </c>
      <c r="B823" s="34">
        <v>2017.0</v>
      </c>
      <c r="C823" s="34">
        <v>5.0</v>
      </c>
      <c r="D823" s="34">
        <v>4.0</v>
      </c>
      <c r="E823" s="34">
        <v>4.0</v>
      </c>
      <c r="F823" s="35" t="s">
        <v>16</v>
      </c>
      <c r="G823" s="46" t="s">
        <v>59</v>
      </c>
      <c r="H823" s="39">
        <v>6.5</v>
      </c>
      <c r="I823" s="39">
        <v>4.6</v>
      </c>
      <c r="J823" s="39">
        <v>11.1</v>
      </c>
      <c r="L823" s="3">
        <f t="shared" si="5"/>
        <v>0</v>
      </c>
    </row>
    <row r="824">
      <c r="A824" s="34">
        <v>823.0</v>
      </c>
      <c r="B824" s="34">
        <v>2017.0</v>
      </c>
      <c r="C824" s="34">
        <v>5.0</v>
      </c>
      <c r="D824" s="34">
        <v>4.0</v>
      </c>
      <c r="E824" s="34">
        <v>4.0</v>
      </c>
      <c r="F824" s="35" t="s">
        <v>16</v>
      </c>
      <c r="G824" s="39" t="s">
        <v>36</v>
      </c>
      <c r="H824" s="39">
        <v>3.27</v>
      </c>
      <c r="I824" s="39">
        <v>2.27</v>
      </c>
      <c r="J824" s="39">
        <v>5.54</v>
      </c>
      <c r="L824" s="3">
        <f t="shared" si="5"/>
        <v>0</v>
      </c>
    </row>
    <row r="825">
      <c r="A825" s="34">
        <v>824.0</v>
      </c>
      <c r="B825" s="34">
        <v>2017.0</v>
      </c>
      <c r="C825" s="34">
        <v>5.0</v>
      </c>
      <c r="D825" s="34">
        <v>4.0</v>
      </c>
      <c r="E825" s="34">
        <v>4.0</v>
      </c>
      <c r="F825" s="35" t="s">
        <v>16</v>
      </c>
      <c r="G825" s="39" t="s">
        <v>38</v>
      </c>
      <c r="H825" s="39">
        <v>4.67</v>
      </c>
      <c r="I825" s="39"/>
      <c r="J825" s="39">
        <v>4.67</v>
      </c>
      <c r="L825" s="3">
        <f t="shared" si="5"/>
        <v>0</v>
      </c>
    </row>
    <row r="826">
      <c r="A826" s="34">
        <v>825.0</v>
      </c>
      <c r="B826" s="34">
        <v>2017.0</v>
      </c>
      <c r="C826" s="34">
        <v>5.0</v>
      </c>
      <c r="D826" s="34">
        <v>5.0</v>
      </c>
      <c r="E826" s="34">
        <v>1.0</v>
      </c>
      <c r="F826" s="35" t="s">
        <v>16</v>
      </c>
      <c r="G826" s="46" t="s">
        <v>31</v>
      </c>
      <c r="H826" s="39">
        <v>9.17</v>
      </c>
      <c r="I826" s="39">
        <v>4.17</v>
      </c>
      <c r="J826" s="39">
        <v>13.34</v>
      </c>
      <c r="L826" s="3">
        <f t="shared" si="5"/>
        <v>0</v>
      </c>
    </row>
    <row r="827">
      <c r="A827" s="34">
        <v>826.0</v>
      </c>
      <c r="B827" s="34">
        <v>2017.0</v>
      </c>
      <c r="C827" s="34">
        <v>5.0</v>
      </c>
      <c r="D827" s="34">
        <v>5.0</v>
      </c>
      <c r="E827" s="34">
        <v>1.0</v>
      </c>
      <c r="F827" s="35" t="s">
        <v>16</v>
      </c>
      <c r="G827" s="39" t="s">
        <v>17</v>
      </c>
      <c r="H827" s="39">
        <v>5.67</v>
      </c>
      <c r="I827" s="39">
        <v>1.67</v>
      </c>
      <c r="J827" s="39">
        <v>7.34</v>
      </c>
      <c r="L827" s="3">
        <f t="shared" si="5"/>
        <v>0</v>
      </c>
    </row>
    <row r="828">
      <c r="A828" s="34">
        <v>827.0</v>
      </c>
      <c r="B828" s="34">
        <v>2017.0</v>
      </c>
      <c r="C828" s="34">
        <v>5.0</v>
      </c>
      <c r="D828" s="34">
        <v>5.0</v>
      </c>
      <c r="E828" s="34">
        <v>2.0</v>
      </c>
      <c r="F828" s="35" t="s">
        <v>16</v>
      </c>
      <c r="G828" s="46" t="s">
        <v>141</v>
      </c>
      <c r="H828" s="39">
        <v>8.83</v>
      </c>
      <c r="I828" s="39">
        <v>6.0</v>
      </c>
      <c r="J828" s="39">
        <v>14.83</v>
      </c>
      <c r="L828" s="3">
        <f t="shared" si="5"/>
        <v>0</v>
      </c>
    </row>
    <row r="829">
      <c r="A829" s="34">
        <v>828.0</v>
      </c>
      <c r="B829" s="34">
        <v>2017.0</v>
      </c>
      <c r="C829" s="34">
        <v>5.0</v>
      </c>
      <c r="D829" s="34">
        <v>5.0</v>
      </c>
      <c r="E829" s="34">
        <v>2.0</v>
      </c>
      <c r="F829" s="35" t="s">
        <v>16</v>
      </c>
      <c r="G829" s="39" t="s">
        <v>67</v>
      </c>
      <c r="H829" s="39">
        <v>6.5</v>
      </c>
      <c r="I829" s="39">
        <v>4.83</v>
      </c>
      <c r="J829" s="39">
        <v>11.33</v>
      </c>
      <c r="L829" s="3">
        <f t="shared" si="5"/>
        <v>0</v>
      </c>
    </row>
    <row r="830">
      <c r="A830" s="34">
        <v>829.0</v>
      </c>
      <c r="B830" s="34">
        <v>2017.0</v>
      </c>
      <c r="C830" s="34">
        <v>5.0</v>
      </c>
      <c r="D830" s="34">
        <v>5.0</v>
      </c>
      <c r="E830" s="34">
        <v>3.0</v>
      </c>
      <c r="F830" s="35" t="s">
        <v>16</v>
      </c>
      <c r="G830" s="46" t="s">
        <v>65</v>
      </c>
      <c r="H830" s="39">
        <v>8.83</v>
      </c>
      <c r="I830" s="39">
        <v>8.5</v>
      </c>
      <c r="J830" s="39">
        <v>17.33</v>
      </c>
      <c r="L830" s="3">
        <f t="shared" si="5"/>
        <v>0</v>
      </c>
    </row>
    <row r="831">
      <c r="A831" s="34">
        <v>830.0</v>
      </c>
      <c r="B831" s="34">
        <v>2017.0</v>
      </c>
      <c r="C831" s="34">
        <v>5.0</v>
      </c>
      <c r="D831" s="34">
        <v>5.0</v>
      </c>
      <c r="E831" s="34">
        <v>3.0</v>
      </c>
      <c r="F831" s="35" t="s">
        <v>16</v>
      </c>
      <c r="G831" s="39" t="s">
        <v>38</v>
      </c>
      <c r="H831" s="39">
        <v>7.17</v>
      </c>
      <c r="I831" s="39">
        <v>5.33</v>
      </c>
      <c r="J831" s="39">
        <v>12.5</v>
      </c>
      <c r="L831" s="3">
        <f t="shared" si="5"/>
        <v>0</v>
      </c>
    </row>
    <row r="832">
      <c r="A832" s="34">
        <v>831.0</v>
      </c>
      <c r="B832" s="34">
        <v>2017.0</v>
      </c>
      <c r="C832" s="34">
        <v>5.0</v>
      </c>
      <c r="D832" s="34">
        <v>5.0</v>
      </c>
      <c r="E832" s="34">
        <v>4.0</v>
      </c>
      <c r="F832" s="35" t="s">
        <v>16</v>
      </c>
      <c r="G832" s="46" t="s">
        <v>39</v>
      </c>
      <c r="H832" s="39">
        <v>6.9</v>
      </c>
      <c r="I832" s="39">
        <v>5.67</v>
      </c>
      <c r="J832" s="39">
        <v>12.57</v>
      </c>
      <c r="L832" s="3">
        <f t="shared" si="5"/>
        <v>0</v>
      </c>
    </row>
    <row r="833">
      <c r="A833" s="34">
        <v>832.0</v>
      </c>
      <c r="B833" s="34">
        <v>2017.0</v>
      </c>
      <c r="C833" s="34">
        <v>5.0</v>
      </c>
      <c r="D833" s="34">
        <v>5.0</v>
      </c>
      <c r="E833" s="34">
        <v>4.0</v>
      </c>
      <c r="F833" s="35" t="s">
        <v>16</v>
      </c>
      <c r="G833" s="39" t="s">
        <v>36</v>
      </c>
      <c r="H833" s="39">
        <v>6.33</v>
      </c>
      <c r="I833" s="39">
        <v>6.03</v>
      </c>
      <c r="J833" s="39">
        <v>12.36</v>
      </c>
      <c r="L833" s="3">
        <f t="shared" si="5"/>
        <v>0</v>
      </c>
    </row>
    <row r="834">
      <c r="A834" s="34">
        <v>833.0</v>
      </c>
      <c r="B834" s="34">
        <v>2017.0</v>
      </c>
      <c r="C834" s="34">
        <v>5.0</v>
      </c>
      <c r="D834" s="34">
        <v>6.0</v>
      </c>
      <c r="E834" s="34">
        <v>1.0</v>
      </c>
      <c r="F834" s="35" t="s">
        <v>16</v>
      </c>
      <c r="G834" s="46" t="s">
        <v>34</v>
      </c>
      <c r="H834" s="39">
        <v>8.67</v>
      </c>
      <c r="I834" s="39">
        <v>8.33</v>
      </c>
      <c r="J834" s="39">
        <v>17.0</v>
      </c>
      <c r="L834" s="3">
        <f t="shared" si="5"/>
        <v>0</v>
      </c>
    </row>
    <row r="835">
      <c r="A835" s="34">
        <v>834.0</v>
      </c>
      <c r="B835" s="34">
        <v>2017.0</v>
      </c>
      <c r="C835" s="34">
        <v>5.0</v>
      </c>
      <c r="D835" s="34">
        <v>6.0</v>
      </c>
      <c r="E835" s="34">
        <v>1.0</v>
      </c>
      <c r="F835" s="35" t="s">
        <v>16</v>
      </c>
      <c r="G835" s="39" t="s">
        <v>31</v>
      </c>
      <c r="H835" s="39">
        <v>8.5</v>
      </c>
      <c r="I835" s="39">
        <v>7.8</v>
      </c>
      <c r="J835" s="39">
        <v>16.3</v>
      </c>
      <c r="L835" s="3">
        <f t="shared" si="5"/>
        <v>0</v>
      </c>
    </row>
    <row r="836">
      <c r="A836" s="34">
        <v>835.0</v>
      </c>
      <c r="B836" s="34">
        <v>2017.0</v>
      </c>
      <c r="C836" s="34">
        <v>5.0</v>
      </c>
      <c r="D836" s="34">
        <v>6.0</v>
      </c>
      <c r="E836" s="34">
        <v>2.0</v>
      </c>
      <c r="F836" s="35" t="s">
        <v>16</v>
      </c>
      <c r="G836" s="46" t="s">
        <v>27</v>
      </c>
      <c r="H836" s="39">
        <v>9.17</v>
      </c>
      <c r="I836" s="39">
        <v>8.63</v>
      </c>
      <c r="J836" s="39">
        <v>17.8</v>
      </c>
      <c r="L836" s="3">
        <f t="shared" si="5"/>
        <v>0</v>
      </c>
    </row>
    <row r="837">
      <c r="A837" s="34">
        <v>836.0</v>
      </c>
      <c r="B837" s="34">
        <v>2017.0</v>
      </c>
      <c r="C837" s="34">
        <v>5.0</v>
      </c>
      <c r="D837" s="34">
        <v>6.0</v>
      </c>
      <c r="E837" s="34">
        <v>2.0</v>
      </c>
      <c r="F837" s="35" t="s">
        <v>16</v>
      </c>
      <c r="G837" s="39" t="s">
        <v>141</v>
      </c>
      <c r="H837" s="39">
        <v>8.57</v>
      </c>
      <c r="I837" s="39">
        <v>5.0</v>
      </c>
      <c r="J837" s="39">
        <v>13.57</v>
      </c>
      <c r="L837" s="3">
        <f t="shared" si="5"/>
        <v>0</v>
      </c>
    </row>
    <row r="838">
      <c r="A838" s="34">
        <v>837.0</v>
      </c>
      <c r="B838" s="34">
        <v>2017.0</v>
      </c>
      <c r="C838" s="34">
        <v>5.0</v>
      </c>
      <c r="D838" s="34">
        <v>6.0</v>
      </c>
      <c r="E838" s="34">
        <v>3.0</v>
      </c>
      <c r="F838" s="35" t="s">
        <v>16</v>
      </c>
      <c r="G838" s="46" t="s">
        <v>61</v>
      </c>
      <c r="H838" s="39">
        <v>6.33</v>
      </c>
      <c r="I838" s="39">
        <v>4.83</v>
      </c>
      <c r="J838" s="39">
        <v>11.16</v>
      </c>
      <c r="L838" s="3">
        <f t="shared" si="5"/>
        <v>0</v>
      </c>
    </row>
    <row r="839">
      <c r="A839" s="34">
        <v>838.0</v>
      </c>
      <c r="B839" s="34">
        <v>2017.0</v>
      </c>
      <c r="C839" s="34">
        <v>5.0</v>
      </c>
      <c r="D839" s="34">
        <v>6.0</v>
      </c>
      <c r="E839" s="34">
        <v>3.0</v>
      </c>
      <c r="F839" s="35" t="s">
        <v>16</v>
      </c>
      <c r="G839" s="39" t="s">
        <v>65</v>
      </c>
      <c r="H839" s="39">
        <v>7.77</v>
      </c>
      <c r="I839" s="39">
        <v>2.93</v>
      </c>
      <c r="J839" s="39">
        <v>10.7</v>
      </c>
      <c r="L839" s="3">
        <f t="shared" si="5"/>
        <v>0</v>
      </c>
    </row>
    <row r="840">
      <c r="A840" s="34">
        <v>839.0</v>
      </c>
      <c r="B840" s="34">
        <v>2017.0</v>
      </c>
      <c r="C840" s="34">
        <v>5.0</v>
      </c>
      <c r="D840" s="34">
        <v>6.0</v>
      </c>
      <c r="E840" s="34">
        <v>4.0</v>
      </c>
      <c r="F840" s="35" t="s">
        <v>16</v>
      </c>
      <c r="G840" s="46" t="s">
        <v>39</v>
      </c>
      <c r="H840" s="39">
        <v>7.0</v>
      </c>
      <c r="I840" s="39">
        <v>6.67</v>
      </c>
      <c r="J840" s="39">
        <v>13.67</v>
      </c>
      <c r="L840" s="3">
        <f t="shared" si="5"/>
        <v>0</v>
      </c>
    </row>
    <row r="841">
      <c r="A841" s="34">
        <v>840.0</v>
      </c>
      <c r="B841" s="34">
        <v>2017.0</v>
      </c>
      <c r="C841" s="34">
        <v>5.0</v>
      </c>
      <c r="D841" s="34">
        <v>6.0</v>
      </c>
      <c r="E841" s="34">
        <v>4.0</v>
      </c>
      <c r="F841" s="35" t="s">
        <v>16</v>
      </c>
      <c r="G841" s="39" t="s">
        <v>59</v>
      </c>
      <c r="H841" s="39">
        <v>5.9</v>
      </c>
      <c r="I841" s="39">
        <v>5.33</v>
      </c>
      <c r="J841" s="39">
        <v>11.23</v>
      </c>
      <c r="L841" s="3">
        <f t="shared" si="5"/>
        <v>0</v>
      </c>
    </row>
    <row r="842">
      <c r="A842" s="34">
        <v>841.0</v>
      </c>
      <c r="B842" s="34">
        <v>2017.0</v>
      </c>
      <c r="C842" s="34">
        <v>5.0</v>
      </c>
      <c r="D842" s="34">
        <v>7.0</v>
      </c>
      <c r="E842" s="34">
        <v>1.0</v>
      </c>
      <c r="F842" s="35" t="s">
        <v>16</v>
      </c>
      <c r="G842" s="46" t="s">
        <v>34</v>
      </c>
      <c r="H842" s="39">
        <v>8.33</v>
      </c>
      <c r="I842" s="39">
        <v>5.9</v>
      </c>
      <c r="J842" s="39">
        <v>14.23</v>
      </c>
      <c r="L842" s="3">
        <f t="shared" si="5"/>
        <v>0</v>
      </c>
    </row>
    <row r="843">
      <c r="A843" s="34">
        <v>842.0</v>
      </c>
      <c r="B843" s="34">
        <v>2017.0</v>
      </c>
      <c r="C843" s="34">
        <v>5.0</v>
      </c>
      <c r="D843" s="34">
        <v>7.0</v>
      </c>
      <c r="E843" s="34">
        <v>1.0</v>
      </c>
      <c r="F843" s="35" t="s">
        <v>16</v>
      </c>
      <c r="G843" s="39" t="s">
        <v>27</v>
      </c>
      <c r="H843" s="39">
        <v>7.5</v>
      </c>
      <c r="I843" s="39">
        <v>6.5</v>
      </c>
      <c r="J843" s="39">
        <v>14.0</v>
      </c>
      <c r="L843" s="3">
        <f t="shared" si="5"/>
        <v>0</v>
      </c>
    </row>
    <row r="844">
      <c r="A844" s="34">
        <v>843.0</v>
      </c>
      <c r="B844" s="34">
        <v>2017.0</v>
      </c>
      <c r="C844" s="34">
        <v>5.0</v>
      </c>
      <c r="D844" s="34">
        <v>7.0</v>
      </c>
      <c r="E844" s="34">
        <v>2.0</v>
      </c>
      <c r="F844" s="35" t="s">
        <v>16</v>
      </c>
      <c r="G844" s="46" t="s">
        <v>61</v>
      </c>
      <c r="H844" s="39">
        <v>8.0</v>
      </c>
      <c r="I844" s="39">
        <v>7.4</v>
      </c>
      <c r="J844" s="39">
        <v>15.4</v>
      </c>
      <c r="L844" s="3">
        <f t="shared" si="5"/>
        <v>0</v>
      </c>
    </row>
    <row r="845">
      <c r="A845" s="34">
        <v>844.0</v>
      </c>
      <c r="B845" s="34">
        <v>2017.0</v>
      </c>
      <c r="C845" s="34">
        <v>5.0</v>
      </c>
      <c r="D845" s="34">
        <v>7.0</v>
      </c>
      <c r="E845" s="34">
        <v>2.0</v>
      </c>
      <c r="F845" s="35" t="s">
        <v>16</v>
      </c>
      <c r="G845" s="39" t="s">
        <v>39</v>
      </c>
      <c r="H845" s="39">
        <v>6.83</v>
      </c>
      <c r="I845" s="39">
        <v>1.53</v>
      </c>
      <c r="J845" s="39">
        <v>8.36</v>
      </c>
      <c r="L845" s="3">
        <f t="shared" si="5"/>
        <v>0</v>
      </c>
    </row>
    <row r="846">
      <c r="A846" s="34">
        <v>845.0</v>
      </c>
      <c r="B846" s="34">
        <v>2017.0</v>
      </c>
      <c r="C846" s="34">
        <v>5.0</v>
      </c>
      <c r="D846" s="34">
        <v>8.0</v>
      </c>
      <c r="E846" s="34">
        <v>1.0</v>
      </c>
      <c r="F846" s="35" t="s">
        <v>16</v>
      </c>
      <c r="G846" s="46" t="s">
        <v>34</v>
      </c>
      <c r="H846" s="39">
        <v>8.57</v>
      </c>
      <c r="I846" s="39">
        <v>8.03</v>
      </c>
      <c r="J846" s="39">
        <v>16.6</v>
      </c>
      <c r="L846" s="3">
        <f t="shared" si="5"/>
        <v>0</v>
      </c>
    </row>
    <row r="847">
      <c r="A847" s="34">
        <v>846.0</v>
      </c>
      <c r="B847" s="34">
        <v>2017.0</v>
      </c>
      <c r="C847" s="34">
        <v>5.0</v>
      </c>
      <c r="D847" s="34">
        <v>8.0</v>
      </c>
      <c r="E847" s="34">
        <v>1.0</v>
      </c>
      <c r="F847" s="35" t="s">
        <v>16</v>
      </c>
      <c r="G847" s="39" t="s">
        <v>61</v>
      </c>
      <c r="H847" s="39">
        <v>8.33</v>
      </c>
      <c r="I847" s="39">
        <v>7.37</v>
      </c>
      <c r="J847" s="39">
        <v>15.7</v>
      </c>
      <c r="L847" s="3">
        <f t="shared" si="5"/>
        <v>0</v>
      </c>
      <c r="M847" s="3">
        <f>SUM(L730:L847)</f>
        <v>14.33</v>
      </c>
    </row>
    <row r="848">
      <c r="A848" s="34">
        <v>847.0</v>
      </c>
      <c r="B848" s="34">
        <v>2017.0</v>
      </c>
      <c r="C848" s="34">
        <v>5.0</v>
      </c>
      <c r="D848" s="34">
        <v>1.0</v>
      </c>
      <c r="E848" s="34">
        <v>1.0</v>
      </c>
      <c r="F848" s="35" t="s">
        <v>145</v>
      </c>
      <c r="G848" s="35" t="s">
        <v>155</v>
      </c>
      <c r="H848" s="35">
        <v>8.33</v>
      </c>
      <c r="I848" s="35">
        <v>5.83</v>
      </c>
      <c r="J848" s="35">
        <v>14.16</v>
      </c>
    </row>
    <row r="849">
      <c r="A849" s="34">
        <v>848.0</v>
      </c>
      <c r="B849" s="34">
        <v>2017.0</v>
      </c>
      <c r="C849" s="34">
        <v>5.0</v>
      </c>
      <c r="D849" s="34">
        <v>1.0</v>
      </c>
      <c r="E849" s="34">
        <v>1.0</v>
      </c>
      <c r="F849" s="35" t="s">
        <v>145</v>
      </c>
      <c r="G849" s="35" t="s">
        <v>162</v>
      </c>
      <c r="H849" s="35">
        <v>6.67</v>
      </c>
      <c r="I849" s="35">
        <v>7.4</v>
      </c>
      <c r="J849" s="35">
        <v>14.07</v>
      </c>
    </row>
    <row r="850">
      <c r="A850" s="34">
        <v>849.0</v>
      </c>
      <c r="B850" s="34">
        <v>2017.0</v>
      </c>
      <c r="C850" s="34">
        <v>5.0</v>
      </c>
      <c r="D850" s="34">
        <v>1.0</v>
      </c>
      <c r="E850" s="34">
        <v>1.0</v>
      </c>
      <c r="F850" s="35" t="s">
        <v>145</v>
      </c>
      <c r="G850" s="35" t="s">
        <v>157</v>
      </c>
      <c r="H850" s="35">
        <v>4.67</v>
      </c>
      <c r="I850" s="35">
        <v>5.5</v>
      </c>
      <c r="J850" s="35">
        <v>10.17</v>
      </c>
    </row>
    <row r="851">
      <c r="A851" s="34">
        <v>850.0</v>
      </c>
      <c r="B851" s="34">
        <v>2017.0</v>
      </c>
      <c r="C851" s="34">
        <v>5.0</v>
      </c>
      <c r="D851" s="34">
        <v>1.0</v>
      </c>
      <c r="E851" s="34">
        <v>2.0</v>
      </c>
      <c r="F851" s="35" t="s">
        <v>145</v>
      </c>
      <c r="G851" s="35" t="s">
        <v>150</v>
      </c>
      <c r="H851" s="35">
        <v>6.67</v>
      </c>
      <c r="I851" s="35">
        <v>7.67</v>
      </c>
      <c r="J851" s="35">
        <v>14.34</v>
      </c>
    </row>
    <row r="852">
      <c r="A852" s="34">
        <v>851.0</v>
      </c>
      <c r="B852" s="34">
        <v>2017.0</v>
      </c>
      <c r="C852" s="34">
        <v>5.0</v>
      </c>
      <c r="D852" s="34">
        <v>1.0</v>
      </c>
      <c r="E852" s="34">
        <v>2.0</v>
      </c>
      <c r="F852" s="35" t="s">
        <v>145</v>
      </c>
      <c r="G852" s="35" t="s">
        <v>148</v>
      </c>
      <c r="H852" s="35">
        <v>6.5</v>
      </c>
      <c r="I852" s="35">
        <v>3.6</v>
      </c>
      <c r="J852" s="35">
        <v>10.1</v>
      </c>
    </row>
    <row r="853">
      <c r="A853" s="34">
        <v>852.0</v>
      </c>
      <c r="B853" s="34">
        <v>2017.0</v>
      </c>
      <c r="C853" s="34">
        <v>5.0</v>
      </c>
      <c r="D853" s="34">
        <v>1.0</v>
      </c>
      <c r="E853" s="34">
        <v>2.0</v>
      </c>
      <c r="F853" s="35" t="s">
        <v>145</v>
      </c>
      <c r="G853" s="35" t="s">
        <v>151</v>
      </c>
      <c r="H853" s="35">
        <v>3.23</v>
      </c>
      <c r="I853" s="35">
        <v>5.33</v>
      </c>
      <c r="J853" s="35">
        <v>8.56</v>
      </c>
    </row>
    <row r="854">
      <c r="A854" s="34">
        <v>853.0</v>
      </c>
      <c r="B854" s="34">
        <v>2017.0</v>
      </c>
      <c r="C854" s="34">
        <v>5.0</v>
      </c>
      <c r="D854" s="34">
        <v>1.0</v>
      </c>
      <c r="E854" s="34">
        <v>3.0</v>
      </c>
      <c r="F854" s="35" t="s">
        <v>145</v>
      </c>
      <c r="G854" s="35" t="s">
        <v>171</v>
      </c>
      <c r="H854" s="35">
        <v>6.17</v>
      </c>
      <c r="I854" s="35">
        <v>8.17</v>
      </c>
      <c r="J854" s="35">
        <v>14.34</v>
      </c>
    </row>
    <row r="855">
      <c r="A855" s="34">
        <v>854.0</v>
      </c>
      <c r="B855" s="34">
        <v>2017.0</v>
      </c>
      <c r="C855" s="34">
        <v>5.0</v>
      </c>
      <c r="D855" s="34">
        <v>1.0</v>
      </c>
      <c r="E855" s="34">
        <v>3.0</v>
      </c>
      <c r="F855" s="35" t="s">
        <v>145</v>
      </c>
      <c r="G855" s="35" t="s">
        <v>149</v>
      </c>
      <c r="H855" s="35">
        <v>7.83</v>
      </c>
      <c r="I855" s="35">
        <v>5.9</v>
      </c>
      <c r="J855" s="35">
        <v>13.73</v>
      </c>
    </row>
    <row r="856">
      <c r="A856" s="34">
        <v>855.0</v>
      </c>
      <c r="B856" s="34">
        <v>2017.0</v>
      </c>
      <c r="C856" s="34">
        <v>5.0</v>
      </c>
      <c r="D856" s="34">
        <v>1.0</v>
      </c>
      <c r="E856" s="34">
        <v>3.0</v>
      </c>
      <c r="F856" s="35" t="s">
        <v>145</v>
      </c>
      <c r="G856" s="35" t="s">
        <v>153</v>
      </c>
      <c r="H856" s="34">
        <v>6.0</v>
      </c>
      <c r="I856" s="35">
        <v>5.43</v>
      </c>
      <c r="J856" s="35">
        <v>11.43</v>
      </c>
    </row>
    <row r="857">
      <c r="A857" s="34">
        <v>856.0</v>
      </c>
      <c r="B857" s="34">
        <v>2017.0</v>
      </c>
      <c r="C857" s="34">
        <v>5.0</v>
      </c>
      <c r="D857" s="34">
        <v>1.0</v>
      </c>
      <c r="E857" s="34">
        <v>4.0</v>
      </c>
      <c r="F857" s="35" t="s">
        <v>145</v>
      </c>
      <c r="G857" s="35" t="s">
        <v>161</v>
      </c>
      <c r="H857" s="35">
        <v>7.6</v>
      </c>
      <c r="I857" s="35">
        <v>3.27</v>
      </c>
      <c r="J857" s="35">
        <v>10.87</v>
      </c>
    </row>
    <row r="858">
      <c r="A858" s="34">
        <v>857.0</v>
      </c>
      <c r="B858" s="34">
        <v>2017.0</v>
      </c>
      <c r="C858" s="34">
        <v>5.0</v>
      </c>
      <c r="D858" s="34">
        <v>1.0</v>
      </c>
      <c r="E858" s="34">
        <v>4.0</v>
      </c>
      <c r="F858" s="35" t="s">
        <v>145</v>
      </c>
      <c r="G858" s="35" t="s">
        <v>165</v>
      </c>
      <c r="H858" s="35">
        <v>8.27</v>
      </c>
      <c r="I858" s="35">
        <v>1.9</v>
      </c>
      <c r="J858" s="35">
        <v>10.17</v>
      </c>
    </row>
    <row r="859">
      <c r="A859" s="34">
        <v>858.0</v>
      </c>
      <c r="B859" s="34">
        <v>2017.0</v>
      </c>
      <c r="C859" s="34">
        <v>5.0</v>
      </c>
      <c r="D859" s="34">
        <v>1.0</v>
      </c>
      <c r="E859" s="34">
        <v>4.0</v>
      </c>
      <c r="F859" s="35" t="s">
        <v>145</v>
      </c>
      <c r="G859" s="35" t="s">
        <v>159</v>
      </c>
      <c r="H859" s="34">
        <v>5.0</v>
      </c>
      <c r="I859" s="35">
        <v>1.23</v>
      </c>
      <c r="J859" s="35">
        <v>6.23</v>
      </c>
    </row>
    <row r="860">
      <c r="A860" s="34">
        <v>859.0</v>
      </c>
      <c r="B860" s="34">
        <v>2017.0</v>
      </c>
      <c r="C860" s="34">
        <v>5.0</v>
      </c>
      <c r="D860" s="34">
        <v>1.0</v>
      </c>
      <c r="E860" s="34">
        <v>5.0</v>
      </c>
      <c r="F860" s="35" t="s">
        <v>145</v>
      </c>
      <c r="G860" s="35" t="s">
        <v>146</v>
      </c>
      <c r="H860" s="35">
        <v>7.67</v>
      </c>
      <c r="I860" s="35">
        <v>8.33</v>
      </c>
      <c r="J860" s="34">
        <v>16.0</v>
      </c>
    </row>
    <row r="861">
      <c r="A861" s="34">
        <v>860.0</v>
      </c>
      <c r="B861" s="34">
        <v>2017.0</v>
      </c>
      <c r="C861" s="34">
        <v>5.0</v>
      </c>
      <c r="D861" s="34">
        <v>1.0</v>
      </c>
      <c r="E861" s="34">
        <v>5.0</v>
      </c>
      <c r="F861" s="35" t="s">
        <v>145</v>
      </c>
      <c r="G861" s="35" t="s">
        <v>156</v>
      </c>
      <c r="H861" s="35">
        <v>5.5</v>
      </c>
      <c r="I861" s="35">
        <v>3.6</v>
      </c>
      <c r="J861" s="35">
        <v>9.1</v>
      </c>
    </row>
    <row r="862">
      <c r="A862" s="34">
        <v>861.0</v>
      </c>
      <c r="B862" s="34">
        <v>2017.0</v>
      </c>
      <c r="C862" s="34">
        <v>5.0</v>
      </c>
      <c r="D862" s="34">
        <v>1.0</v>
      </c>
      <c r="E862" s="34">
        <v>5.0</v>
      </c>
      <c r="F862" s="35" t="s">
        <v>145</v>
      </c>
      <c r="G862" s="35" t="s">
        <v>147</v>
      </c>
      <c r="H862" s="35">
        <v>3.27</v>
      </c>
      <c r="I862" s="35">
        <v>4.5</v>
      </c>
      <c r="J862" s="35">
        <v>7.77</v>
      </c>
    </row>
    <row r="863">
      <c r="A863" s="34">
        <v>862.0</v>
      </c>
      <c r="B863" s="34">
        <v>2017.0</v>
      </c>
      <c r="C863" s="34">
        <v>5.0</v>
      </c>
      <c r="D863" s="34">
        <v>1.0</v>
      </c>
      <c r="E863" s="34">
        <v>6.0</v>
      </c>
      <c r="F863" s="35" t="s">
        <v>145</v>
      </c>
      <c r="G863" s="35" t="s">
        <v>158</v>
      </c>
      <c r="H863" s="34">
        <v>9.0</v>
      </c>
      <c r="I863" s="35">
        <v>7.77</v>
      </c>
      <c r="J863" s="35">
        <v>16.77</v>
      </c>
    </row>
    <row r="864">
      <c r="A864" s="34">
        <v>863.0</v>
      </c>
      <c r="B864" s="34">
        <v>2017.0</v>
      </c>
      <c r="C864" s="34">
        <v>5.0</v>
      </c>
      <c r="D864" s="34">
        <v>1.0</v>
      </c>
      <c r="E864" s="34">
        <v>6.0</v>
      </c>
      <c r="F864" s="35" t="s">
        <v>145</v>
      </c>
      <c r="G864" s="35" t="s">
        <v>152</v>
      </c>
      <c r="H864" s="35">
        <v>5.83</v>
      </c>
      <c r="I864" s="35">
        <v>2.93</v>
      </c>
      <c r="J864" s="35">
        <v>8.76</v>
      </c>
    </row>
    <row r="865">
      <c r="A865" s="34">
        <v>864.0</v>
      </c>
      <c r="B865" s="34">
        <v>2017.0</v>
      </c>
      <c r="C865" s="34">
        <v>5.0</v>
      </c>
      <c r="D865" s="34">
        <v>1.0</v>
      </c>
      <c r="E865" s="34">
        <v>6.0</v>
      </c>
      <c r="F865" s="35" t="s">
        <v>145</v>
      </c>
      <c r="G865" s="35" t="s">
        <v>160</v>
      </c>
      <c r="H865" s="35">
        <v>6.83</v>
      </c>
      <c r="I865" s="35">
        <v>0.87</v>
      </c>
      <c r="J865" s="35">
        <v>7.7</v>
      </c>
    </row>
    <row r="866">
      <c r="A866" s="34">
        <v>865.0</v>
      </c>
      <c r="B866" s="34">
        <v>2017.0</v>
      </c>
      <c r="C866" s="34">
        <v>5.0</v>
      </c>
      <c r="D866" s="34">
        <v>2.0</v>
      </c>
      <c r="E866" s="34">
        <v>1.0</v>
      </c>
      <c r="F866" s="35" t="s">
        <v>145</v>
      </c>
      <c r="G866" s="35" t="s">
        <v>147</v>
      </c>
      <c r="H866" s="35">
        <v>6.5</v>
      </c>
      <c r="I866" s="35">
        <v>5.83</v>
      </c>
      <c r="J866" s="35">
        <v>12.33</v>
      </c>
    </row>
    <row r="867">
      <c r="A867" s="34">
        <v>866.0</v>
      </c>
      <c r="B867" s="34">
        <v>2017.0</v>
      </c>
      <c r="C867" s="34">
        <v>5.0</v>
      </c>
      <c r="D867" s="34">
        <v>2.0</v>
      </c>
      <c r="E867" s="34">
        <v>1.0</v>
      </c>
      <c r="F867" s="35" t="s">
        <v>145</v>
      </c>
      <c r="G867" s="35" t="s">
        <v>160</v>
      </c>
      <c r="H867" s="35">
        <v>3.83</v>
      </c>
      <c r="I867" s="34">
        <v>5.0</v>
      </c>
      <c r="J867" s="35">
        <v>8.83</v>
      </c>
    </row>
    <row r="868">
      <c r="A868" s="34">
        <v>867.0</v>
      </c>
      <c r="B868" s="34">
        <v>2017.0</v>
      </c>
      <c r="C868" s="34">
        <v>5.0</v>
      </c>
      <c r="D868" s="34">
        <v>2.0</v>
      </c>
      <c r="E868" s="34">
        <v>2.0</v>
      </c>
      <c r="F868" s="35" t="s">
        <v>145</v>
      </c>
      <c r="G868" s="35" t="s">
        <v>162</v>
      </c>
      <c r="H868" s="35">
        <v>8.33</v>
      </c>
      <c r="I868" s="35">
        <v>7.2</v>
      </c>
      <c r="J868" s="35">
        <v>15.53</v>
      </c>
    </row>
    <row r="869">
      <c r="A869" s="34">
        <v>868.0</v>
      </c>
      <c r="B869" s="34">
        <v>2017.0</v>
      </c>
      <c r="C869" s="34">
        <v>5.0</v>
      </c>
      <c r="D869" s="34">
        <v>2.0</v>
      </c>
      <c r="E869" s="34">
        <v>2.0</v>
      </c>
      <c r="F869" s="35" t="s">
        <v>145</v>
      </c>
      <c r="G869" s="35" t="s">
        <v>157</v>
      </c>
      <c r="H869" s="35">
        <v>5.43</v>
      </c>
      <c r="I869" s="35">
        <v>6.5</v>
      </c>
      <c r="J869" s="35">
        <v>11.93</v>
      </c>
    </row>
    <row r="870">
      <c r="A870" s="34">
        <v>869.0</v>
      </c>
      <c r="B870" s="34">
        <v>2017.0</v>
      </c>
      <c r="C870" s="34">
        <v>5.0</v>
      </c>
      <c r="D870" s="34">
        <v>2.0</v>
      </c>
      <c r="E870" s="34">
        <v>3.0</v>
      </c>
      <c r="F870" s="35" t="s">
        <v>145</v>
      </c>
      <c r="G870" s="35" t="s">
        <v>153</v>
      </c>
      <c r="H870" s="35">
        <v>7.9</v>
      </c>
      <c r="I870" s="35">
        <v>7.4</v>
      </c>
      <c r="J870" s="35">
        <v>15.3</v>
      </c>
    </row>
    <row r="871">
      <c r="A871" s="34">
        <v>870.0</v>
      </c>
      <c r="B871" s="34">
        <v>2017.0</v>
      </c>
      <c r="C871" s="34">
        <v>5.0</v>
      </c>
      <c r="D871" s="34">
        <v>2.0</v>
      </c>
      <c r="E871" s="34">
        <v>3.0</v>
      </c>
      <c r="F871" s="35" t="s">
        <v>145</v>
      </c>
      <c r="G871" s="35" t="s">
        <v>165</v>
      </c>
      <c r="H871" s="35">
        <v>4.5</v>
      </c>
      <c r="I871" s="35">
        <v>9.57</v>
      </c>
      <c r="J871" s="35">
        <v>14.07</v>
      </c>
    </row>
    <row r="872">
      <c r="A872" s="34">
        <v>871.0</v>
      </c>
      <c r="B872" s="34">
        <v>2017.0</v>
      </c>
      <c r="C872" s="34">
        <v>5.0</v>
      </c>
      <c r="D872" s="34">
        <v>2.0</v>
      </c>
      <c r="E872" s="34">
        <v>4.0</v>
      </c>
      <c r="F872" s="35" t="s">
        <v>145</v>
      </c>
      <c r="G872" s="35" t="s">
        <v>148</v>
      </c>
      <c r="H872" s="35">
        <v>6.33</v>
      </c>
      <c r="I872" s="35">
        <v>8.33</v>
      </c>
      <c r="J872" s="35">
        <v>14.66</v>
      </c>
    </row>
    <row r="873">
      <c r="A873" s="34">
        <v>872.0</v>
      </c>
      <c r="B873" s="34">
        <v>2017.0</v>
      </c>
      <c r="C873" s="34">
        <v>5.0</v>
      </c>
      <c r="D873" s="34">
        <v>2.0</v>
      </c>
      <c r="E873" s="34">
        <v>4.0</v>
      </c>
      <c r="F873" s="35" t="s">
        <v>145</v>
      </c>
      <c r="G873" s="35" t="s">
        <v>156</v>
      </c>
      <c r="H873" s="35">
        <v>5.6</v>
      </c>
      <c r="I873" s="34">
        <v>6.0</v>
      </c>
      <c r="J873" s="35">
        <v>11.6</v>
      </c>
    </row>
    <row r="874">
      <c r="A874" s="34">
        <v>873.0</v>
      </c>
      <c r="B874" s="34">
        <v>2017.0</v>
      </c>
      <c r="C874" s="34">
        <v>5.0</v>
      </c>
      <c r="D874" s="34">
        <v>2.0</v>
      </c>
      <c r="E874" s="34">
        <v>5.0</v>
      </c>
      <c r="F874" s="35" t="s">
        <v>145</v>
      </c>
      <c r="G874" s="35" t="s">
        <v>152</v>
      </c>
      <c r="H874" s="35">
        <v>5.17</v>
      </c>
      <c r="I874" s="35">
        <v>6.83</v>
      </c>
      <c r="J874" s="34">
        <v>12.0</v>
      </c>
    </row>
    <row r="875">
      <c r="A875" s="34">
        <v>874.0</v>
      </c>
      <c r="B875" s="34">
        <v>2017.0</v>
      </c>
      <c r="C875" s="34">
        <v>5.0</v>
      </c>
      <c r="D875" s="34">
        <v>2.0</v>
      </c>
      <c r="E875" s="34">
        <v>5.0</v>
      </c>
      <c r="F875" s="35" t="s">
        <v>145</v>
      </c>
      <c r="G875" s="35" t="s">
        <v>151</v>
      </c>
      <c r="H875" s="35">
        <v>3.17</v>
      </c>
      <c r="I875" s="35">
        <v>2.67</v>
      </c>
      <c r="J875" s="35">
        <v>5.84</v>
      </c>
    </row>
    <row r="876">
      <c r="A876" s="34">
        <v>875.0</v>
      </c>
      <c r="B876" s="34">
        <v>2017.0</v>
      </c>
      <c r="C876" s="34">
        <v>5.0</v>
      </c>
      <c r="D876" s="34">
        <v>2.0</v>
      </c>
      <c r="E876" s="34">
        <v>6.0</v>
      </c>
      <c r="F876" s="35" t="s">
        <v>145</v>
      </c>
      <c r="G876" s="35" t="s">
        <v>149</v>
      </c>
      <c r="H876" s="35">
        <v>5.83</v>
      </c>
      <c r="I876" s="35">
        <v>6.5</v>
      </c>
      <c r="J876" s="35">
        <v>12.33</v>
      </c>
    </row>
    <row r="877">
      <c r="A877" s="34">
        <v>876.0</v>
      </c>
      <c r="B877" s="34">
        <v>2017.0</v>
      </c>
      <c r="C877" s="34">
        <v>5.0</v>
      </c>
      <c r="D877" s="34">
        <v>2.0</v>
      </c>
      <c r="E877" s="34">
        <v>6.0</v>
      </c>
      <c r="F877" s="35" t="s">
        <v>145</v>
      </c>
      <c r="G877" s="35" t="s">
        <v>159</v>
      </c>
      <c r="H877" s="35">
        <v>4.83</v>
      </c>
      <c r="I877" s="35">
        <v>7.1</v>
      </c>
      <c r="J877" s="35">
        <v>11.93</v>
      </c>
    </row>
    <row r="878">
      <c r="A878" s="34">
        <v>877.0</v>
      </c>
      <c r="B878" s="34">
        <v>2017.0</v>
      </c>
      <c r="C878" s="34">
        <v>5.0</v>
      </c>
      <c r="D878" s="34">
        <v>3.0</v>
      </c>
      <c r="E878" s="34">
        <v>1.0</v>
      </c>
      <c r="F878" s="35" t="s">
        <v>145</v>
      </c>
      <c r="G878" s="35" t="s">
        <v>148</v>
      </c>
      <c r="H878" s="35">
        <v>5.83</v>
      </c>
      <c r="I878" s="35">
        <v>7.5</v>
      </c>
      <c r="J878" s="35">
        <v>13.33</v>
      </c>
    </row>
    <row r="879">
      <c r="A879" s="34">
        <v>878.0</v>
      </c>
      <c r="B879" s="34">
        <v>2017.0</v>
      </c>
      <c r="C879" s="34">
        <v>5.0</v>
      </c>
      <c r="D879" s="34">
        <v>3.0</v>
      </c>
      <c r="E879" s="34">
        <v>1.0</v>
      </c>
      <c r="F879" s="35" t="s">
        <v>145</v>
      </c>
      <c r="G879" s="35" t="s">
        <v>155</v>
      </c>
      <c r="H879" s="35">
        <v>3.33</v>
      </c>
      <c r="I879" s="35">
        <v>6.83</v>
      </c>
      <c r="J879" s="35">
        <v>10.16</v>
      </c>
    </row>
    <row r="880">
      <c r="A880" s="34">
        <v>879.0</v>
      </c>
      <c r="B880" s="34">
        <v>2017.0</v>
      </c>
      <c r="C880" s="34">
        <v>5.0</v>
      </c>
      <c r="D880" s="34">
        <v>3.0</v>
      </c>
      <c r="E880" s="34">
        <v>1.0</v>
      </c>
      <c r="F880" s="35" t="s">
        <v>145</v>
      </c>
      <c r="G880" s="35" t="s">
        <v>171</v>
      </c>
      <c r="H880" s="34">
        <v>5.0</v>
      </c>
      <c r="I880" s="35">
        <v>3.73</v>
      </c>
      <c r="J880" s="35">
        <v>8.73</v>
      </c>
    </row>
    <row r="881">
      <c r="A881" s="34">
        <v>880.0</v>
      </c>
      <c r="B881" s="34">
        <v>2017.0</v>
      </c>
      <c r="C881" s="34">
        <v>5.0</v>
      </c>
      <c r="D881" s="34">
        <v>3.0</v>
      </c>
      <c r="E881" s="34">
        <v>2.0</v>
      </c>
      <c r="F881" s="35" t="s">
        <v>145</v>
      </c>
      <c r="G881" s="35" t="s">
        <v>150</v>
      </c>
      <c r="H881" s="35">
        <v>8.33</v>
      </c>
      <c r="I881" s="35">
        <v>6.73</v>
      </c>
      <c r="J881" s="35">
        <v>15.06</v>
      </c>
    </row>
    <row r="882">
      <c r="A882" s="34">
        <v>881.0</v>
      </c>
      <c r="B882" s="34">
        <v>2017.0</v>
      </c>
      <c r="C882" s="34">
        <v>5.0</v>
      </c>
      <c r="D882" s="34">
        <v>3.0</v>
      </c>
      <c r="E882" s="34">
        <v>2.0</v>
      </c>
      <c r="F882" s="35" t="s">
        <v>145</v>
      </c>
      <c r="G882" s="35" t="s">
        <v>153</v>
      </c>
      <c r="H882" s="35">
        <v>5.67</v>
      </c>
      <c r="I882" s="35">
        <v>6.67</v>
      </c>
      <c r="J882" s="35">
        <v>12.34</v>
      </c>
    </row>
    <row r="883">
      <c r="A883" s="34">
        <v>882.0</v>
      </c>
      <c r="B883" s="34">
        <v>2017.0</v>
      </c>
      <c r="C883" s="34">
        <v>5.0</v>
      </c>
      <c r="D883" s="34">
        <v>3.0</v>
      </c>
      <c r="E883" s="34">
        <v>2.0</v>
      </c>
      <c r="F883" s="35" t="s">
        <v>145</v>
      </c>
      <c r="G883" s="35" t="s">
        <v>162</v>
      </c>
      <c r="H883" s="35">
        <v>5.5</v>
      </c>
      <c r="I883" s="35">
        <v>6.2</v>
      </c>
      <c r="J883" s="35">
        <v>11.7</v>
      </c>
    </row>
    <row r="884">
      <c r="A884" s="34">
        <v>883.0</v>
      </c>
      <c r="B884" s="34">
        <v>2017.0</v>
      </c>
      <c r="C884" s="34">
        <v>5.0</v>
      </c>
      <c r="D884" s="34">
        <v>3.0</v>
      </c>
      <c r="E884" s="34">
        <v>3.0</v>
      </c>
      <c r="F884" s="35" t="s">
        <v>145</v>
      </c>
      <c r="G884" s="35" t="s">
        <v>158</v>
      </c>
      <c r="H884" s="35">
        <v>8.33</v>
      </c>
      <c r="I884" s="35">
        <v>9.43</v>
      </c>
      <c r="J884" s="35">
        <v>17.76</v>
      </c>
    </row>
    <row r="885">
      <c r="A885" s="34">
        <v>884.0</v>
      </c>
      <c r="B885" s="34">
        <v>2017.0</v>
      </c>
      <c r="C885" s="34">
        <v>5.0</v>
      </c>
      <c r="D885" s="34">
        <v>3.0</v>
      </c>
      <c r="E885" s="34">
        <v>3.0</v>
      </c>
      <c r="F885" s="35" t="s">
        <v>145</v>
      </c>
      <c r="G885" s="35" t="s">
        <v>161</v>
      </c>
      <c r="H885" s="35">
        <v>5.83</v>
      </c>
      <c r="I885" s="35">
        <v>6.73</v>
      </c>
      <c r="J885" s="35">
        <v>12.56</v>
      </c>
    </row>
    <row r="886">
      <c r="A886" s="34">
        <v>885.0</v>
      </c>
      <c r="B886" s="34">
        <v>2017.0</v>
      </c>
      <c r="C886" s="34">
        <v>5.0</v>
      </c>
      <c r="D886" s="34">
        <v>3.0</v>
      </c>
      <c r="E886" s="34">
        <v>3.0</v>
      </c>
      <c r="F886" s="35" t="s">
        <v>145</v>
      </c>
      <c r="G886" s="35" t="s">
        <v>147</v>
      </c>
      <c r="H886" s="35">
        <v>5.73</v>
      </c>
      <c r="I886" s="35">
        <v>5.1</v>
      </c>
      <c r="J886" s="35">
        <v>10.83</v>
      </c>
    </row>
    <row r="887">
      <c r="A887" s="34">
        <v>886.0</v>
      </c>
      <c r="B887" s="34">
        <v>2017.0</v>
      </c>
      <c r="C887" s="34">
        <v>5.0</v>
      </c>
      <c r="D887" s="34">
        <v>3.0</v>
      </c>
      <c r="E887" s="34">
        <v>4.0</v>
      </c>
      <c r="F887" s="35" t="s">
        <v>145</v>
      </c>
      <c r="G887" s="35" t="s">
        <v>146</v>
      </c>
      <c r="H887" s="35">
        <v>7.5</v>
      </c>
      <c r="I887" s="35">
        <v>6.07</v>
      </c>
      <c r="J887" s="35">
        <v>13.57</v>
      </c>
    </row>
    <row r="888">
      <c r="A888" s="34">
        <v>887.0</v>
      </c>
      <c r="B888" s="34">
        <v>2017.0</v>
      </c>
      <c r="C888" s="34">
        <v>5.0</v>
      </c>
      <c r="D888" s="34">
        <v>3.0</v>
      </c>
      <c r="E888" s="34">
        <v>4.0</v>
      </c>
      <c r="F888" s="35" t="s">
        <v>145</v>
      </c>
      <c r="G888" s="35" t="s">
        <v>152</v>
      </c>
      <c r="H888" s="35">
        <v>5.83</v>
      </c>
      <c r="I888" s="35">
        <v>6.83</v>
      </c>
      <c r="J888" s="35">
        <v>12.66</v>
      </c>
    </row>
    <row r="889">
      <c r="A889" s="34">
        <v>888.0</v>
      </c>
      <c r="B889" s="34">
        <v>2017.0</v>
      </c>
      <c r="C889" s="34">
        <v>5.0</v>
      </c>
      <c r="D889" s="34">
        <v>3.0</v>
      </c>
      <c r="E889" s="34">
        <v>4.0</v>
      </c>
      <c r="F889" s="35" t="s">
        <v>145</v>
      </c>
      <c r="G889" s="35" t="s">
        <v>149</v>
      </c>
      <c r="H889" s="35">
        <v>2.83</v>
      </c>
      <c r="I889" s="35">
        <v>8.1</v>
      </c>
      <c r="J889" s="35">
        <v>10.93</v>
      </c>
    </row>
    <row r="890">
      <c r="A890" s="34">
        <v>889.0</v>
      </c>
      <c r="B890" s="34">
        <v>2017.0</v>
      </c>
      <c r="C890" s="34">
        <v>5.0</v>
      </c>
      <c r="D890" s="34">
        <v>4.0</v>
      </c>
      <c r="E890" s="34">
        <v>1.0</v>
      </c>
      <c r="F890" s="35" t="s">
        <v>145</v>
      </c>
      <c r="G890" s="35" t="s">
        <v>155</v>
      </c>
      <c r="H890" s="35">
        <v>4.83</v>
      </c>
      <c r="I890" s="35">
        <v>5.27</v>
      </c>
      <c r="J890" s="35">
        <v>10.1</v>
      </c>
    </row>
    <row r="891">
      <c r="A891" s="34">
        <v>890.0</v>
      </c>
      <c r="B891" s="34">
        <v>2017.0</v>
      </c>
      <c r="C891" s="34">
        <v>5.0</v>
      </c>
      <c r="D891" s="34">
        <v>4.0</v>
      </c>
      <c r="E891" s="34">
        <v>1.0</v>
      </c>
      <c r="F891" s="35" t="s">
        <v>145</v>
      </c>
      <c r="G891" s="35" t="s">
        <v>162</v>
      </c>
      <c r="H891" s="34">
        <v>5.0</v>
      </c>
      <c r="I891" s="35">
        <v>3.9</v>
      </c>
      <c r="J891" s="35">
        <v>8.9</v>
      </c>
    </row>
    <row r="892">
      <c r="A892" s="34">
        <v>891.0</v>
      </c>
      <c r="B892" s="34">
        <v>2017.0</v>
      </c>
      <c r="C892" s="34">
        <v>5.0</v>
      </c>
      <c r="D892" s="34">
        <v>4.0</v>
      </c>
      <c r="E892" s="34">
        <v>2.0</v>
      </c>
      <c r="F892" s="35" t="s">
        <v>145</v>
      </c>
      <c r="G892" s="35" t="s">
        <v>153</v>
      </c>
      <c r="H892" s="35">
        <v>7.23</v>
      </c>
      <c r="I892" s="35">
        <v>8.17</v>
      </c>
      <c r="J892" s="35">
        <v>15.4</v>
      </c>
    </row>
    <row r="893">
      <c r="A893" s="34">
        <v>892.0</v>
      </c>
      <c r="B893" s="34">
        <v>2017.0</v>
      </c>
      <c r="C893" s="34">
        <v>5.0</v>
      </c>
      <c r="D893" s="34">
        <v>4.0</v>
      </c>
      <c r="E893" s="34">
        <v>2.0</v>
      </c>
      <c r="F893" s="35" t="s">
        <v>145</v>
      </c>
      <c r="G893" s="35" t="s">
        <v>171</v>
      </c>
      <c r="H893" s="35">
        <v>4.1</v>
      </c>
      <c r="I893" s="35">
        <v>6.57</v>
      </c>
      <c r="J893" s="35">
        <v>10.67</v>
      </c>
    </row>
    <row r="894">
      <c r="A894" s="34">
        <v>893.0</v>
      </c>
      <c r="B894" s="34">
        <v>2017.0</v>
      </c>
      <c r="C894" s="34">
        <v>5.0</v>
      </c>
      <c r="D894" s="34">
        <v>4.0</v>
      </c>
      <c r="E894" s="34">
        <v>3.0</v>
      </c>
      <c r="F894" s="35" t="s">
        <v>145</v>
      </c>
      <c r="G894" s="35" t="s">
        <v>149</v>
      </c>
      <c r="H894" s="35">
        <v>7.33</v>
      </c>
      <c r="I894" s="35">
        <v>8.27</v>
      </c>
      <c r="J894" s="35">
        <v>15.6</v>
      </c>
    </row>
    <row r="895">
      <c r="A895" s="34">
        <v>894.0</v>
      </c>
      <c r="B895" s="34">
        <v>2017.0</v>
      </c>
      <c r="C895" s="34">
        <v>5.0</v>
      </c>
      <c r="D895" s="34">
        <v>4.0</v>
      </c>
      <c r="E895" s="34">
        <v>3.0</v>
      </c>
      <c r="F895" s="35" t="s">
        <v>145</v>
      </c>
      <c r="G895" s="35" t="s">
        <v>161</v>
      </c>
      <c r="H895" s="35">
        <v>5.27</v>
      </c>
      <c r="I895" s="35">
        <v>3.6</v>
      </c>
      <c r="J895" s="35">
        <v>8.87</v>
      </c>
    </row>
    <row r="896">
      <c r="A896" s="34">
        <v>895.0</v>
      </c>
      <c r="B896" s="34">
        <v>2017.0</v>
      </c>
      <c r="C896" s="34">
        <v>5.0</v>
      </c>
      <c r="D896" s="34">
        <v>4.0</v>
      </c>
      <c r="E896" s="34">
        <v>4.0</v>
      </c>
      <c r="F896" s="35" t="s">
        <v>145</v>
      </c>
      <c r="G896" s="35" t="s">
        <v>152</v>
      </c>
      <c r="H896" s="35">
        <v>7.83</v>
      </c>
      <c r="I896" s="35">
        <v>6.97</v>
      </c>
      <c r="J896" s="35">
        <v>14.8</v>
      </c>
    </row>
    <row r="897">
      <c r="A897" s="34">
        <v>896.0</v>
      </c>
      <c r="B897" s="34">
        <v>2017.0</v>
      </c>
      <c r="C897" s="34">
        <v>5.0</v>
      </c>
      <c r="D897" s="34">
        <v>4.0</v>
      </c>
      <c r="E897" s="34">
        <v>4.0</v>
      </c>
      <c r="F897" s="35" t="s">
        <v>145</v>
      </c>
      <c r="G897" s="35" t="s">
        <v>147</v>
      </c>
      <c r="H897" s="35">
        <v>7.33</v>
      </c>
      <c r="I897" s="35">
        <v>6.33</v>
      </c>
      <c r="J897" s="35">
        <v>13.66</v>
      </c>
    </row>
    <row r="898">
      <c r="A898" s="34">
        <v>897.0</v>
      </c>
      <c r="B898" s="34">
        <v>2017.0</v>
      </c>
      <c r="C898" s="34">
        <v>5.0</v>
      </c>
      <c r="D898" s="34">
        <v>5.0</v>
      </c>
      <c r="E898" s="34">
        <v>1.0</v>
      </c>
      <c r="F898" s="35" t="s">
        <v>145</v>
      </c>
      <c r="G898" s="35" t="s">
        <v>155</v>
      </c>
      <c r="H898" s="35">
        <v>7.83</v>
      </c>
      <c r="I898" s="35">
        <v>8.43</v>
      </c>
      <c r="J898" s="35">
        <v>16.26</v>
      </c>
    </row>
    <row r="899">
      <c r="A899" s="34">
        <v>898.0</v>
      </c>
      <c r="B899" s="34">
        <v>2017.0</v>
      </c>
      <c r="C899" s="34">
        <v>5.0</v>
      </c>
      <c r="D899" s="34">
        <v>5.0</v>
      </c>
      <c r="E899" s="34">
        <v>1.0</v>
      </c>
      <c r="F899" s="35" t="s">
        <v>145</v>
      </c>
      <c r="G899" s="35" t="s">
        <v>148</v>
      </c>
      <c r="H899" s="35">
        <v>8.13</v>
      </c>
      <c r="I899" s="35">
        <v>6.83</v>
      </c>
      <c r="J899" s="35">
        <v>14.96</v>
      </c>
    </row>
    <row r="900">
      <c r="A900" s="34">
        <v>899.0</v>
      </c>
      <c r="B900" s="34">
        <v>2017.0</v>
      </c>
      <c r="C900" s="34">
        <v>5.0</v>
      </c>
      <c r="D900" s="34">
        <v>5.0</v>
      </c>
      <c r="E900" s="34">
        <v>2.0</v>
      </c>
      <c r="F900" s="35" t="s">
        <v>145</v>
      </c>
      <c r="G900" s="35" t="s">
        <v>153</v>
      </c>
      <c r="H900" s="35">
        <v>6.5</v>
      </c>
      <c r="I900" s="34">
        <v>6.0</v>
      </c>
      <c r="J900" s="35">
        <v>12.5</v>
      </c>
    </row>
    <row r="901">
      <c r="A901" s="34">
        <v>900.0</v>
      </c>
      <c r="B901" s="34">
        <v>2017.0</v>
      </c>
      <c r="C901" s="34">
        <v>5.0</v>
      </c>
      <c r="D901" s="34">
        <v>5.0</v>
      </c>
      <c r="E901" s="34">
        <v>2.0</v>
      </c>
      <c r="F901" s="35" t="s">
        <v>145</v>
      </c>
      <c r="G901" s="35" t="s">
        <v>150</v>
      </c>
      <c r="H901" s="35">
        <v>0.43</v>
      </c>
      <c r="I901" s="34">
        <v>2.0</v>
      </c>
      <c r="J901" s="35">
        <v>2.43</v>
      </c>
    </row>
    <row r="902">
      <c r="A902" s="34">
        <v>901.0</v>
      </c>
      <c r="B902" s="34">
        <v>2017.0</v>
      </c>
      <c r="C902" s="34">
        <v>5.0</v>
      </c>
      <c r="D902" s="34">
        <v>5.0</v>
      </c>
      <c r="E902" s="34">
        <v>3.0</v>
      </c>
      <c r="F902" s="35" t="s">
        <v>145</v>
      </c>
      <c r="G902" s="35" t="s">
        <v>149</v>
      </c>
      <c r="H902" s="35">
        <v>8.5</v>
      </c>
      <c r="I902" s="35">
        <v>4.9</v>
      </c>
      <c r="J902" s="35">
        <v>13.4</v>
      </c>
    </row>
    <row r="903">
      <c r="A903" s="34">
        <v>902.0</v>
      </c>
      <c r="B903" s="34">
        <v>2017.0</v>
      </c>
      <c r="C903" s="34">
        <v>5.0</v>
      </c>
      <c r="D903" s="34">
        <v>5.0</v>
      </c>
      <c r="E903" s="34">
        <v>3.0</v>
      </c>
      <c r="F903" s="35" t="s">
        <v>145</v>
      </c>
      <c r="G903" s="35" t="s">
        <v>158</v>
      </c>
      <c r="H903" s="34">
        <v>6.0</v>
      </c>
      <c r="I903" s="35">
        <v>6.83</v>
      </c>
      <c r="J903" s="35">
        <v>12.83</v>
      </c>
    </row>
    <row r="904">
      <c r="A904" s="34">
        <v>903.0</v>
      </c>
      <c r="B904" s="34">
        <v>2017.0</v>
      </c>
      <c r="C904" s="34">
        <v>5.0</v>
      </c>
      <c r="D904" s="34">
        <v>5.0</v>
      </c>
      <c r="E904" s="34">
        <v>4.0</v>
      </c>
      <c r="F904" s="35" t="s">
        <v>145</v>
      </c>
      <c r="G904" s="35" t="s">
        <v>146</v>
      </c>
      <c r="H904" s="34">
        <v>7.0</v>
      </c>
      <c r="I904" s="35">
        <v>8.33</v>
      </c>
      <c r="J904" s="35">
        <v>15.33</v>
      </c>
    </row>
    <row r="905">
      <c r="A905" s="34">
        <v>904.0</v>
      </c>
      <c r="B905" s="34">
        <v>2017.0</v>
      </c>
      <c r="C905" s="34">
        <v>5.0</v>
      </c>
      <c r="D905" s="34">
        <v>5.0</v>
      </c>
      <c r="E905" s="34">
        <v>4.0</v>
      </c>
      <c r="F905" s="35" t="s">
        <v>145</v>
      </c>
      <c r="G905" s="35" t="s">
        <v>152</v>
      </c>
      <c r="H905" s="35">
        <v>5.33</v>
      </c>
      <c r="I905" s="35">
        <v>2.17</v>
      </c>
      <c r="J905" s="35">
        <v>7.5</v>
      </c>
    </row>
    <row r="906">
      <c r="A906" s="34">
        <v>905.0</v>
      </c>
      <c r="B906" s="34">
        <v>2017.0</v>
      </c>
      <c r="C906" s="34">
        <v>5.0</v>
      </c>
      <c r="D906" s="34">
        <v>6.0</v>
      </c>
      <c r="E906" s="34">
        <v>1.0</v>
      </c>
      <c r="F906" s="35" t="s">
        <v>145</v>
      </c>
      <c r="G906" s="35" t="s">
        <v>155</v>
      </c>
      <c r="H906" s="34">
        <v>6.0</v>
      </c>
      <c r="I906" s="35">
        <v>2.17</v>
      </c>
      <c r="J906" s="35">
        <v>8.17</v>
      </c>
    </row>
    <row r="907">
      <c r="A907" s="34">
        <v>906.0</v>
      </c>
      <c r="B907" s="34">
        <v>2017.0</v>
      </c>
      <c r="C907" s="34">
        <v>5.0</v>
      </c>
      <c r="D907" s="34">
        <v>6.0</v>
      </c>
      <c r="E907" s="34">
        <v>1.0</v>
      </c>
      <c r="F907" s="35" t="s">
        <v>145</v>
      </c>
      <c r="G907" s="35" t="s">
        <v>153</v>
      </c>
      <c r="H907" s="35">
        <v>3.83</v>
      </c>
      <c r="I907" s="34">
        <v>4.0</v>
      </c>
      <c r="J907" s="35">
        <v>7.83</v>
      </c>
    </row>
    <row r="908">
      <c r="A908" s="34">
        <v>907.0</v>
      </c>
      <c r="B908" s="34">
        <v>2017.0</v>
      </c>
      <c r="C908" s="34">
        <v>5.0</v>
      </c>
      <c r="D908" s="34">
        <v>6.0</v>
      </c>
      <c r="E908" s="34">
        <v>2.0</v>
      </c>
      <c r="F908" s="35" t="s">
        <v>145</v>
      </c>
      <c r="G908" s="35" t="s">
        <v>149</v>
      </c>
      <c r="H908" s="35">
        <v>6.77</v>
      </c>
      <c r="I908" s="35">
        <v>6.77</v>
      </c>
      <c r="J908" s="35">
        <v>13.54</v>
      </c>
    </row>
    <row r="909">
      <c r="A909" s="34">
        <v>908.0</v>
      </c>
      <c r="B909" s="34">
        <v>2017.0</v>
      </c>
      <c r="C909" s="34">
        <v>5.0</v>
      </c>
      <c r="D909" s="34">
        <v>6.0</v>
      </c>
      <c r="E909" s="34">
        <v>2.0</v>
      </c>
      <c r="F909" s="35" t="s">
        <v>145</v>
      </c>
      <c r="G909" s="35" t="s">
        <v>146</v>
      </c>
      <c r="H909" s="35">
        <v>7.67</v>
      </c>
      <c r="I909" s="35">
        <v>5.73</v>
      </c>
      <c r="J909" s="35">
        <v>13.4</v>
      </c>
    </row>
    <row r="910">
      <c r="A910" s="34">
        <v>909.0</v>
      </c>
      <c r="B910" s="34">
        <v>2017.0</v>
      </c>
      <c r="C910" s="34">
        <v>5.0</v>
      </c>
      <c r="D910" s="34">
        <v>7.0</v>
      </c>
      <c r="E910" s="34">
        <v>1.0</v>
      </c>
      <c r="F910" s="35" t="s">
        <v>145</v>
      </c>
      <c r="G910" s="35" t="s">
        <v>155</v>
      </c>
      <c r="H910" s="35">
        <v>4.07</v>
      </c>
      <c r="I910" s="35">
        <v>4.67</v>
      </c>
      <c r="J910" s="35">
        <v>8.74</v>
      </c>
    </row>
    <row r="911">
      <c r="A911" s="34">
        <v>910.0</v>
      </c>
      <c r="B911" s="34">
        <v>2017.0</v>
      </c>
      <c r="C911" s="34">
        <v>5.0</v>
      </c>
      <c r="D911" s="34">
        <v>7.0</v>
      </c>
      <c r="E911" s="34">
        <v>1.0</v>
      </c>
      <c r="F911" s="35" t="s">
        <v>145</v>
      </c>
      <c r="G911" s="35" t="s">
        <v>149</v>
      </c>
      <c r="H911" s="35">
        <v>2.2</v>
      </c>
      <c r="I911" s="35">
        <v>3.33</v>
      </c>
      <c r="J911" s="35">
        <v>5.53</v>
      </c>
    </row>
    <row r="912">
      <c r="A912" s="10">
        <v>911.0</v>
      </c>
      <c r="B912" s="34">
        <v>2017.0</v>
      </c>
      <c r="C912" s="37">
        <v>6.0</v>
      </c>
      <c r="D912" s="34">
        <v>1.0</v>
      </c>
      <c r="E912" s="34">
        <v>1.0</v>
      </c>
      <c r="F912" s="35" t="s">
        <v>16</v>
      </c>
      <c r="G912" s="47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>
      <c r="A913" s="34">
        <v>912.0</v>
      </c>
      <c r="B913" s="34">
        <v>2017.0</v>
      </c>
      <c r="C913" s="37">
        <v>6.0</v>
      </c>
      <c r="D913" s="34">
        <v>1.0</v>
      </c>
      <c r="E913" s="34">
        <v>1.0</v>
      </c>
      <c r="F913" s="35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>
      <c r="A914" s="10">
        <v>913.0</v>
      </c>
      <c r="B914" s="34">
        <v>2017.0</v>
      </c>
      <c r="C914" s="37">
        <v>6.0</v>
      </c>
      <c r="D914" s="34">
        <v>1.0</v>
      </c>
      <c r="E914" s="34">
        <v>1.0</v>
      </c>
      <c r="F914" s="35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>
      <c r="A915" s="34">
        <v>914.0</v>
      </c>
      <c r="B915" s="34">
        <v>2017.0</v>
      </c>
      <c r="C915" s="37">
        <v>6.0</v>
      </c>
      <c r="D915" s="34">
        <v>1.0</v>
      </c>
      <c r="E915" s="34">
        <v>2.0</v>
      </c>
      <c r="F915" s="35" t="s">
        <v>16</v>
      </c>
      <c r="G915" s="47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>
      <c r="A916" s="10">
        <v>915.0</v>
      </c>
      <c r="B916" s="34">
        <v>2017.0</v>
      </c>
      <c r="C916" s="37">
        <v>6.0</v>
      </c>
      <c r="D916" s="34">
        <v>1.0</v>
      </c>
      <c r="E916" s="34">
        <v>2.0</v>
      </c>
      <c r="F916" s="35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>
      <c r="A917" s="34">
        <v>916.0</v>
      </c>
      <c r="B917" s="34">
        <v>2017.0</v>
      </c>
      <c r="C917" s="37">
        <v>6.0</v>
      </c>
      <c r="D917" s="34">
        <v>1.0</v>
      </c>
      <c r="E917" s="34">
        <v>2.0</v>
      </c>
      <c r="F917" s="35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>
      <c r="A918" s="10">
        <v>917.0</v>
      </c>
      <c r="B918" s="34">
        <v>2017.0</v>
      </c>
      <c r="C918" s="37">
        <v>6.0</v>
      </c>
      <c r="D918" s="34">
        <v>1.0</v>
      </c>
      <c r="E918" s="34">
        <v>3.0</v>
      </c>
      <c r="F918" s="35" t="s">
        <v>16</v>
      </c>
      <c r="G918" s="47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>
      <c r="A919" s="34">
        <v>918.0</v>
      </c>
      <c r="B919" s="34">
        <v>2017.0</v>
      </c>
      <c r="C919" s="37">
        <v>6.0</v>
      </c>
      <c r="D919" s="34">
        <v>1.0</v>
      </c>
      <c r="E919" s="34">
        <v>3.0</v>
      </c>
      <c r="F919" s="35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>
      <c r="A920" s="10">
        <v>919.0</v>
      </c>
      <c r="B920" s="34">
        <v>2017.0</v>
      </c>
      <c r="C920" s="37">
        <v>6.0</v>
      </c>
      <c r="D920" s="34">
        <v>1.0</v>
      </c>
      <c r="E920" s="34">
        <v>3.0</v>
      </c>
      <c r="F920" s="35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>
      <c r="A921" s="34">
        <v>920.0</v>
      </c>
      <c r="B921" s="34">
        <v>2017.0</v>
      </c>
      <c r="C921" s="37">
        <v>6.0</v>
      </c>
      <c r="D921" s="34">
        <v>1.0</v>
      </c>
      <c r="E921" s="34">
        <v>4.0</v>
      </c>
      <c r="F921" s="35" t="s">
        <v>16</v>
      </c>
      <c r="G921" s="47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>
      <c r="A922" s="10">
        <v>921.0</v>
      </c>
      <c r="B922" s="34">
        <v>2017.0</v>
      </c>
      <c r="C922" s="37">
        <v>6.0</v>
      </c>
      <c r="D922" s="34">
        <v>1.0</v>
      </c>
      <c r="E922" s="34">
        <v>4.0</v>
      </c>
      <c r="F922" s="35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>
      <c r="A923" s="34">
        <v>922.0</v>
      </c>
      <c r="B923" s="34">
        <v>2017.0</v>
      </c>
      <c r="C923" s="37">
        <v>6.0</v>
      </c>
      <c r="D923" s="34">
        <v>1.0</v>
      </c>
      <c r="E923" s="34">
        <v>4.0</v>
      </c>
      <c r="F923" s="35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>
      <c r="A924" s="10">
        <v>923.0</v>
      </c>
      <c r="B924" s="34">
        <v>2017.0</v>
      </c>
      <c r="C924" s="37">
        <v>6.0</v>
      </c>
      <c r="D924" s="34">
        <v>1.0</v>
      </c>
      <c r="E924" s="34">
        <v>5.0</v>
      </c>
      <c r="F924" s="35" t="s">
        <v>16</v>
      </c>
      <c r="G924" s="47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>
      <c r="A925" s="34">
        <v>924.0</v>
      </c>
      <c r="B925" s="34">
        <v>2017.0</v>
      </c>
      <c r="C925" s="37">
        <v>6.0</v>
      </c>
      <c r="D925" s="34">
        <v>1.0</v>
      </c>
      <c r="E925" s="34">
        <v>5.0</v>
      </c>
      <c r="F925" s="35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>
      <c r="A926" s="10">
        <v>925.0</v>
      </c>
      <c r="B926" s="34">
        <v>2017.0</v>
      </c>
      <c r="C926" s="37">
        <v>6.0</v>
      </c>
      <c r="D926" s="34">
        <v>1.0</v>
      </c>
      <c r="E926" s="34">
        <v>5.0</v>
      </c>
      <c r="F926" s="35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>
      <c r="A927" s="34">
        <v>926.0</v>
      </c>
      <c r="B927" s="34">
        <v>2017.0</v>
      </c>
      <c r="C927" s="37">
        <v>6.0</v>
      </c>
      <c r="D927" s="34">
        <v>1.0</v>
      </c>
      <c r="E927" s="34">
        <v>6.0</v>
      </c>
      <c r="F927" s="35" t="s">
        <v>16</v>
      </c>
      <c r="G927" s="47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>
      <c r="A928" s="10">
        <v>927.0</v>
      </c>
      <c r="B928" s="34">
        <v>2017.0</v>
      </c>
      <c r="C928" s="37">
        <v>6.0</v>
      </c>
      <c r="D928" s="34">
        <v>1.0</v>
      </c>
      <c r="E928" s="34">
        <v>6.0</v>
      </c>
      <c r="F928" s="35" t="s">
        <v>16</v>
      </c>
      <c r="G928" s="10" t="s">
        <v>172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>
      <c r="A929" s="34">
        <v>928.0</v>
      </c>
      <c r="B929" s="34">
        <v>2017.0</v>
      </c>
      <c r="C929" s="37">
        <v>6.0</v>
      </c>
      <c r="D929" s="34">
        <v>1.0</v>
      </c>
      <c r="E929" s="34">
        <v>6.0</v>
      </c>
      <c r="F929" s="35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>
      <c r="A930" s="10">
        <v>929.0</v>
      </c>
      <c r="B930" s="34">
        <v>2017.0</v>
      </c>
      <c r="C930" s="37">
        <v>6.0</v>
      </c>
      <c r="D930" s="34">
        <v>1.0</v>
      </c>
      <c r="E930" s="34">
        <v>7.0</v>
      </c>
      <c r="F930" s="35" t="s">
        <v>16</v>
      </c>
      <c r="G930" s="47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>
      <c r="A931" s="34">
        <v>930.0</v>
      </c>
      <c r="B931" s="34">
        <v>2017.0</v>
      </c>
      <c r="C931" s="37">
        <v>6.0</v>
      </c>
      <c r="D931" s="34">
        <v>1.0</v>
      </c>
      <c r="E931" s="34">
        <v>7.0</v>
      </c>
      <c r="F931" s="35" t="s">
        <v>16</v>
      </c>
      <c r="G931" s="10" t="s">
        <v>141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>
      <c r="A932" s="10">
        <v>931.0</v>
      </c>
      <c r="B932" s="34">
        <v>2017.0</v>
      </c>
      <c r="C932" s="37">
        <v>6.0</v>
      </c>
      <c r="D932" s="34">
        <v>1.0</v>
      </c>
      <c r="E932" s="34">
        <v>7.0</v>
      </c>
      <c r="F932" s="35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>
      <c r="A933" s="34">
        <v>932.0</v>
      </c>
      <c r="B933" s="34">
        <v>2017.0</v>
      </c>
      <c r="C933" s="37">
        <v>6.0</v>
      </c>
      <c r="D933" s="34">
        <v>1.0</v>
      </c>
      <c r="E933" s="34">
        <v>8.0</v>
      </c>
      <c r="F933" s="35" t="s">
        <v>16</v>
      </c>
      <c r="G933" s="47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>
      <c r="A934" s="10">
        <v>933.0</v>
      </c>
      <c r="B934" s="34">
        <v>2017.0</v>
      </c>
      <c r="C934" s="37">
        <v>6.0</v>
      </c>
      <c r="D934" s="34">
        <v>1.0</v>
      </c>
      <c r="E934" s="34">
        <v>8.0</v>
      </c>
      <c r="F934" s="35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>
      <c r="A935" s="34">
        <v>934.0</v>
      </c>
      <c r="B935" s="34">
        <v>2017.0</v>
      </c>
      <c r="C935" s="37">
        <v>6.0</v>
      </c>
      <c r="D935" s="34">
        <v>1.0</v>
      </c>
      <c r="E935" s="34">
        <v>8.0</v>
      </c>
      <c r="F935" s="35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>
      <c r="A936" s="10">
        <v>935.0</v>
      </c>
      <c r="B936" s="34">
        <v>2017.0</v>
      </c>
      <c r="C936" s="37">
        <v>6.0</v>
      </c>
      <c r="D936" s="34">
        <v>1.0</v>
      </c>
      <c r="E936" s="34">
        <v>9.0</v>
      </c>
      <c r="F936" s="35" t="s">
        <v>16</v>
      </c>
      <c r="G936" s="47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>
      <c r="A937" s="34">
        <v>936.0</v>
      </c>
      <c r="B937" s="34">
        <v>2017.0</v>
      </c>
      <c r="C937" s="37">
        <v>6.0</v>
      </c>
      <c r="D937" s="34">
        <v>1.0</v>
      </c>
      <c r="E937" s="34">
        <v>9.0</v>
      </c>
      <c r="F937" s="35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>
      <c r="A938" s="10">
        <v>937.0</v>
      </c>
      <c r="B938" s="34">
        <v>2017.0</v>
      </c>
      <c r="C938" s="37">
        <v>6.0</v>
      </c>
      <c r="D938" s="34">
        <v>1.0</v>
      </c>
      <c r="E938" s="34">
        <v>9.0</v>
      </c>
      <c r="F938" s="35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>
      <c r="A939" s="34">
        <v>938.0</v>
      </c>
      <c r="B939" s="34">
        <v>2017.0</v>
      </c>
      <c r="C939" s="37">
        <v>6.0</v>
      </c>
      <c r="D939" s="34">
        <v>1.0</v>
      </c>
      <c r="E939" s="34">
        <v>10.0</v>
      </c>
      <c r="F939" s="35" t="s">
        <v>16</v>
      </c>
      <c r="G939" s="47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>
      <c r="A940" s="10">
        <v>939.0</v>
      </c>
      <c r="B940" s="34">
        <v>2017.0</v>
      </c>
      <c r="C940" s="37">
        <v>6.0</v>
      </c>
      <c r="D940" s="34">
        <v>1.0</v>
      </c>
      <c r="E940" s="34">
        <v>10.0</v>
      </c>
      <c r="F940" s="35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>
      <c r="A941" s="34">
        <v>940.0</v>
      </c>
      <c r="B941" s="34">
        <v>2017.0</v>
      </c>
      <c r="C941" s="37">
        <v>6.0</v>
      </c>
      <c r="D941" s="34">
        <v>1.0</v>
      </c>
      <c r="E941" s="34">
        <v>10.0</v>
      </c>
      <c r="F941" s="35" t="s">
        <v>16</v>
      </c>
      <c r="G941" s="35" t="s">
        <v>40</v>
      </c>
      <c r="H941" s="39">
        <v>5.67</v>
      </c>
      <c r="I941" s="10">
        <v>3.5</v>
      </c>
      <c r="J941" s="10">
        <v>9.17</v>
      </c>
      <c r="L941" s="3">
        <f t="shared" si="6"/>
        <v>0</v>
      </c>
    </row>
    <row r="942">
      <c r="A942" s="10">
        <v>941.0</v>
      </c>
      <c r="B942" s="34">
        <v>2017.0</v>
      </c>
      <c r="C942" s="37">
        <v>6.0</v>
      </c>
      <c r="D942" s="34">
        <v>1.0</v>
      </c>
      <c r="E942" s="34">
        <v>11.0</v>
      </c>
      <c r="F942" s="35" t="s">
        <v>16</v>
      </c>
      <c r="G942" s="47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>
      <c r="A943" s="34">
        <v>942.0</v>
      </c>
      <c r="B943" s="34">
        <v>2017.0</v>
      </c>
      <c r="C943" s="37">
        <v>6.0</v>
      </c>
      <c r="D943" s="34">
        <v>1.0</v>
      </c>
      <c r="E943" s="34">
        <v>11.0</v>
      </c>
      <c r="F943" s="35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>
      <c r="A944" s="10">
        <v>943.0</v>
      </c>
      <c r="B944" s="34">
        <v>2017.0</v>
      </c>
      <c r="C944" s="37">
        <v>6.0</v>
      </c>
      <c r="D944" s="34">
        <v>1.0</v>
      </c>
      <c r="E944" s="34">
        <v>11.0</v>
      </c>
      <c r="F944" s="35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>
      <c r="A945" s="34">
        <v>944.0</v>
      </c>
      <c r="B945" s="34">
        <v>2017.0</v>
      </c>
      <c r="C945" s="37">
        <v>6.0</v>
      </c>
      <c r="D945" s="34">
        <v>1.0</v>
      </c>
      <c r="E945" s="34">
        <v>12.0</v>
      </c>
      <c r="F945" s="35" t="s">
        <v>16</v>
      </c>
      <c r="G945" s="47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>
      <c r="A946" s="10">
        <v>945.0</v>
      </c>
      <c r="B946" s="34">
        <v>2017.0</v>
      </c>
      <c r="C946" s="37">
        <v>6.0</v>
      </c>
      <c r="D946" s="34">
        <v>1.0</v>
      </c>
      <c r="E946" s="34">
        <v>12.0</v>
      </c>
      <c r="F946" s="35" t="s">
        <v>16</v>
      </c>
      <c r="G946" s="35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>
      <c r="A947" s="34">
        <v>946.0</v>
      </c>
      <c r="B947" s="34">
        <v>2017.0</v>
      </c>
      <c r="C947" s="37">
        <v>6.0</v>
      </c>
      <c r="D947" s="34">
        <v>1.0</v>
      </c>
      <c r="E947" s="34">
        <v>12.0</v>
      </c>
      <c r="F947" s="35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>
      <c r="A948" s="10">
        <v>947.0</v>
      </c>
      <c r="B948" s="34">
        <v>2017.0</v>
      </c>
      <c r="C948" s="37">
        <v>6.0</v>
      </c>
      <c r="D948" s="34">
        <v>2.0</v>
      </c>
      <c r="E948" s="34">
        <v>1.0</v>
      </c>
      <c r="F948" s="35" t="s">
        <v>16</v>
      </c>
      <c r="G948" s="47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>
      <c r="A949" s="34">
        <v>948.0</v>
      </c>
      <c r="B949" s="34">
        <v>2017.0</v>
      </c>
      <c r="C949" s="37">
        <v>6.0</v>
      </c>
      <c r="D949" s="34">
        <v>2.0</v>
      </c>
      <c r="E949" s="34">
        <v>1.0</v>
      </c>
      <c r="F949" s="35" t="s">
        <v>16</v>
      </c>
      <c r="G949" s="10" t="s">
        <v>172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>
      <c r="A950" s="10">
        <v>949.0</v>
      </c>
      <c r="B950" s="34">
        <v>2017.0</v>
      </c>
      <c r="C950" s="37">
        <v>6.0</v>
      </c>
      <c r="D950" s="34">
        <v>2.0</v>
      </c>
      <c r="E950" s="34">
        <v>2.0</v>
      </c>
      <c r="F950" s="35" t="s">
        <v>16</v>
      </c>
      <c r="G950" s="47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>
      <c r="A951" s="34">
        <v>950.0</v>
      </c>
      <c r="B951" s="34">
        <v>2017.0</v>
      </c>
      <c r="C951" s="37">
        <v>6.0</v>
      </c>
      <c r="D951" s="34">
        <v>2.0</v>
      </c>
      <c r="E951" s="34">
        <v>2.0</v>
      </c>
      <c r="F951" s="35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>
      <c r="A952" s="10">
        <v>951.0</v>
      </c>
      <c r="B952" s="34">
        <v>2017.0</v>
      </c>
      <c r="C952" s="37">
        <v>6.0</v>
      </c>
      <c r="D952" s="34">
        <v>2.0</v>
      </c>
      <c r="E952" s="34">
        <v>3.0</v>
      </c>
      <c r="F952" s="35" t="s">
        <v>16</v>
      </c>
      <c r="G952" s="47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>
      <c r="A953" s="34">
        <v>952.0</v>
      </c>
      <c r="B953" s="34">
        <v>2017.0</v>
      </c>
      <c r="C953" s="37">
        <v>6.0</v>
      </c>
      <c r="D953" s="34">
        <v>2.0</v>
      </c>
      <c r="E953" s="34">
        <v>3.0</v>
      </c>
      <c r="F953" s="35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>
      <c r="A954" s="10">
        <v>953.0</v>
      </c>
      <c r="B954" s="34">
        <v>2017.0</v>
      </c>
      <c r="C954" s="37">
        <v>6.0</v>
      </c>
      <c r="D954" s="34">
        <v>2.0</v>
      </c>
      <c r="E954" s="34">
        <v>4.0</v>
      </c>
      <c r="F954" s="35" t="s">
        <v>16</v>
      </c>
      <c r="G954" s="47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>
      <c r="A955" s="34">
        <v>954.0</v>
      </c>
      <c r="B955" s="34">
        <v>2017.0</v>
      </c>
      <c r="C955" s="37">
        <v>6.0</v>
      </c>
      <c r="D955" s="34">
        <v>2.0</v>
      </c>
      <c r="E955" s="34">
        <v>4.0</v>
      </c>
      <c r="F955" s="35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>
      <c r="A956" s="10">
        <v>955.0</v>
      </c>
      <c r="B956" s="34">
        <v>2017.0</v>
      </c>
      <c r="C956" s="37">
        <v>6.0</v>
      </c>
      <c r="D956" s="34">
        <v>2.0</v>
      </c>
      <c r="E956" s="34">
        <v>5.0</v>
      </c>
      <c r="F956" s="35" t="s">
        <v>16</v>
      </c>
      <c r="G956" s="47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>
      <c r="A957" s="34">
        <v>956.0</v>
      </c>
      <c r="B957" s="34">
        <v>2017.0</v>
      </c>
      <c r="C957" s="37">
        <v>6.0</v>
      </c>
      <c r="D957" s="34">
        <v>2.0</v>
      </c>
      <c r="E957" s="34">
        <v>5.0</v>
      </c>
      <c r="F957" s="35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>
      <c r="A958" s="10">
        <v>957.0</v>
      </c>
      <c r="B958" s="34">
        <v>2017.0</v>
      </c>
      <c r="C958" s="37">
        <v>6.0</v>
      </c>
      <c r="D958" s="34">
        <v>2.0</v>
      </c>
      <c r="E958" s="34">
        <v>6.0</v>
      </c>
      <c r="F958" s="35" t="s">
        <v>16</v>
      </c>
      <c r="G958" s="47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>
      <c r="A959" s="34">
        <v>958.0</v>
      </c>
      <c r="B959" s="34">
        <v>2017.0</v>
      </c>
      <c r="C959" s="37">
        <v>6.0</v>
      </c>
      <c r="D959" s="34">
        <v>2.0</v>
      </c>
      <c r="E959" s="34">
        <v>6.0</v>
      </c>
      <c r="F959" s="35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>
      <c r="A960" s="10">
        <v>959.0</v>
      </c>
      <c r="B960" s="34">
        <v>2017.0</v>
      </c>
      <c r="C960" s="37">
        <v>6.0</v>
      </c>
      <c r="D960" s="34">
        <v>2.0</v>
      </c>
      <c r="E960" s="34">
        <v>7.0</v>
      </c>
      <c r="F960" s="35" t="s">
        <v>16</v>
      </c>
      <c r="G960" s="47" t="s">
        <v>141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>
      <c r="A961" s="34">
        <v>960.0</v>
      </c>
      <c r="B961" s="34">
        <v>2017.0</v>
      </c>
      <c r="C961" s="37">
        <v>6.0</v>
      </c>
      <c r="D961" s="34">
        <v>2.0</v>
      </c>
      <c r="E961" s="34">
        <v>7.0</v>
      </c>
      <c r="F961" s="35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>
      <c r="A962" s="10">
        <v>961.0</v>
      </c>
      <c r="B962" s="34">
        <v>2017.0</v>
      </c>
      <c r="C962" s="37">
        <v>6.0</v>
      </c>
      <c r="D962" s="34">
        <v>2.0</v>
      </c>
      <c r="E962" s="34">
        <v>8.0</v>
      </c>
      <c r="F962" s="35" t="s">
        <v>16</v>
      </c>
      <c r="G962" s="47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>
      <c r="A963" s="34">
        <v>962.0</v>
      </c>
      <c r="B963" s="34">
        <v>2017.0</v>
      </c>
      <c r="C963" s="37">
        <v>6.0</v>
      </c>
      <c r="D963" s="34">
        <v>2.0</v>
      </c>
      <c r="E963" s="34">
        <v>8.0</v>
      </c>
      <c r="F963" s="35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>
      <c r="A964" s="10">
        <v>963.0</v>
      </c>
      <c r="B964" s="34">
        <v>2017.0</v>
      </c>
      <c r="C964" s="37">
        <v>6.0</v>
      </c>
      <c r="D964" s="34">
        <v>2.0</v>
      </c>
      <c r="E964" s="34">
        <v>9.0</v>
      </c>
      <c r="F964" s="35" t="s">
        <v>16</v>
      </c>
      <c r="G964" s="47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>
      <c r="A965" s="34">
        <v>964.0</v>
      </c>
      <c r="B965" s="34">
        <v>2017.0</v>
      </c>
      <c r="C965" s="37">
        <v>6.0</v>
      </c>
      <c r="D965" s="34">
        <v>2.0</v>
      </c>
      <c r="E965" s="34">
        <v>9.0</v>
      </c>
      <c r="F965" s="35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>
      <c r="A966" s="10">
        <v>965.0</v>
      </c>
      <c r="B966" s="34">
        <v>2017.0</v>
      </c>
      <c r="C966" s="37">
        <v>6.0</v>
      </c>
      <c r="D966" s="34">
        <v>2.0</v>
      </c>
      <c r="E966" s="34">
        <v>10.0</v>
      </c>
      <c r="F966" s="35" t="s">
        <v>16</v>
      </c>
      <c r="G966" s="47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>
      <c r="A967" s="34">
        <v>966.0</v>
      </c>
      <c r="B967" s="34">
        <v>2017.0</v>
      </c>
      <c r="C967" s="37">
        <v>6.0</v>
      </c>
      <c r="D967" s="34">
        <v>2.0</v>
      </c>
      <c r="E967" s="34">
        <v>10.0</v>
      </c>
      <c r="F967" s="35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>
      <c r="A968" s="10">
        <v>967.0</v>
      </c>
      <c r="B968" s="34">
        <v>2017.0</v>
      </c>
      <c r="C968" s="37">
        <v>6.0</v>
      </c>
      <c r="D968" s="34">
        <v>2.0</v>
      </c>
      <c r="E968" s="34">
        <v>11.0</v>
      </c>
      <c r="F968" s="35" t="s">
        <v>16</v>
      </c>
      <c r="G968" s="47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>
      <c r="A969" s="34">
        <v>968.0</v>
      </c>
      <c r="B969" s="34">
        <v>2017.0</v>
      </c>
      <c r="C969" s="37">
        <v>6.0</v>
      </c>
      <c r="D969" s="34">
        <v>2.0</v>
      </c>
      <c r="E969" s="34">
        <v>11.0</v>
      </c>
      <c r="F969" s="35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>
      <c r="A970" s="10">
        <v>969.0</v>
      </c>
      <c r="B970" s="34">
        <v>2017.0</v>
      </c>
      <c r="C970" s="37">
        <v>6.0</v>
      </c>
      <c r="D970" s="34">
        <v>2.0</v>
      </c>
      <c r="E970" s="34">
        <v>12.0</v>
      </c>
      <c r="F970" s="35" t="s">
        <v>16</v>
      </c>
      <c r="G970" s="47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>
      <c r="A971" s="34">
        <v>970.0</v>
      </c>
      <c r="B971" s="34">
        <v>2017.0</v>
      </c>
      <c r="C971" s="37">
        <v>6.0</v>
      </c>
      <c r="D971" s="34">
        <v>2.0</v>
      </c>
      <c r="E971" s="34">
        <v>12.0</v>
      </c>
      <c r="F971" s="35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>
      <c r="A972" s="10">
        <v>971.0</v>
      </c>
      <c r="B972" s="34">
        <v>2017.0</v>
      </c>
      <c r="C972" s="37">
        <v>6.0</v>
      </c>
      <c r="D972" s="34">
        <v>3.0</v>
      </c>
      <c r="E972" s="34">
        <v>1.0</v>
      </c>
      <c r="F972" s="35" t="s">
        <v>16</v>
      </c>
      <c r="G972" s="47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>
      <c r="A973" s="34">
        <v>972.0</v>
      </c>
      <c r="B973" s="34">
        <v>2017.0</v>
      </c>
      <c r="C973" s="37">
        <v>6.0</v>
      </c>
      <c r="D973" s="34">
        <v>3.0</v>
      </c>
      <c r="E973" s="34">
        <v>1.0</v>
      </c>
      <c r="F973" s="35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>
      <c r="A974" s="10">
        <v>973.0</v>
      </c>
      <c r="B974" s="34">
        <v>2017.0</v>
      </c>
      <c r="C974" s="37">
        <v>6.0</v>
      </c>
      <c r="D974" s="34">
        <v>3.0</v>
      </c>
      <c r="E974" s="34">
        <v>2.0</v>
      </c>
      <c r="F974" s="35" t="s">
        <v>16</v>
      </c>
      <c r="G974" s="47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>
      <c r="A975" s="34">
        <v>974.0</v>
      </c>
      <c r="B975" s="34">
        <v>2017.0</v>
      </c>
      <c r="C975" s="37">
        <v>6.0</v>
      </c>
      <c r="D975" s="34">
        <v>3.0</v>
      </c>
      <c r="E975" s="34">
        <v>2.0</v>
      </c>
      <c r="F975" s="35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>
      <c r="A976" s="10">
        <v>975.0</v>
      </c>
      <c r="B976" s="34">
        <v>2017.0</v>
      </c>
      <c r="C976" s="37">
        <v>6.0</v>
      </c>
      <c r="D976" s="34">
        <v>3.0</v>
      </c>
      <c r="E976" s="34">
        <v>3.0</v>
      </c>
      <c r="F976" s="35" t="s">
        <v>16</v>
      </c>
      <c r="G976" s="47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>
      <c r="A977" s="34">
        <v>976.0</v>
      </c>
      <c r="B977" s="34">
        <v>2017.0</v>
      </c>
      <c r="C977" s="37">
        <v>6.0</v>
      </c>
      <c r="D977" s="34">
        <v>3.0</v>
      </c>
      <c r="E977" s="34">
        <v>3.0</v>
      </c>
      <c r="F977" s="35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>
      <c r="A978" s="10">
        <v>977.0</v>
      </c>
      <c r="B978" s="34">
        <v>2017.0</v>
      </c>
      <c r="C978" s="37">
        <v>6.0</v>
      </c>
      <c r="D978" s="34">
        <v>3.0</v>
      </c>
      <c r="E978" s="34">
        <v>4.0</v>
      </c>
      <c r="F978" s="35" t="s">
        <v>16</v>
      </c>
      <c r="G978" s="47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>
      <c r="A979" s="34">
        <v>978.0</v>
      </c>
      <c r="B979" s="34">
        <v>2017.0</v>
      </c>
      <c r="C979" s="37">
        <v>6.0</v>
      </c>
      <c r="D979" s="34">
        <v>3.0</v>
      </c>
      <c r="E979" s="34">
        <v>4.0</v>
      </c>
      <c r="F979" s="35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>
      <c r="A980" s="10">
        <v>979.0</v>
      </c>
      <c r="B980" s="34">
        <v>2017.0</v>
      </c>
      <c r="C980" s="37">
        <v>6.0</v>
      </c>
      <c r="D980" s="34">
        <v>3.0</v>
      </c>
      <c r="E980" s="34">
        <v>5.0</v>
      </c>
      <c r="F980" s="35" t="s">
        <v>16</v>
      </c>
      <c r="G980" s="47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>
      <c r="A981" s="34">
        <v>980.0</v>
      </c>
      <c r="B981" s="34">
        <v>2017.0</v>
      </c>
      <c r="C981" s="37">
        <v>6.0</v>
      </c>
      <c r="D981" s="34">
        <v>3.0</v>
      </c>
      <c r="E981" s="34">
        <v>5.0</v>
      </c>
      <c r="F981" s="35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>
      <c r="A982" s="10">
        <v>981.0</v>
      </c>
      <c r="B982" s="34">
        <v>2017.0</v>
      </c>
      <c r="C982" s="37">
        <v>6.0</v>
      </c>
      <c r="D982" s="34">
        <v>3.0</v>
      </c>
      <c r="E982" s="34">
        <v>6.0</v>
      </c>
      <c r="F982" s="35" t="s">
        <v>16</v>
      </c>
      <c r="G982" s="47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>
      <c r="A983" s="34">
        <v>982.0</v>
      </c>
      <c r="B983" s="34">
        <v>2017.0</v>
      </c>
      <c r="C983" s="37">
        <v>6.0</v>
      </c>
      <c r="D983" s="34">
        <v>3.0</v>
      </c>
      <c r="E983" s="34">
        <v>6.0</v>
      </c>
      <c r="F983" s="35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>
      <c r="A984" s="10">
        <v>983.0</v>
      </c>
      <c r="B984" s="34">
        <v>2017.0</v>
      </c>
      <c r="C984" s="37">
        <v>6.0</v>
      </c>
      <c r="D984" s="34">
        <v>3.0</v>
      </c>
      <c r="E984" s="34">
        <v>7.0</v>
      </c>
      <c r="F984" s="35" t="s">
        <v>16</v>
      </c>
      <c r="G984" s="47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>
      <c r="A985" s="34">
        <v>984.0</v>
      </c>
      <c r="B985" s="34">
        <v>2017.0</v>
      </c>
      <c r="C985" s="37">
        <v>6.0</v>
      </c>
      <c r="D985" s="34">
        <v>3.0</v>
      </c>
      <c r="E985" s="34">
        <v>7.0</v>
      </c>
      <c r="F985" s="35" t="s">
        <v>16</v>
      </c>
      <c r="G985" s="10" t="s">
        <v>141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>
      <c r="A986" s="10">
        <v>985.0</v>
      </c>
      <c r="B986" s="34">
        <v>2017.0</v>
      </c>
      <c r="C986" s="37">
        <v>6.0</v>
      </c>
      <c r="D986" s="34">
        <v>3.0</v>
      </c>
      <c r="E986" s="34">
        <v>8.0</v>
      </c>
      <c r="F986" s="35" t="s">
        <v>16</v>
      </c>
      <c r="G986" s="47" t="s">
        <v>33</v>
      </c>
      <c r="L986" s="3">
        <f t="shared" si="6"/>
        <v>0</v>
      </c>
    </row>
    <row r="987">
      <c r="A987" s="34">
        <v>986.0</v>
      </c>
      <c r="B987" s="34">
        <v>2017.0</v>
      </c>
      <c r="C987" s="37">
        <v>6.0</v>
      </c>
      <c r="D987" s="34">
        <v>3.0</v>
      </c>
      <c r="E987" s="34">
        <v>8.0</v>
      </c>
      <c r="F987" s="35" t="s">
        <v>16</v>
      </c>
      <c r="G987" s="10" t="s">
        <v>37</v>
      </c>
      <c r="L987" s="3">
        <f t="shared" si="6"/>
        <v>0</v>
      </c>
    </row>
    <row r="988">
      <c r="A988" s="10">
        <v>987.0</v>
      </c>
      <c r="B988" s="34">
        <v>2017.0</v>
      </c>
      <c r="C988" s="37">
        <v>6.0</v>
      </c>
      <c r="D988" s="34">
        <v>3.0</v>
      </c>
      <c r="E988" s="34">
        <v>9.0</v>
      </c>
      <c r="F988" s="35" t="s">
        <v>16</v>
      </c>
      <c r="G988" s="47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>
      <c r="A989" s="34">
        <v>988.0</v>
      </c>
      <c r="B989" s="34">
        <v>2017.0</v>
      </c>
      <c r="C989" s="37">
        <v>6.0</v>
      </c>
      <c r="D989" s="34">
        <v>3.0</v>
      </c>
      <c r="E989" s="34">
        <v>9.0</v>
      </c>
      <c r="F989" s="35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>
      <c r="A990" s="10">
        <v>989.0</v>
      </c>
      <c r="B990" s="34">
        <v>2017.0</v>
      </c>
      <c r="C990" s="37">
        <v>6.0</v>
      </c>
      <c r="D990" s="34">
        <v>3.0</v>
      </c>
      <c r="E990" s="34">
        <v>10.0</v>
      </c>
      <c r="F990" s="35" t="s">
        <v>16</v>
      </c>
      <c r="G990" s="47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>
      <c r="A991" s="34">
        <v>990.0</v>
      </c>
      <c r="B991" s="34">
        <v>2017.0</v>
      </c>
      <c r="C991" s="37">
        <v>6.0</v>
      </c>
      <c r="D991" s="34">
        <v>3.0</v>
      </c>
      <c r="E991" s="34">
        <v>10.0</v>
      </c>
      <c r="F991" s="35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>
      <c r="A992" s="10">
        <v>991.0</v>
      </c>
      <c r="B992" s="34">
        <v>2017.0</v>
      </c>
      <c r="C992" s="37">
        <v>6.0</v>
      </c>
      <c r="D992" s="34">
        <v>3.0</v>
      </c>
      <c r="E992" s="34">
        <v>11.0</v>
      </c>
      <c r="F992" s="35" t="s">
        <v>16</v>
      </c>
      <c r="G992" s="47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>
      <c r="A993" s="34">
        <v>992.0</v>
      </c>
      <c r="B993" s="34">
        <v>2017.0</v>
      </c>
      <c r="C993" s="37">
        <v>6.0</v>
      </c>
      <c r="D993" s="34">
        <v>3.0</v>
      </c>
      <c r="E993" s="34">
        <v>11.0</v>
      </c>
      <c r="F993" s="35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>
      <c r="A994" s="10">
        <v>993.0</v>
      </c>
      <c r="B994" s="34">
        <v>2017.0</v>
      </c>
      <c r="C994" s="37">
        <v>6.0</v>
      </c>
      <c r="D994" s="34">
        <v>3.0</v>
      </c>
      <c r="E994" s="34">
        <v>12.0</v>
      </c>
      <c r="F994" s="35" t="s">
        <v>16</v>
      </c>
      <c r="G994" s="47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>
      <c r="A995" s="34">
        <v>994.0</v>
      </c>
      <c r="B995" s="34">
        <v>2017.0</v>
      </c>
      <c r="C995" s="37">
        <v>6.0</v>
      </c>
      <c r="D995" s="34">
        <v>3.0</v>
      </c>
      <c r="E995" s="34">
        <v>12.0</v>
      </c>
      <c r="F995" s="35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>
      <c r="A996" s="10">
        <v>995.0</v>
      </c>
      <c r="B996" s="34">
        <v>2017.0</v>
      </c>
      <c r="C996" s="37">
        <v>6.0</v>
      </c>
      <c r="D996" s="34">
        <v>4.0</v>
      </c>
      <c r="E996" s="34">
        <v>1.0</v>
      </c>
      <c r="F996" s="35" t="s">
        <v>16</v>
      </c>
      <c r="G996" s="47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>
      <c r="A997" s="34">
        <v>996.0</v>
      </c>
      <c r="B997" s="34">
        <v>2017.0</v>
      </c>
      <c r="C997" s="37">
        <v>6.0</v>
      </c>
      <c r="D997" s="34">
        <v>4.0</v>
      </c>
      <c r="E997" s="34">
        <v>1.0</v>
      </c>
      <c r="F997" s="35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>
      <c r="A998" s="10">
        <v>997.0</v>
      </c>
      <c r="B998" s="34">
        <v>2017.0</v>
      </c>
      <c r="C998" s="37">
        <v>6.0</v>
      </c>
      <c r="D998" s="34">
        <v>4.0</v>
      </c>
      <c r="E998" s="34">
        <v>1.0</v>
      </c>
      <c r="F998" s="35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>
      <c r="A999" s="34">
        <v>998.0</v>
      </c>
      <c r="B999" s="34">
        <v>2017.0</v>
      </c>
      <c r="C999" s="37">
        <v>6.0</v>
      </c>
      <c r="D999" s="34">
        <v>4.0</v>
      </c>
      <c r="E999" s="34">
        <v>2.0</v>
      </c>
      <c r="F999" s="35" t="s">
        <v>16</v>
      </c>
      <c r="G999" s="47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>
      <c r="A1000" s="10">
        <v>999.0</v>
      </c>
      <c r="B1000" s="34">
        <v>2017.0</v>
      </c>
      <c r="C1000" s="37">
        <v>6.0</v>
      </c>
      <c r="D1000" s="34">
        <v>4.0</v>
      </c>
      <c r="E1000" s="34">
        <v>2.0</v>
      </c>
      <c r="F1000" s="35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>
      <c r="A1001" s="34">
        <v>1000.0</v>
      </c>
      <c r="B1001" s="34">
        <v>2017.0</v>
      </c>
      <c r="C1001" s="37">
        <v>6.0</v>
      </c>
      <c r="D1001" s="34">
        <v>4.0</v>
      </c>
      <c r="E1001" s="34">
        <v>2.0</v>
      </c>
      <c r="F1001" s="35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>
      <c r="A1002" s="10">
        <v>1001.0</v>
      </c>
      <c r="B1002" s="34">
        <v>2017.0</v>
      </c>
      <c r="C1002" s="37">
        <v>6.0</v>
      </c>
      <c r="D1002" s="34">
        <v>4.0</v>
      </c>
      <c r="E1002" s="34">
        <v>3.0</v>
      </c>
      <c r="F1002" s="35" t="s">
        <v>16</v>
      </c>
      <c r="G1002" s="47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>
      <c r="A1003" s="34">
        <v>1002.0</v>
      </c>
      <c r="B1003" s="34">
        <v>2017.0</v>
      </c>
      <c r="C1003" s="37">
        <v>6.0</v>
      </c>
      <c r="D1003" s="34">
        <v>4.0</v>
      </c>
      <c r="E1003" s="34">
        <v>3.0</v>
      </c>
      <c r="F1003" s="35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>
      <c r="A1004" s="10">
        <v>1003.0</v>
      </c>
      <c r="B1004" s="34">
        <v>2017.0</v>
      </c>
      <c r="C1004" s="37">
        <v>6.0</v>
      </c>
      <c r="D1004" s="34">
        <v>4.0</v>
      </c>
      <c r="E1004" s="34">
        <v>3.0</v>
      </c>
      <c r="F1004" s="35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>
      <c r="A1005" s="34">
        <v>1004.0</v>
      </c>
      <c r="B1005" s="34">
        <v>2017.0</v>
      </c>
      <c r="C1005" s="37">
        <v>6.0</v>
      </c>
      <c r="D1005" s="34">
        <v>4.0</v>
      </c>
      <c r="E1005" s="34">
        <v>4.0</v>
      </c>
      <c r="F1005" s="35" t="s">
        <v>16</v>
      </c>
      <c r="G1005" s="47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>
      <c r="A1006" s="10">
        <v>1005.0</v>
      </c>
      <c r="B1006" s="34">
        <v>2017.0</v>
      </c>
      <c r="C1006" s="37">
        <v>6.0</v>
      </c>
      <c r="D1006" s="34">
        <v>4.0</v>
      </c>
      <c r="E1006" s="34">
        <v>4.0</v>
      </c>
      <c r="F1006" s="35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>
      <c r="A1007" s="34">
        <v>1006.0</v>
      </c>
      <c r="B1007" s="34">
        <v>2017.0</v>
      </c>
      <c r="C1007" s="37">
        <v>6.0</v>
      </c>
      <c r="D1007" s="34">
        <v>4.0</v>
      </c>
      <c r="E1007" s="34">
        <v>4.0</v>
      </c>
      <c r="F1007" s="35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>
      <c r="A1008" s="10">
        <v>1007.0</v>
      </c>
      <c r="B1008" s="34">
        <v>2017.0</v>
      </c>
      <c r="C1008" s="37">
        <v>6.0</v>
      </c>
      <c r="D1008" s="34">
        <v>5.0</v>
      </c>
      <c r="E1008" s="34">
        <v>1.0</v>
      </c>
      <c r="F1008" s="35" t="s">
        <v>16</v>
      </c>
      <c r="G1008" s="47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>
      <c r="A1009" s="34">
        <v>1008.0</v>
      </c>
      <c r="B1009" s="34">
        <v>2017.0</v>
      </c>
      <c r="C1009" s="37">
        <v>6.0</v>
      </c>
      <c r="D1009" s="34">
        <v>5.0</v>
      </c>
      <c r="E1009" s="34">
        <v>1.0</v>
      </c>
      <c r="F1009" s="35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>
      <c r="A1010" s="10">
        <v>1009.0</v>
      </c>
      <c r="B1010" s="34">
        <v>2017.0</v>
      </c>
      <c r="C1010" s="37">
        <v>6.0</v>
      </c>
      <c r="D1010" s="34">
        <v>5.0</v>
      </c>
      <c r="E1010" s="34">
        <v>2.0</v>
      </c>
      <c r="F1010" s="35" t="s">
        <v>16</v>
      </c>
      <c r="G1010" s="47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>
      <c r="A1011" s="34">
        <v>1010.0</v>
      </c>
      <c r="B1011" s="34">
        <v>2017.0</v>
      </c>
      <c r="C1011" s="37">
        <v>6.0</v>
      </c>
      <c r="D1011" s="34">
        <v>5.0</v>
      </c>
      <c r="E1011" s="34">
        <v>2.0</v>
      </c>
      <c r="F1011" s="35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>
      <c r="A1012" s="10">
        <v>1011.0</v>
      </c>
      <c r="B1012" s="34">
        <v>2017.0</v>
      </c>
      <c r="C1012" s="37">
        <v>6.0</v>
      </c>
      <c r="D1012" s="34">
        <v>5.0</v>
      </c>
      <c r="E1012" s="34">
        <v>3.0</v>
      </c>
      <c r="F1012" s="35" t="s">
        <v>16</v>
      </c>
      <c r="G1012" s="47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>
      <c r="A1013" s="34">
        <v>1012.0</v>
      </c>
      <c r="B1013" s="34">
        <v>2017.0</v>
      </c>
      <c r="C1013" s="37">
        <v>6.0</v>
      </c>
      <c r="D1013" s="34">
        <v>5.0</v>
      </c>
      <c r="E1013" s="34">
        <v>3.0</v>
      </c>
      <c r="F1013" s="35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>
      <c r="A1014" s="10">
        <v>1013.0</v>
      </c>
      <c r="B1014" s="34">
        <v>2017.0</v>
      </c>
      <c r="C1014" s="37">
        <v>6.0</v>
      </c>
      <c r="D1014" s="34">
        <v>5.0</v>
      </c>
      <c r="E1014" s="34">
        <v>4.0</v>
      </c>
      <c r="F1014" s="35" t="s">
        <v>16</v>
      </c>
      <c r="G1014" s="47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>
      <c r="A1015" s="34">
        <v>1014.0</v>
      </c>
      <c r="B1015" s="34">
        <v>2017.0</v>
      </c>
      <c r="C1015" s="37">
        <v>6.0</v>
      </c>
      <c r="D1015" s="34">
        <v>5.0</v>
      </c>
      <c r="E1015" s="34">
        <v>4.0</v>
      </c>
      <c r="F1015" s="35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>
      <c r="A1016" s="10">
        <v>1015.0</v>
      </c>
      <c r="B1016" s="34">
        <v>2017.0</v>
      </c>
      <c r="C1016" s="37">
        <v>6.0</v>
      </c>
      <c r="D1016" s="34">
        <v>6.0</v>
      </c>
      <c r="E1016" s="34">
        <v>1.0</v>
      </c>
      <c r="F1016" s="35" t="s">
        <v>16</v>
      </c>
      <c r="G1016" s="47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>
      <c r="A1017" s="34">
        <v>1016.0</v>
      </c>
      <c r="B1017" s="34">
        <v>2017.0</v>
      </c>
      <c r="C1017" s="37">
        <v>6.0</v>
      </c>
      <c r="D1017" s="34">
        <v>6.0</v>
      </c>
      <c r="E1017" s="34">
        <v>1.0</v>
      </c>
      <c r="F1017" s="35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>
      <c r="A1018" s="10">
        <v>1017.0</v>
      </c>
      <c r="B1018" s="34">
        <v>2017.0</v>
      </c>
      <c r="C1018" s="37">
        <v>6.0</v>
      </c>
      <c r="D1018" s="34">
        <v>6.0</v>
      </c>
      <c r="E1018" s="34">
        <v>2.0</v>
      </c>
      <c r="F1018" s="35" t="s">
        <v>16</v>
      </c>
      <c r="G1018" s="47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>
      <c r="A1019" s="34">
        <v>1018.0</v>
      </c>
      <c r="B1019" s="34">
        <v>2017.0</v>
      </c>
      <c r="C1019" s="37">
        <v>6.0</v>
      </c>
      <c r="D1019" s="34">
        <v>6.0</v>
      </c>
      <c r="E1019" s="34">
        <v>2.0</v>
      </c>
      <c r="F1019" s="35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>
      <c r="A1020" s="10">
        <v>1019.0</v>
      </c>
      <c r="B1020" s="34">
        <v>2017.0</v>
      </c>
      <c r="C1020" s="37">
        <v>6.0</v>
      </c>
      <c r="D1020" s="34">
        <v>6.0</v>
      </c>
      <c r="E1020" s="34">
        <v>3.0</v>
      </c>
      <c r="F1020" s="35" t="s">
        <v>16</v>
      </c>
      <c r="G1020" s="47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>
      <c r="A1021" s="34">
        <v>1020.0</v>
      </c>
      <c r="B1021" s="34">
        <v>2017.0</v>
      </c>
      <c r="C1021" s="37">
        <v>6.0</v>
      </c>
      <c r="D1021" s="34">
        <v>6.0</v>
      </c>
      <c r="E1021" s="34">
        <v>3.0</v>
      </c>
      <c r="F1021" s="35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>
      <c r="A1022" s="10">
        <v>1021.0</v>
      </c>
      <c r="B1022" s="34">
        <v>2017.0</v>
      </c>
      <c r="C1022" s="37">
        <v>6.0</v>
      </c>
      <c r="D1022" s="34">
        <v>6.0</v>
      </c>
      <c r="E1022" s="34">
        <v>4.0</v>
      </c>
      <c r="F1022" s="35" t="s">
        <v>16</v>
      </c>
      <c r="G1022" s="47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>
      <c r="A1023" s="34">
        <v>1022.0</v>
      </c>
      <c r="B1023" s="34">
        <v>2017.0</v>
      </c>
      <c r="C1023" s="37">
        <v>6.0</v>
      </c>
      <c r="D1023" s="34">
        <v>6.0</v>
      </c>
      <c r="E1023" s="34">
        <v>4.0</v>
      </c>
      <c r="F1023" s="35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>
      <c r="A1024" s="10">
        <v>1023.0</v>
      </c>
      <c r="B1024" s="34">
        <v>2017.0</v>
      </c>
      <c r="C1024" s="37">
        <v>6.0</v>
      </c>
      <c r="D1024" s="34">
        <v>7.0</v>
      </c>
      <c r="E1024" s="34">
        <v>1.0</v>
      </c>
      <c r="F1024" s="35" t="s">
        <v>16</v>
      </c>
      <c r="G1024" s="47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>
      <c r="A1025" s="34">
        <v>1024.0</v>
      </c>
      <c r="B1025" s="34">
        <v>2017.0</v>
      </c>
      <c r="C1025" s="37">
        <v>6.0</v>
      </c>
      <c r="D1025" s="34">
        <v>7.0</v>
      </c>
      <c r="E1025" s="34">
        <v>1.0</v>
      </c>
      <c r="F1025" s="35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>
      <c r="A1026" s="10">
        <v>1025.0</v>
      </c>
      <c r="B1026" s="34">
        <v>2017.0</v>
      </c>
      <c r="C1026" s="37">
        <v>6.0</v>
      </c>
      <c r="D1026" s="34">
        <v>7.0</v>
      </c>
      <c r="E1026" s="34">
        <v>2.0</v>
      </c>
      <c r="F1026" s="35" t="s">
        <v>16</v>
      </c>
      <c r="G1026" s="47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>
      <c r="A1027" s="34">
        <v>1026.0</v>
      </c>
      <c r="B1027" s="34">
        <v>2017.0</v>
      </c>
      <c r="C1027" s="37">
        <v>6.0</v>
      </c>
      <c r="D1027" s="34">
        <v>7.0</v>
      </c>
      <c r="E1027" s="34">
        <v>2.0</v>
      </c>
      <c r="F1027" s="35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>
      <c r="A1028" s="10">
        <v>1027.0</v>
      </c>
      <c r="B1028" s="34">
        <v>2017.0</v>
      </c>
      <c r="C1028" s="37">
        <v>6.0</v>
      </c>
      <c r="D1028" s="34">
        <v>8.0</v>
      </c>
      <c r="E1028" s="34">
        <v>1.0</v>
      </c>
      <c r="F1028" s="35" t="s">
        <v>16</v>
      </c>
      <c r="G1028" s="47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>
      <c r="A1029" s="34">
        <v>1028.0</v>
      </c>
      <c r="B1029" s="34">
        <v>2017.0</v>
      </c>
      <c r="C1029" s="37">
        <v>6.0</v>
      </c>
      <c r="D1029" s="34">
        <v>8.0</v>
      </c>
      <c r="E1029" s="34">
        <v>1.0</v>
      </c>
      <c r="F1029" s="35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>
      <c r="A1030" s="34">
        <v>1029.0</v>
      </c>
      <c r="B1030" s="34">
        <v>2017.0</v>
      </c>
      <c r="C1030" s="37">
        <v>7.0</v>
      </c>
      <c r="D1030" s="34">
        <v>1.0</v>
      </c>
      <c r="E1030" s="34">
        <v>1.0</v>
      </c>
      <c r="F1030" s="35" t="s">
        <v>16</v>
      </c>
      <c r="G1030" s="48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>
      <c r="A1031" s="10">
        <v>1030.0</v>
      </c>
      <c r="B1031" s="34">
        <v>2017.0</v>
      </c>
      <c r="C1031" s="37">
        <v>7.0</v>
      </c>
      <c r="D1031" s="34">
        <v>1.0</v>
      </c>
      <c r="E1031" s="34">
        <v>1.0</v>
      </c>
      <c r="F1031" s="35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>
      <c r="A1032" s="34">
        <v>1031.0</v>
      </c>
      <c r="B1032" s="34">
        <v>2017.0</v>
      </c>
      <c r="C1032" s="37">
        <v>7.0</v>
      </c>
      <c r="D1032" s="34">
        <v>1.0</v>
      </c>
      <c r="E1032" s="34">
        <v>1.0</v>
      </c>
      <c r="F1032" s="35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>
      <c r="A1033" s="34">
        <v>1032.0</v>
      </c>
      <c r="B1033" s="34">
        <v>2017.0</v>
      </c>
      <c r="C1033" s="37">
        <v>7.0</v>
      </c>
      <c r="D1033" s="34">
        <v>1.0</v>
      </c>
      <c r="E1033" s="34">
        <v>2.0</v>
      </c>
      <c r="F1033" s="35" t="s">
        <v>16</v>
      </c>
      <c r="G1033" s="48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>
      <c r="A1034" s="10">
        <v>1033.0</v>
      </c>
      <c r="B1034" s="34">
        <v>2017.0</v>
      </c>
      <c r="C1034" s="37">
        <v>7.0</v>
      </c>
      <c r="D1034" s="34">
        <v>1.0</v>
      </c>
      <c r="E1034" s="34">
        <v>2.0</v>
      </c>
      <c r="F1034" s="35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>
      <c r="A1035" s="34">
        <v>1034.0</v>
      </c>
      <c r="B1035" s="34">
        <v>2017.0</v>
      </c>
      <c r="C1035" s="37">
        <v>7.0</v>
      </c>
      <c r="D1035" s="34">
        <v>1.0</v>
      </c>
      <c r="E1035" s="34">
        <v>2.0</v>
      </c>
      <c r="F1035" s="35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>
      <c r="A1036" s="34">
        <v>1035.0</v>
      </c>
      <c r="B1036" s="34">
        <v>2017.0</v>
      </c>
      <c r="C1036" s="37">
        <v>7.0</v>
      </c>
      <c r="D1036" s="34">
        <v>1.0</v>
      </c>
      <c r="E1036" s="34">
        <v>3.0</v>
      </c>
      <c r="F1036" s="35" t="s">
        <v>16</v>
      </c>
      <c r="G1036" s="48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>
      <c r="A1037" s="10">
        <v>1036.0</v>
      </c>
      <c r="B1037" s="34">
        <v>2017.0</v>
      </c>
      <c r="C1037" s="37">
        <v>7.0</v>
      </c>
      <c r="D1037" s="34">
        <v>1.0</v>
      </c>
      <c r="E1037" s="34">
        <v>3.0</v>
      </c>
      <c r="F1037" s="35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>
      <c r="A1038" s="34">
        <v>1037.0</v>
      </c>
      <c r="B1038" s="34">
        <v>2017.0</v>
      </c>
      <c r="C1038" s="37">
        <v>7.0</v>
      </c>
      <c r="D1038" s="34">
        <v>1.0</v>
      </c>
      <c r="E1038" s="34">
        <v>3.0</v>
      </c>
      <c r="F1038" s="35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>
      <c r="A1039" s="34">
        <v>1038.0</v>
      </c>
      <c r="B1039" s="34">
        <v>2017.0</v>
      </c>
      <c r="C1039" s="37">
        <v>7.0</v>
      </c>
      <c r="D1039" s="34">
        <v>1.0</v>
      </c>
      <c r="E1039" s="34">
        <v>4.0</v>
      </c>
      <c r="F1039" s="35" t="s">
        <v>16</v>
      </c>
      <c r="G1039" s="48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>
      <c r="A1040" s="10">
        <v>1039.0</v>
      </c>
      <c r="B1040" s="34">
        <v>2017.0</v>
      </c>
      <c r="C1040" s="37">
        <v>7.0</v>
      </c>
      <c r="D1040" s="34">
        <v>1.0</v>
      </c>
      <c r="E1040" s="34">
        <v>4.0</v>
      </c>
      <c r="F1040" s="35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>
      <c r="A1041" s="34">
        <v>1040.0</v>
      </c>
      <c r="B1041" s="34">
        <v>2017.0</v>
      </c>
      <c r="C1041" s="37">
        <v>7.0</v>
      </c>
      <c r="D1041" s="34">
        <v>1.0</v>
      </c>
      <c r="E1041" s="34">
        <v>4.0</v>
      </c>
      <c r="F1041" s="35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>
      <c r="A1042" s="34">
        <v>1041.0</v>
      </c>
      <c r="B1042" s="34">
        <v>2017.0</v>
      </c>
      <c r="C1042" s="37">
        <v>7.0</v>
      </c>
      <c r="D1042" s="34">
        <v>1.0</v>
      </c>
      <c r="E1042" s="34">
        <v>5.0</v>
      </c>
      <c r="F1042" s="35" t="s">
        <v>16</v>
      </c>
      <c r="G1042" s="48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>
      <c r="A1043" s="10">
        <v>1042.0</v>
      </c>
      <c r="B1043" s="34">
        <v>2017.0</v>
      </c>
      <c r="C1043" s="37">
        <v>7.0</v>
      </c>
      <c r="D1043" s="34">
        <v>1.0</v>
      </c>
      <c r="E1043" s="34">
        <v>5.0</v>
      </c>
      <c r="F1043" s="35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>
      <c r="A1044" s="34">
        <v>1043.0</v>
      </c>
      <c r="B1044" s="34">
        <v>2017.0</v>
      </c>
      <c r="C1044" s="37">
        <v>7.0</v>
      </c>
      <c r="D1044" s="34">
        <v>1.0</v>
      </c>
      <c r="E1044" s="34">
        <v>5.0</v>
      </c>
      <c r="F1044" s="35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>
      <c r="A1045" s="34">
        <v>1044.0</v>
      </c>
      <c r="B1045" s="34">
        <v>2017.0</v>
      </c>
      <c r="C1045" s="37">
        <v>7.0</v>
      </c>
      <c r="D1045" s="34">
        <v>1.0</v>
      </c>
      <c r="E1045" s="34">
        <v>6.0</v>
      </c>
      <c r="F1045" s="35" t="s">
        <v>16</v>
      </c>
      <c r="G1045" s="48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>
      <c r="A1046" s="10">
        <v>1045.0</v>
      </c>
      <c r="B1046" s="34">
        <v>2017.0</v>
      </c>
      <c r="C1046" s="37">
        <v>7.0</v>
      </c>
      <c r="D1046" s="34">
        <v>1.0</v>
      </c>
      <c r="E1046" s="34">
        <v>6.0</v>
      </c>
      <c r="F1046" s="35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>
      <c r="A1047" s="34">
        <v>1046.0</v>
      </c>
      <c r="B1047" s="34">
        <v>2017.0</v>
      </c>
      <c r="C1047" s="37">
        <v>7.0</v>
      </c>
      <c r="D1047" s="34">
        <v>1.0</v>
      </c>
      <c r="E1047" s="34">
        <v>6.0</v>
      </c>
      <c r="F1047" s="35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>
      <c r="A1048" s="34">
        <v>1047.0</v>
      </c>
      <c r="B1048" s="34">
        <v>2017.0</v>
      </c>
      <c r="C1048" s="37">
        <v>7.0</v>
      </c>
      <c r="D1048" s="34">
        <v>1.0</v>
      </c>
      <c r="E1048" s="34">
        <v>7.0</v>
      </c>
      <c r="F1048" s="35" t="s">
        <v>16</v>
      </c>
      <c r="G1048" s="48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>
      <c r="A1049" s="10">
        <v>1048.0</v>
      </c>
      <c r="B1049" s="34">
        <v>2017.0</v>
      </c>
      <c r="C1049" s="37">
        <v>7.0</v>
      </c>
      <c r="D1049" s="34">
        <v>1.0</v>
      </c>
      <c r="E1049" s="34">
        <v>7.0</v>
      </c>
      <c r="F1049" s="35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>
      <c r="A1050" s="34">
        <v>1049.0</v>
      </c>
      <c r="B1050" s="34">
        <v>2017.0</v>
      </c>
      <c r="C1050" s="37">
        <v>7.0</v>
      </c>
      <c r="D1050" s="34">
        <v>1.0</v>
      </c>
      <c r="E1050" s="34">
        <v>7.0</v>
      </c>
      <c r="F1050" s="35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>
      <c r="A1051" s="34">
        <v>1050.0</v>
      </c>
      <c r="B1051" s="34">
        <v>2017.0</v>
      </c>
      <c r="C1051" s="37">
        <v>7.0</v>
      </c>
      <c r="D1051" s="34">
        <v>1.0</v>
      </c>
      <c r="E1051" s="34">
        <v>8.0</v>
      </c>
      <c r="F1051" s="35" t="s">
        <v>16</v>
      </c>
      <c r="G1051" s="48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>
      <c r="A1052" s="10">
        <v>1051.0</v>
      </c>
      <c r="B1052" s="34">
        <v>2017.0</v>
      </c>
      <c r="C1052" s="37">
        <v>7.0</v>
      </c>
      <c r="D1052" s="34">
        <v>1.0</v>
      </c>
      <c r="E1052" s="34">
        <v>8.0</v>
      </c>
      <c r="F1052" s="35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>
      <c r="A1053" s="34">
        <v>1052.0</v>
      </c>
      <c r="B1053" s="34">
        <v>2017.0</v>
      </c>
      <c r="C1053" s="37">
        <v>7.0</v>
      </c>
      <c r="D1053" s="34">
        <v>1.0</v>
      </c>
      <c r="E1053" s="34">
        <v>8.0</v>
      </c>
      <c r="F1053" s="35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>
      <c r="A1054" s="34">
        <v>1053.0</v>
      </c>
      <c r="B1054" s="34">
        <v>2017.0</v>
      </c>
      <c r="C1054" s="37">
        <v>7.0</v>
      </c>
      <c r="D1054" s="34">
        <v>1.0</v>
      </c>
      <c r="E1054" s="34">
        <v>9.0</v>
      </c>
      <c r="F1054" s="35" t="s">
        <v>16</v>
      </c>
      <c r="G1054" s="48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>
      <c r="A1055" s="10">
        <v>1054.0</v>
      </c>
      <c r="B1055" s="34">
        <v>2017.0</v>
      </c>
      <c r="C1055" s="37">
        <v>7.0</v>
      </c>
      <c r="D1055" s="34">
        <v>1.0</v>
      </c>
      <c r="E1055" s="34">
        <v>9.0</v>
      </c>
      <c r="F1055" s="35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>
      <c r="A1056" s="34">
        <v>1055.0</v>
      </c>
      <c r="B1056" s="34">
        <v>2017.0</v>
      </c>
      <c r="C1056" s="37">
        <v>7.0</v>
      </c>
      <c r="D1056" s="34">
        <v>1.0</v>
      </c>
      <c r="E1056" s="34">
        <v>9.0</v>
      </c>
      <c r="F1056" s="35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>
      <c r="A1057" s="34">
        <v>1056.0</v>
      </c>
      <c r="B1057" s="34">
        <v>2017.0</v>
      </c>
      <c r="C1057" s="37">
        <v>7.0</v>
      </c>
      <c r="D1057" s="34">
        <v>1.0</v>
      </c>
      <c r="E1057" s="34">
        <v>10.0</v>
      </c>
      <c r="F1057" s="35" t="s">
        <v>16</v>
      </c>
      <c r="G1057" s="48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>
      <c r="A1058" s="10">
        <v>1057.0</v>
      </c>
      <c r="B1058" s="34">
        <v>2017.0</v>
      </c>
      <c r="C1058" s="37">
        <v>7.0</v>
      </c>
      <c r="D1058" s="34">
        <v>1.0</v>
      </c>
      <c r="E1058" s="34">
        <v>10.0</v>
      </c>
      <c r="F1058" s="35" t="s">
        <v>16</v>
      </c>
      <c r="G1058" s="10" t="s">
        <v>141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>
      <c r="A1059" s="34">
        <v>1058.0</v>
      </c>
      <c r="B1059" s="34">
        <v>2017.0</v>
      </c>
      <c r="C1059" s="37">
        <v>7.0</v>
      </c>
      <c r="D1059" s="34">
        <v>1.0</v>
      </c>
      <c r="E1059" s="34">
        <v>10.0</v>
      </c>
      <c r="F1059" s="35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>
      <c r="A1060" s="34">
        <v>1059.0</v>
      </c>
      <c r="B1060" s="34">
        <v>2017.0</v>
      </c>
      <c r="C1060" s="37">
        <v>7.0</v>
      </c>
      <c r="D1060" s="34">
        <v>1.0</v>
      </c>
      <c r="E1060" s="34">
        <v>11.0</v>
      </c>
      <c r="F1060" s="35" t="s">
        <v>16</v>
      </c>
      <c r="G1060" s="48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>
      <c r="A1061" s="10">
        <v>1060.0</v>
      </c>
      <c r="B1061" s="34">
        <v>2017.0</v>
      </c>
      <c r="C1061" s="37">
        <v>7.0</v>
      </c>
      <c r="D1061" s="34">
        <v>1.0</v>
      </c>
      <c r="E1061" s="34">
        <v>11.0</v>
      </c>
      <c r="F1061" s="35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>
      <c r="A1062" s="34">
        <v>1061.0</v>
      </c>
      <c r="B1062" s="34">
        <v>2017.0</v>
      </c>
      <c r="C1062" s="37">
        <v>7.0</v>
      </c>
      <c r="D1062" s="34">
        <v>1.0</v>
      </c>
      <c r="E1062" s="34">
        <v>11.0</v>
      </c>
      <c r="F1062" s="35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>
      <c r="A1063" s="34">
        <v>1062.0</v>
      </c>
      <c r="B1063" s="34">
        <v>2017.0</v>
      </c>
      <c r="C1063" s="37">
        <v>7.0</v>
      </c>
      <c r="D1063" s="34">
        <v>1.0</v>
      </c>
      <c r="E1063" s="34">
        <v>12.0</v>
      </c>
      <c r="F1063" s="35" t="s">
        <v>16</v>
      </c>
      <c r="G1063" s="48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>
      <c r="A1064" s="10">
        <v>1063.0</v>
      </c>
      <c r="B1064" s="34">
        <v>2017.0</v>
      </c>
      <c r="C1064" s="37">
        <v>7.0</v>
      </c>
      <c r="D1064" s="34">
        <v>1.0</v>
      </c>
      <c r="E1064" s="34">
        <v>12.0</v>
      </c>
      <c r="F1064" s="35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>
      <c r="A1065" s="34">
        <v>1064.0</v>
      </c>
      <c r="B1065" s="34">
        <v>2017.0</v>
      </c>
      <c r="C1065" s="37">
        <v>7.0</v>
      </c>
      <c r="D1065" s="34">
        <v>1.0</v>
      </c>
      <c r="E1065" s="34">
        <v>12.0</v>
      </c>
      <c r="F1065" s="35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>
      <c r="A1066" s="34">
        <v>1065.0</v>
      </c>
      <c r="B1066" s="34">
        <v>2017.0</v>
      </c>
      <c r="C1066" s="37">
        <v>7.0</v>
      </c>
      <c r="D1066" s="34">
        <v>2.0</v>
      </c>
      <c r="E1066" s="34">
        <v>1.0</v>
      </c>
      <c r="F1066" s="35" t="s">
        <v>16</v>
      </c>
      <c r="G1066" s="48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>
      <c r="A1067" s="10">
        <v>1066.0</v>
      </c>
      <c r="B1067" s="34">
        <v>2017.0</v>
      </c>
      <c r="C1067" s="37">
        <v>7.0</v>
      </c>
      <c r="D1067" s="34">
        <v>2.0</v>
      </c>
      <c r="E1067" s="34">
        <v>1.0</v>
      </c>
      <c r="F1067" s="35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>
      <c r="A1068" s="34">
        <v>1067.0</v>
      </c>
      <c r="B1068" s="34">
        <v>2017.0</v>
      </c>
      <c r="C1068" s="37">
        <v>7.0</v>
      </c>
      <c r="D1068" s="34">
        <v>2.0</v>
      </c>
      <c r="E1068" s="34">
        <v>2.0</v>
      </c>
      <c r="F1068" s="35" t="s">
        <v>16</v>
      </c>
      <c r="G1068" s="48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>
      <c r="A1069" s="34">
        <v>1068.0</v>
      </c>
      <c r="B1069" s="34">
        <v>2017.0</v>
      </c>
      <c r="C1069" s="37">
        <v>7.0</v>
      </c>
      <c r="D1069" s="34">
        <v>2.0</v>
      </c>
      <c r="E1069" s="34">
        <v>2.0</v>
      </c>
      <c r="F1069" s="35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>
      <c r="A1070" s="10">
        <v>1069.0</v>
      </c>
      <c r="B1070" s="34">
        <v>2017.0</v>
      </c>
      <c r="C1070" s="37">
        <v>7.0</v>
      </c>
      <c r="D1070" s="34">
        <v>2.0</v>
      </c>
      <c r="E1070" s="34">
        <v>3.0</v>
      </c>
      <c r="F1070" s="35" t="s">
        <v>16</v>
      </c>
      <c r="G1070" s="48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>
      <c r="A1071" s="34">
        <v>1070.0</v>
      </c>
      <c r="B1071" s="34">
        <v>2017.0</v>
      </c>
      <c r="C1071" s="37">
        <v>7.0</v>
      </c>
      <c r="D1071" s="34">
        <v>2.0</v>
      </c>
      <c r="E1071" s="34">
        <v>3.0</v>
      </c>
      <c r="F1071" s="35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>
      <c r="A1072" s="34">
        <v>1071.0</v>
      </c>
      <c r="B1072" s="34">
        <v>2017.0</v>
      </c>
      <c r="C1072" s="37">
        <v>7.0</v>
      </c>
      <c r="D1072" s="34">
        <v>2.0</v>
      </c>
      <c r="E1072" s="34">
        <v>4.0</v>
      </c>
      <c r="F1072" s="35" t="s">
        <v>16</v>
      </c>
      <c r="G1072" s="48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>
      <c r="A1073" s="10">
        <v>1072.0</v>
      </c>
      <c r="B1073" s="34">
        <v>2017.0</v>
      </c>
      <c r="C1073" s="37">
        <v>7.0</v>
      </c>
      <c r="D1073" s="34">
        <v>2.0</v>
      </c>
      <c r="E1073" s="34">
        <v>4.0</v>
      </c>
      <c r="F1073" s="35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>
      <c r="A1074" s="34">
        <v>1073.0</v>
      </c>
      <c r="B1074" s="34">
        <v>2017.0</v>
      </c>
      <c r="C1074" s="37">
        <v>7.0</v>
      </c>
      <c r="D1074" s="34">
        <v>2.0</v>
      </c>
      <c r="E1074" s="34">
        <v>5.0</v>
      </c>
      <c r="F1074" s="35" t="s">
        <v>16</v>
      </c>
      <c r="G1074" s="48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>
      <c r="A1075" s="34">
        <v>1074.0</v>
      </c>
      <c r="B1075" s="34">
        <v>2017.0</v>
      </c>
      <c r="C1075" s="37">
        <v>7.0</v>
      </c>
      <c r="D1075" s="34">
        <v>2.0</v>
      </c>
      <c r="E1075" s="34">
        <v>5.0</v>
      </c>
      <c r="F1075" s="35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>
      <c r="A1076" s="10">
        <v>1075.0</v>
      </c>
      <c r="B1076" s="34">
        <v>2017.0</v>
      </c>
      <c r="C1076" s="37">
        <v>7.0</v>
      </c>
      <c r="D1076" s="34">
        <v>2.0</v>
      </c>
      <c r="E1076" s="34">
        <v>6.0</v>
      </c>
      <c r="F1076" s="35" t="s">
        <v>16</v>
      </c>
      <c r="G1076" s="48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>
      <c r="A1077" s="34">
        <v>1076.0</v>
      </c>
      <c r="B1077" s="34">
        <v>2017.0</v>
      </c>
      <c r="C1077" s="37">
        <v>7.0</v>
      </c>
      <c r="D1077" s="34">
        <v>2.0</v>
      </c>
      <c r="E1077" s="34">
        <v>6.0</v>
      </c>
      <c r="F1077" s="35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>
      <c r="A1078" s="34">
        <v>1077.0</v>
      </c>
      <c r="B1078" s="34">
        <v>2017.0</v>
      </c>
      <c r="C1078" s="37">
        <v>7.0</v>
      </c>
      <c r="D1078" s="34">
        <v>2.0</v>
      </c>
      <c r="E1078" s="34">
        <v>7.0</v>
      </c>
      <c r="F1078" s="35" t="s">
        <v>16</v>
      </c>
      <c r="G1078" s="48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>
      <c r="A1079" s="10">
        <v>1078.0</v>
      </c>
      <c r="B1079" s="34">
        <v>2017.0</v>
      </c>
      <c r="C1079" s="37">
        <v>7.0</v>
      </c>
      <c r="D1079" s="34">
        <v>2.0</v>
      </c>
      <c r="E1079" s="34">
        <v>7.0</v>
      </c>
      <c r="F1079" s="35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>
      <c r="A1080" s="34">
        <v>1079.0</v>
      </c>
      <c r="B1080" s="34">
        <v>2017.0</v>
      </c>
      <c r="C1080" s="37">
        <v>7.0</v>
      </c>
      <c r="D1080" s="34">
        <v>2.0</v>
      </c>
      <c r="E1080" s="34">
        <v>8.0</v>
      </c>
      <c r="F1080" s="35" t="s">
        <v>16</v>
      </c>
      <c r="G1080" s="48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>
      <c r="A1081" s="34">
        <v>1080.0</v>
      </c>
      <c r="B1081" s="34">
        <v>2017.0</v>
      </c>
      <c r="C1081" s="37">
        <v>7.0</v>
      </c>
      <c r="D1081" s="34">
        <v>2.0</v>
      </c>
      <c r="E1081" s="34">
        <v>8.0</v>
      </c>
      <c r="F1081" s="35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>
      <c r="A1082" s="10">
        <v>1081.0</v>
      </c>
      <c r="B1082" s="34">
        <v>2017.0</v>
      </c>
      <c r="C1082" s="37">
        <v>7.0</v>
      </c>
      <c r="D1082" s="34">
        <v>2.0</v>
      </c>
      <c r="E1082" s="34">
        <v>9.0</v>
      </c>
      <c r="F1082" s="35" t="s">
        <v>16</v>
      </c>
      <c r="G1082" s="48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>
      <c r="A1083" s="34">
        <v>1082.0</v>
      </c>
      <c r="B1083" s="34">
        <v>2017.0</v>
      </c>
      <c r="C1083" s="37">
        <v>7.0</v>
      </c>
      <c r="D1083" s="34">
        <v>2.0</v>
      </c>
      <c r="E1083" s="34">
        <v>9.0</v>
      </c>
      <c r="F1083" s="35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>
      <c r="A1084" s="34">
        <v>1083.0</v>
      </c>
      <c r="B1084" s="34">
        <v>2017.0</v>
      </c>
      <c r="C1084" s="37">
        <v>7.0</v>
      </c>
      <c r="D1084" s="34">
        <v>2.0</v>
      </c>
      <c r="E1084" s="34">
        <v>10.0</v>
      </c>
      <c r="F1084" s="35" t="s">
        <v>16</v>
      </c>
      <c r="G1084" s="48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>
      <c r="A1085" s="10">
        <v>1084.0</v>
      </c>
      <c r="B1085" s="34">
        <v>2017.0</v>
      </c>
      <c r="C1085" s="37">
        <v>7.0</v>
      </c>
      <c r="D1085" s="34">
        <v>2.0</v>
      </c>
      <c r="E1085" s="34">
        <v>10.0</v>
      </c>
      <c r="F1085" s="35" t="s">
        <v>16</v>
      </c>
      <c r="G1085" s="10" t="s">
        <v>141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>
      <c r="A1086" s="34">
        <v>1085.0</v>
      </c>
      <c r="B1086" s="34">
        <v>2017.0</v>
      </c>
      <c r="C1086" s="37">
        <v>7.0</v>
      </c>
      <c r="D1086" s="34">
        <v>2.0</v>
      </c>
      <c r="E1086" s="34">
        <v>11.0</v>
      </c>
      <c r="F1086" s="35" t="s">
        <v>16</v>
      </c>
      <c r="G1086" s="48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>
      <c r="A1087" s="34">
        <v>1086.0</v>
      </c>
      <c r="B1087" s="34">
        <v>2017.0</v>
      </c>
      <c r="C1087" s="37">
        <v>7.0</v>
      </c>
      <c r="D1087" s="34">
        <v>2.0</v>
      </c>
      <c r="E1087" s="34">
        <v>11.0</v>
      </c>
      <c r="F1087" s="35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>
      <c r="A1088" s="10">
        <v>1087.0</v>
      </c>
      <c r="B1088" s="34">
        <v>2017.0</v>
      </c>
      <c r="C1088" s="37">
        <v>7.0</v>
      </c>
      <c r="D1088" s="34">
        <v>2.0</v>
      </c>
      <c r="E1088" s="34">
        <v>12.0</v>
      </c>
      <c r="F1088" s="35" t="s">
        <v>16</v>
      </c>
      <c r="G1088" s="48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>
      <c r="A1089" s="34">
        <v>1088.0</v>
      </c>
      <c r="B1089" s="34">
        <v>2017.0</v>
      </c>
      <c r="C1089" s="37">
        <v>7.0</v>
      </c>
      <c r="D1089" s="34">
        <v>2.0</v>
      </c>
      <c r="E1089" s="34">
        <v>12.0</v>
      </c>
      <c r="F1089" s="35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>
      <c r="A1090" s="34">
        <v>1089.0</v>
      </c>
      <c r="B1090" s="34">
        <v>2017.0</v>
      </c>
      <c r="C1090" s="37">
        <v>7.0</v>
      </c>
      <c r="D1090" s="34">
        <v>3.0</v>
      </c>
      <c r="E1090" s="34">
        <v>1.0</v>
      </c>
      <c r="F1090" s="35" t="s">
        <v>16</v>
      </c>
      <c r="G1090" s="48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>
      <c r="A1091" s="10">
        <v>1090.0</v>
      </c>
      <c r="B1091" s="34">
        <v>2017.0</v>
      </c>
      <c r="C1091" s="37">
        <v>7.0</v>
      </c>
      <c r="D1091" s="34">
        <v>3.0</v>
      </c>
      <c r="E1091" s="34">
        <v>1.0</v>
      </c>
      <c r="F1091" s="35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>
      <c r="A1092" s="34">
        <v>1091.0</v>
      </c>
      <c r="B1092" s="34">
        <v>2017.0</v>
      </c>
      <c r="C1092" s="37">
        <v>7.0</v>
      </c>
      <c r="D1092" s="34">
        <v>3.0</v>
      </c>
      <c r="E1092" s="34">
        <v>2.0</v>
      </c>
      <c r="F1092" s="35" t="s">
        <v>16</v>
      </c>
      <c r="G1092" s="48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>
      <c r="A1093" s="34">
        <v>1092.0</v>
      </c>
      <c r="B1093" s="34">
        <v>2017.0</v>
      </c>
      <c r="C1093" s="37">
        <v>7.0</v>
      </c>
      <c r="D1093" s="34">
        <v>3.0</v>
      </c>
      <c r="E1093" s="34">
        <v>2.0</v>
      </c>
      <c r="F1093" s="35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>
      <c r="A1094" s="10">
        <v>1093.0</v>
      </c>
      <c r="B1094" s="34">
        <v>2017.0</v>
      </c>
      <c r="C1094" s="37">
        <v>7.0</v>
      </c>
      <c r="D1094" s="34">
        <v>3.0</v>
      </c>
      <c r="E1094" s="34">
        <v>3.0</v>
      </c>
      <c r="F1094" s="35" t="s">
        <v>16</v>
      </c>
      <c r="G1094" s="48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>
      <c r="A1095" s="34">
        <v>1094.0</v>
      </c>
      <c r="B1095" s="34">
        <v>2017.0</v>
      </c>
      <c r="C1095" s="37">
        <v>7.0</v>
      </c>
      <c r="D1095" s="34">
        <v>3.0</v>
      </c>
      <c r="E1095" s="34">
        <v>3.0</v>
      </c>
      <c r="F1095" s="35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>
      <c r="A1096" s="34">
        <v>1095.0</v>
      </c>
      <c r="B1096" s="34">
        <v>2017.0</v>
      </c>
      <c r="C1096" s="37">
        <v>7.0</v>
      </c>
      <c r="D1096" s="34">
        <v>3.0</v>
      </c>
      <c r="E1096" s="34">
        <v>4.0</v>
      </c>
      <c r="F1096" s="35" t="s">
        <v>16</v>
      </c>
      <c r="G1096" s="48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>
      <c r="A1097" s="10">
        <v>1096.0</v>
      </c>
      <c r="B1097" s="34">
        <v>2017.0</v>
      </c>
      <c r="C1097" s="37">
        <v>7.0</v>
      </c>
      <c r="D1097" s="34">
        <v>3.0</v>
      </c>
      <c r="E1097" s="34">
        <v>4.0</v>
      </c>
      <c r="F1097" s="35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>
      <c r="A1098" s="34">
        <v>1097.0</v>
      </c>
      <c r="B1098" s="34">
        <v>2017.0</v>
      </c>
      <c r="C1098" s="37">
        <v>7.0</v>
      </c>
      <c r="D1098" s="34">
        <v>3.0</v>
      </c>
      <c r="E1098" s="34">
        <v>5.0</v>
      </c>
      <c r="F1098" s="35" t="s">
        <v>16</v>
      </c>
      <c r="G1098" s="48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>
      <c r="A1099" s="34">
        <v>1098.0</v>
      </c>
      <c r="B1099" s="34">
        <v>2017.0</v>
      </c>
      <c r="C1099" s="37">
        <v>7.0</v>
      </c>
      <c r="D1099" s="34">
        <v>3.0</v>
      </c>
      <c r="E1099" s="34">
        <v>5.0</v>
      </c>
      <c r="F1099" s="35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>
      <c r="A1100" s="10">
        <v>1099.0</v>
      </c>
      <c r="B1100" s="34">
        <v>2017.0</v>
      </c>
      <c r="C1100" s="37">
        <v>7.0</v>
      </c>
      <c r="D1100" s="34">
        <v>3.0</v>
      </c>
      <c r="E1100" s="34">
        <v>6.0</v>
      </c>
      <c r="F1100" s="35" t="s">
        <v>16</v>
      </c>
      <c r="G1100" s="48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>
      <c r="A1101" s="34">
        <v>1100.0</v>
      </c>
      <c r="B1101" s="34">
        <v>2017.0</v>
      </c>
      <c r="C1101" s="37">
        <v>7.0</v>
      </c>
      <c r="D1101" s="34">
        <v>3.0</v>
      </c>
      <c r="E1101" s="34">
        <v>6.0</v>
      </c>
      <c r="F1101" s="35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>
      <c r="A1102" s="34">
        <v>1101.0</v>
      </c>
      <c r="B1102" s="34">
        <v>2017.0</v>
      </c>
      <c r="C1102" s="37">
        <v>7.0</v>
      </c>
      <c r="D1102" s="34">
        <v>3.0</v>
      </c>
      <c r="E1102" s="34">
        <v>7.0</v>
      </c>
      <c r="F1102" s="35" t="s">
        <v>16</v>
      </c>
      <c r="G1102" s="48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>
      <c r="A1103" s="10">
        <v>1102.0</v>
      </c>
      <c r="B1103" s="34">
        <v>2017.0</v>
      </c>
      <c r="C1103" s="37">
        <v>7.0</v>
      </c>
      <c r="D1103" s="34">
        <v>3.0</v>
      </c>
      <c r="E1103" s="34">
        <v>7.0</v>
      </c>
      <c r="F1103" s="35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>
      <c r="A1104" s="34">
        <v>1103.0</v>
      </c>
      <c r="B1104" s="34">
        <v>2017.0</v>
      </c>
      <c r="C1104" s="37">
        <v>7.0</v>
      </c>
      <c r="D1104" s="34">
        <v>3.0</v>
      </c>
      <c r="E1104" s="34">
        <v>8.0</v>
      </c>
      <c r="F1104" s="35" t="s">
        <v>16</v>
      </c>
      <c r="G1104" s="48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>
      <c r="A1105" s="34">
        <v>1104.0</v>
      </c>
      <c r="B1105" s="34">
        <v>2017.0</v>
      </c>
      <c r="C1105" s="37">
        <v>7.0</v>
      </c>
      <c r="D1105" s="34">
        <v>3.0</v>
      </c>
      <c r="E1105" s="34">
        <v>8.0</v>
      </c>
      <c r="F1105" s="35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>
      <c r="A1106" s="10">
        <v>1105.0</v>
      </c>
      <c r="B1106" s="34">
        <v>2017.0</v>
      </c>
      <c r="C1106" s="37">
        <v>7.0</v>
      </c>
      <c r="D1106" s="34">
        <v>3.0</v>
      </c>
      <c r="E1106" s="34">
        <v>9.0</v>
      </c>
      <c r="F1106" s="35" t="s">
        <v>16</v>
      </c>
      <c r="G1106" s="48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>
      <c r="A1107" s="34">
        <v>1106.0</v>
      </c>
      <c r="B1107" s="34">
        <v>2017.0</v>
      </c>
      <c r="C1107" s="37">
        <v>7.0</v>
      </c>
      <c r="D1107" s="34">
        <v>3.0</v>
      </c>
      <c r="E1107" s="34">
        <v>9.0</v>
      </c>
      <c r="F1107" s="35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>
      <c r="A1108" s="34">
        <v>1107.0</v>
      </c>
      <c r="B1108" s="34">
        <v>2017.0</v>
      </c>
      <c r="C1108" s="37">
        <v>7.0</v>
      </c>
      <c r="D1108" s="34">
        <v>3.0</v>
      </c>
      <c r="E1108" s="34">
        <v>10.0</v>
      </c>
      <c r="F1108" s="35" t="s">
        <v>16</v>
      </c>
      <c r="G1108" s="48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>
      <c r="A1109" s="10">
        <v>1108.0</v>
      </c>
      <c r="B1109" s="34">
        <v>2017.0</v>
      </c>
      <c r="C1109" s="37">
        <v>7.0</v>
      </c>
      <c r="D1109" s="34">
        <v>3.0</v>
      </c>
      <c r="E1109" s="34">
        <v>10.0</v>
      </c>
      <c r="F1109" s="35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>
      <c r="A1110" s="34">
        <v>1109.0</v>
      </c>
      <c r="B1110" s="34">
        <v>2017.0</v>
      </c>
      <c r="C1110" s="37">
        <v>7.0</v>
      </c>
      <c r="D1110" s="34">
        <v>3.0</v>
      </c>
      <c r="E1110" s="34">
        <v>11.0</v>
      </c>
      <c r="F1110" s="35" t="s">
        <v>16</v>
      </c>
      <c r="G1110" s="48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>
      <c r="A1111" s="34">
        <v>1110.0</v>
      </c>
      <c r="B1111" s="34">
        <v>2017.0</v>
      </c>
      <c r="C1111" s="37">
        <v>7.0</v>
      </c>
      <c r="D1111" s="34">
        <v>3.0</v>
      </c>
      <c r="E1111" s="34">
        <v>11.0</v>
      </c>
      <c r="F1111" s="35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>
      <c r="A1112" s="10">
        <v>1111.0</v>
      </c>
      <c r="B1112" s="34">
        <v>2017.0</v>
      </c>
      <c r="C1112" s="37">
        <v>7.0</v>
      </c>
      <c r="D1112" s="34">
        <v>3.0</v>
      </c>
      <c r="E1112" s="34">
        <v>12.0</v>
      </c>
      <c r="F1112" s="35" t="s">
        <v>16</v>
      </c>
      <c r="G1112" s="48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>
      <c r="A1113" s="34">
        <v>1112.0</v>
      </c>
      <c r="B1113" s="34">
        <v>2017.0</v>
      </c>
      <c r="C1113" s="37">
        <v>7.0</v>
      </c>
      <c r="D1113" s="34">
        <v>3.0</v>
      </c>
      <c r="E1113" s="34">
        <v>12.0</v>
      </c>
      <c r="F1113" s="35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>
      <c r="A1114" s="34">
        <v>1113.0</v>
      </c>
      <c r="B1114" s="34">
        <v>2017.0</v>
      </c>
      <c r="C1114" s="37">
        <v>7.0</v>
      </c>
      <c r="D1114" s="34">
        <v>4.0</v>
      </c>
      <c r="E1114" s="34">
        <v>1.0</v>
      </c>
      <c r="F1114" s="35" t="s">
        <v>16</v>
      </c>
      <c r="G1114" s="48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>
      <c r="A1115" s="10">
        <v>1114.0</v>
      </c>
      <c r="B1115" s="34">
        <v>2017.0</v>
      </c>
      <c r="C1115" s="37">
        <v>7.0</v>
      </c>
      <c r="D1115" s="34">
        <v>4.0</v>
      </c>
      <c r="E1115" s="34">
        <v>1.0</v>
      </c>
      <c r="F1115" s="35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>
      <c r="A1116" s="34">
        <v>1115.0</v>
      </c>
      <c r="B1116" s="34">
        <v>2017.0</v>
      </c>
      <c r="C1116" s="37">
        <v>7.0</v>
      </c>
      <c r="D1116" s="34">
        <v>4.0</v>
      </c>
      <c r="E1116" s="34">
        <v>1.0</v>
      </c>
      <c r="F1116" s="35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>
      <c r="A1117" s="34">
        <v>1116.0</v>
      </c>
      <c r="B1117" s="34">
        <v>2017.0</v>
      </c>
      <c r="C1117" s="37">
        <v>7.0</v>
      </c>
      <c r="D1117" s="34">
        <v>4.0</v>
      </c>
      <c r="E1117" s="34">
        <v>2.0</v>
      </c>
      <c r="F1117" s="35" t="s">
        <v>16</v>
      </c>
      <c r="G1117" s="48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>
      <c r="A1118" s="10">
        <v>1117.0</v>
      </c>
      <c r="B1118" s="34">
        <v>2017.0</v>
      </c>
      <c r="C1118" s="37">
        <v>7.0</v>
      </c>
      <c r="D1118" s="34">
        <v>4.0</v>
      </c>
      <c r="E1118" s="34">
        <v>2.0</v>
      </c>
      <c r="F1118" s="35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>
      <c r="A1119" s="34">
        <v>1118.0</v>
      </c>
      <c r="B1119" s="34">
        <v>2017.0</v>
      </c>
      <c r="C1119" s="37">
        <v>7.0</v>
      </c>
      <c r="D1119" s="34">
        <v>4.0</v>
      </c>
      <c r="E1119" s="34">
        <v>2.0</v>
      </c>
      <c r="F1119" s="35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>
      <c r="A1120" s="34">
        <v>1119.0</v>
      </c>
      <c r="B1120" s="34">
        <v>2017.0</v>
      </c>
      <c r="C1120" s="37">
        <v>7.0</v>
      </c>
      <c r="D1120" s="34">
        <v>4.0</v>
      </c>
      <c r="E1120" s="34">
        <v>3.0</v>
      </c>
      <c r="F1120" s="35" t="s">
        <v>16</v>
      </c>
      <c r="G1120" s="48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>
      <c r="A1121" s="10">
        <v>1120.0</v>
      </c>
      <c r="B1121" s="34">
        <v>2017.0</v>
      </c>
      <c r="C1121" s="37">
        <v>7.0</v>
      </c>
      <c r="D1121" s="34">
        <v>4.0</v>
      </c>
      <c r="E1121" s="34">
        <v>3.0</v>
      </c>
      <c r="F1121" s="35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>
      <c r="A1122" s="34">
        <v>1121.0</v>
      </c>
      <c r="B1122" s="34">
        <v>2017.0</v>
      </c>
      <c r="C1122" s="37">
        <v>7.0</v>
      </c>
      <c r="D1122" s="34">
        <v>4.0</v>
      </c>
      <c r="E1122" s="34">
        <v>3.0</v>
      </c>
      <c r="F1122" s="35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>
      <c r="A1123" s="34">
        <v>1122.0</v>
      </c>
      <c r="B1123" s="34">
        <v>2017.0</v>
      </c>
      <c r="C1123" s="37">
        <v>7.0</v>
      </c>
      <c r="D1123" s="34">
        <v>4.0</v>
      </c>
      <c r="E1123" s="34">
        <v>4.0</v>
      </c>
      <c r="F1123" s="35" t="s">
        <v>16</v>
      </c>
      <c r="G1123" s="48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>
      <c r="A1124" s="10">
        <v>1123.0</v>
      </c>
      <c r="B1124" s="34">
        <v>2017.0</v>
      </c>
      <c r="C1124" s="37">
        <v>7.0</v>
      </c>
      <c r="D1124" s="34">
        <v>4.0</v>
      </c>
      <c r="E1124" s="34">
        <v>4.0</v>
      </c>
      <c r="F1124" s="35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>
      <c r="A1125" s="34">
        <v>1124.0</v>
      </c>
      <c r="B1125" s="34">
        <v>2017.0</v>
      </c>
      <c r="C1125" s="37">
        <v>7.0</v>
      </c>
      <c r="D1125" s="34">
        <v>4.0</v>
      </c>
      <c r="E1125" s="34">
        <v>4.0</v>
      </c>
      <c r="F1125" s="35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>
      <c r="A1126" s="34">
        <v>1125.0</v>
      </c>
      <c r="B1126" s="34">
        <v>2017.0</v>
      </c>
      <c r="C1126" s="37">
        <v>7.0</v>
      </c>
      <c r="D1126" s="34">
        <v>5.0</v>
      </c>
      <c r="E1126" s="34">
        <v>1.0</v>
      </c>
      <c r="F1126" s="35" t="s">
        <v>16</v>
      </c>
      <c r="G1126" s="48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>
      <c r="A1127" s="10">
        <v>1126.0</v>
      </c>
      <c r="B1127" s="34">
        <v>2017.0</v>
      </c>
      <c r="C1127" s="37">
        <v>7.0</v>
      </c>
      <c r="D1127" s="34">
        <v>5.0</v>
      </c>
      <c r="E1127" s="34">
        <v>1.0</v>
      </c>
      <c r="F1127" s="35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>
      <c r="A1128" s="34">
        <v>1127.0</v>
      </c>
      <c r="B1128" s="34">
        <v>2017.0</v>
      </c>
      <c r="C1128" s="37">
        <v>7.0</v>
      </c>
      <c r="D1128" s="34">
        <v>5.0</v>
      </c>
      <c r="E1128" s="34">
        <v>2.0</v>
      </c>
      <c r="F1128" s="35" t="s">
        <v>16</v>
      </c>
      <c r="G1128" s="48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>
      <c r="A1129" s="34">
        <v>1128.0</v>
      </c>
      <c r="B1129" s="34">
        <v>2017.0</v>
      </c>
      <c r="C1129" s="37">
        <v>7.0</v>
      </c>
      <c r="D1129" s="34">
        <v>5.0</v>
      </c>
      <c r="E1129" s="34">
        <v>2.0</v>
      </c>
      <c r="F1129" s="35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>
      <c r="A1130" s="10">
        <v>1129.0</v>
      </c>
      <c r="B1130" s="34">
        <v>2017.0</v>
      </c>
      <c r="C1130" s="37">
        <v>7.0</v>
      </c>
      <c r="D1130" s="34">
        <v>5.0</v>
      </c>
      <c r="E1130" s="34">
        <v>3.0</v>
      </c>
      <c r="F1130" s="35" t="s">
        <v>16</v>
      </c>
      <c r="G1130" s="48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>
      <c r="A1131" s="34">
        <v>1130.0</v>
      </c>
      <c r="B1131" s="34">
        <v>2017.0</v>
      </c>
      <c r="C1131" s="37">
        <v>7.0</v>
      </c>
      <c r="D1131" s="34">
        <v>5.0</v>
      </c>
      <c r="E1131" s="34">
        <v>3.0</v>
      </c>
      <c r="F1131" s="35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>
      <c r="A1132" s="34">
        <v>1131.0</v>
      </c>
      <c r="B1132" s="34">
        <v>2017.0</v>
      </c>
      <c r="C1132" s="37">
        <v>7.0</v>
      </c>
      <c r="D1132" s="34">
        <v>5.0</v>
      </c>
      <c r="E1132" s="34">
        <v>4.0</v>
      </c>
      <c r="F1132" s="35" t="s">
        <v>16</v>
      </c>
      <c r="G1132" s="48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>
      <c r="A1133" s="10">
        <v>1132.0</v>
      </c>
      <c r="B1133" s="34">
        <v>2017.0</v>
      </c>
      <c r="C1133" s="37">
        <v>7.0</v>
      </c>
      <c r="D1133" s="34">
        <v>5.0</v>
      </c>
      <c r="E1133" s="34">
        <v>4.0</v>
      </c>
      <c r="F1133" s="35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>
      <c r="A1134" s="34">
        <v>1133.0</v>
      </c>
      <c r="B1134" s="34">
        <v>2017.0</v>
      </c>
      <c r="C1134" s="37">
        <v>7.0</v>
      </c>
      <c r="D1134" s="34">
        <v>6.0</v>
      </c>
      <c r="E1134" s="34">
        <v>1.0</v>
      </c>
      <c r="F1134" s="35" t="s">
        <v>16</v>
      </c>
      <c r="G1134" s="48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>
      <c r="A1135" s="34">
        <v>1134.0</v>
      </c>
      <c r="B1135" s="34">
        <v>2017.0</v>
      </c>
      <c r="C1135" s="37">
        <v>7.0</v>
      </c>
      <c r="D1135" s="34">
        <v>6.0</v>
      </c>
      <c r="E1135" s="34">
        <v>1.0</v>
      </c>
      <c r="F1135" s="35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>
      <c r="A1136" s="10">
        <v>1135.0</v>
      </c>
      <c r="B1136" s="34">
        <v>2017.0</v>
      </c>
      <c r="C1136" s="37">
        <v>7.0</v>
      </c>
      <c r="D1136" s="34">
        <v>6.0</v>
      </c>
      <c r="E1136" s="34">
        <v>2.0</v>
      </c>
      <c r="F1136" s="35" t="s">
        <v>16</v>
      </c>
      <c r="G1136" s="48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>
      <c r="A1137" s="34">
        <v>1136.0</v>
      </c>
      <c r="B1137" s="34">
        <v>2017.0</v>
      </c>
      <c r="C1137" s="37">
        <v>7.0</v>
      </c>
      <c r="D1137" s="34">
        <v>6.0</v>
      </c>
      <c r="E1137" s="34">
        <v>2.0</v>
      </c>
      <c r="F1137" s="35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>
      <c r="A1138" s="34">
        <v>1137.0</v>
      </c>
      <c r="B1138" s="34">
        <v>2017.0</v>
      </c>
      <c r="C1138" s="37">
        <v>7.0</v>
      </c>
      <c r="D1138" s="34">
        <v>6.0</v>
      </c>
      <c r="E1138" s="34">
        <v>3.0</v>
      </c>
      <c r="F1138" s="35" t="s">
        <v>16</v>
      </c>
      <c r="G1138" s="48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>
      <c r="A1139" s="10">
        <v>1138.0</v>
      </c>
      <c r="B1139" s="34">
        <v>2017.0</v>
      </c>
      <c r="C1139" s="37">
        <v>7.0</v>
      </c>
      <c r="D1139" s="34">
        <v>6.0</v>
      </c>
      <c r="E1139" s="34">
        <v>3.0</v>
      </c>
      <c r="F1139" s="35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>
      <c r="A1140" s="34">
        <v>1139.0</v>
      </c>
      <c r="B1140" s="34">
        <v>2017.0</v>
      </c>
      <c r="C1140" s="37">
        <v>7.0</v>
      </c>
      <c r="D1140" s="34">
        <v>6.0</v>
      </c>
      <c r="E1140" s="34">
        <v>4.0</v>
      </c>
      <c r="F1140" s="35" t="s">
        <v>16</v>
      </c>
      <c r="G1140" s="48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>
      <c r="A1141" s="34">
        <v>1140.0</v>
      </c>
      <c r="B1141" s="34">
        <v>2017.0</v>
      </c>
      <c r="C1141" s="37">
        <v>7.0</v>
      </c>
      <c r="D1141" s="34">
        <v>6.0</v>
      </c>
      <c r="E1141" s="34">
        <v>4.0</v>
      </c>
      <c r="F1141" s="35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>
      <c r="A1142" s="10">
        <v>1141.0</v>
      </c>
      <c r="B1142" s="34">
        <v>2017.0</v>
      </c>
      <c r="C1142" s="37">
        <v>7.0</v>
      </c>
      <c r="D1142" s="34">
        <v>7.0</v>
      </c>
      <c r="E1142" s="34">
        <v>1.0</v>
      </c>
      <c r="F1142" s="35" t="s">
        <v>16</v>
      </c>
      <c r="G1142" s="48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>
      <c r="A1143" s="34">
        <v>1142.0</v>
      </c>
      <c r="B1143" s="34">
        <v>2017.0</v>
      </c>
      <c r="C1143" s="37">
        <v>7.0</v>
      </c>
      <c r="D1143" s="34">
        <v>7.0</v>
      </c>
      <c r="E1143" s="34">
        <v>1.0</v>
      </c>
      <c r="F1143" s="35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>
      <c r="A1144" s="34">
        <v>1143.0</v>
      </c>
      <c r="B1144" s="34">
        <v>2017.0</v>
      </c>
      <c r="C1144" s="37">
        <v>7.0</v>
      </c>
      <c r="D1144" s="34">
        <v>7.0</v>
      </c>
      <c r="E1144" s="34">
        <v>2.0</v>
      </c>
      <c r="F1144" s="35" t="s">
        <v>16</v>
      </c>
      <c r="G1144" s="48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>
      <c r="A1145" s="10">
        <v>1144.0</v>
      </c>
      <c r="B1145" s="34">
        <v>2017.0</v>
      </c>
      <c r="C1145" s="37">
        <v>7.0</v>
      </c>
      <c r="D1145" s="34">
        <v>7.0</v>
      </c>
      <c r="E1145" s="34">
        <v>2.0</v>
      </c>
      <c r="F1145" s="35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>
      <c r="A1146" s="34">
        <v>1145.0</v>
      </c>
      <c r="B1146" s="34">
        <v>2017.0</v>
      </c>
      <c r="C1146" s="37">
        <v>7.0</v>
      </c>
      <c r="D1146" s="34">
        <v>8.0</v>
      </c>
      <c r="E1146" s="34">
        <v>1.0</v>
      </c>
      <c r="F1146" s="35" t="s">
        <v>16</v>
      </c>
      <c r="G1146" s="48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>
      <c r="A1147" s="34">
        <v>1146.0</v>
      </c>
      <c r="B1147" s="34">
        <v>2017.0</v>
      </c>
      <c r="C1147" s="37">
        <v>7.0</v>
      </c>
      <c r="D1147" s="34">
        <v>8.0</v>
      </c>
      <c r="E1147" s="34">
        <v>1.0</v>
      </c>
      <c r="F1147" s="35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>
      <c r="A1148" s="10">
        <v>1147.0</v>
      </c>
      <c r="B1148" s="34">
        <v>2017.0</v>
      </c>
      <c r="C1148" s="37">
        <v>8.0</v>
      </c>
      <c r="D1148" s="34">
        <v>1.0</v>
      </c>
      <c r="E1148" s="34">
        <v>1.0</v>
      </c>
      <c r="F1148" s="35" t="s">
        <v>16</v>
      </c>
      <c r="G1148" s="49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>
      <c r="A1149" s="34">
        <v>1148.0</v>
      </c>
      <c r="B1149" s="34">
        <v>2017.0</v>
      </c>
      <c r="C1149" s="37">
        <v>8.0</v>
      </c>
      <c r="D1149" s="34">
        <v>1.0</v>
      </c>
      <c r="E1149" s="34">
        <v>1.0</v>
      </c>
      <c r="F1149" s="35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>
      <c r="A1150" s="34">
        <v>1149.0</v>
      </c>
      <c r="B1150" s="34">
        <v>2017.0</v>
      </c>
      <c r="C1150" s="37">
        <v>8.0</v>
      </c>
      <c r="D1150" s="34">
        <v>1.0</v>
      </c>
      <c r="E1150" s="34">
        <v>1.0</v>
      </c>
      <c r="F1150" s="35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>
      <c r="A1151" s="10">
        <v>1150.0</v>
      </c>
      <c r="B1151" s="34">
        <v>2017.0</v>
      </c>
      <c r="C1151" s="37">
        <v>8.0</v>
      </c>
      <c r="D1151" s="34">
        <v>1.0</v>
      </c>
      <c r="E1151" s="34">
        <v>2.0</v>
      </c>
      <c r="F1151" s="35" t="s">
        <v>16</v>
      </c>
      <c r="G1151" s="49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>
      <c r="A1152" s="34">
        <v>1151.0</v>
      </c>
      <c r="B1152" s="34">
        <v>2017.0</v>
      </c>
      <c r="C1152" s="37">
        <v>8.0</v>
      </c>
      <c r="D1152" s="34">
        <v>1.0</v>
      </c>
      <c r="E1152" s="34">
        <v>2.0</v>
      </c>
      <c r="F1152" s="35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>
      <c r="A1153" s="34">
        <v>1152.0</v>
      </c>
      <c r="B1153" s="34">
        <v>2017.0</v>
      </c>
      <c r="C1153" s="37">
        <v>8.0</v>
      </c>
      <c r="D1153" s="34">
        <v>1.0</v>
      </c>
      <c r="E1153" s="34">
        <v>2.0</v>
      </c>
      <c r="F1153" s="35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>
      <c r="A1154" s="10">
        <v>1153.0</v>
      </c>
      <c r="B1154" s="34">
        <v>2017.0</v>
      </c>
      <c r="C1154" s="37">
        <v>8.0</v>
      </c>
      <c r="D1154" s="34">
        <v>1.0</v>
      </c>
      <c r="E1154" s="34">
        <v>3.0</v>
      </c>
      <c r="F1154" s="35" t="s">
        <v>16</v>
      </c>
      <c r="G1154" s="49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>
      <c r="A1155" s="34">
        <v>1154.0</v>
      </c>
      <c r="B1155" s="34">
        <v>2017.0</v>
      </c>
      <c r="C1155" s="37">
        <v>8.0</v>
      </c>
      <c r="D1155" s="34">
        <v>1.0</v>
      </c>
      <c r="E1155" s="34">
        <v>3.0</v>
      </c>
      <c r="F1155" s="35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>
      <c r="A1156" s="34">
        <v>1155.0</v>
      </c>
      <c r="B1156" s="34">
        <v>2017.0</v>
      </c>
      <c r="C1156" s="37">
        <v>8.0</v>
      </c>
      <c r="D1156" s="34">
        <v>1.0</v>
      </c>
      <c r="E1156" s="34">
        <v>3.0</v>
      </c>
      <c r="F1156" s="35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>
      <c r="A1157" s="10">
        <v>1156.0</v>
      </c>
      <c r="B1157" s="34">
        <v>2017.0</v>
      </c>
      <c r="C1157" s="37">
        <v>8.0</v>
      </c>
      <c r="D1157" s="34">
        <v>1.0</v>
      </c>
      <c r="E1157" s="34">
        <v>4.0</v>
      </c>
      <c r="F1157" s="35" t="s">
        <v>16</v>
      </c>
      <c r="G1157" s="49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>
      <c r="A1158" s="34">
        <v>1157.0</v>
      </c>
      <c r="B1158" s="34">
        <v>2017.0</v>
      </c>
      <c r="C1158" s="37">
        <v>8.0</v>
      </c>
      <c r="D1158" s="34">
        <v>1.0</v>
      </c>
      <c r="E1158" s="34">
        <v>4.0</v>
      </c>
      <c r="F1158" s="35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>
      <c r="A1159" s="34">
        <v>1158.0</v>
      </c>
      <c r="B1159" s="34">
        <v>2017.0</v>
      </c>
      <c r="C1159" s="37">
        <v>8.0</v>
      </c>
      <c r="D1159" s="34">
        <v>1.0</v>
      </c>
      <c r="E1159" s="34">
        <v>4.0</v>
      </c>
      <c r="F1159" s="35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>
      <c r="A1160" s="10">
        <v>1159.0</v>
      </c>
      <c r="B1160" s="34">
        <v>2017.0</v>
      </c>
      <c r="C1160" s="37">
        <v>8.0</v>
      </c>
      <c r="D1160" s="34">
        <v>1.0</v>
      </c>
      <c r="E1160" s="34">
        <v>5.0</v>
      </c>
      <c r="F1160" s="35" t="s">
        <v>16</v>
      </c>
      <c r="G1160" s="49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>
      <c r="A1161" s="34">
        <v>1160.0</v>
      </c>
      <c r="B1161" s="34">
        <v>2017.0</v>
      </c>
      <c r="C1161" s="37">
        <v>8.0</v>
      </c>
      <c r="D1161" s="34">
        <v>1.0</v>
      </c>
      <c r="E1161" s="34">
        <v>5.0</v>
      </c>
      <c r="F1161" s="35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>
      <c r="A1162" s="34">
        <v>1161.0</v>
      </c>
      <c r="B1162" s="34">
        <v>2017.0</v>
      </c>
      <c r="C1162" s="37">
        <v>8.0</v>
      </c>
      <c r="D1162" s="34">
        <v>1.0</v>
      </c>
      <c r="E1162" s="34">
        <v>5.0</v>
      </c>
      <c r="F1162" s="35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>
      <c r="A1163" s="10">
        <v>1162.0</v>
      </c>
      <c r="B1163" s="34">
        <v>2017.0</v>
      </c>
      <c r="C1163" s="37">
        <v>8.0</v>
      </c>
      <c r="D1163" s="34">
        <v>1.0</v>
      </c>
      <c r="E1163" s="34">
        <v>6.0</v>
      </c>
      <c r="F1163" s="35" t="s">
        <v>16</v>
      </c>
      <c r="G1163" s="49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>
      <c r="A1164" s="34">
        <v>1163.0</v>
      </c>
      <c r="B1164" s="34">
        <v>2017.0</v>
      </c>
      <c r="C1164" s="37">
        <v>8.0</v>
      </c>
      <c r="D1164" s="34">
        <v>1.0</v>
      </c>
      <c r="E1164" s="34">
        <v>6.0</v>
      </c>
      <c r="F1164" s="35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>
      <c r="A1165" s="34">
        <v>1164.0</v>
      </c>
      <c r="B1165" s="34">
        <v>2017.0</v>
      </c>
      <c r="C1165" s="37">
        <v>8.0</v>
      </c>
      <c r="D1165" s="34">
        <v>1.0</v>
      </c>
      <c r="E1165" s="34">
        <v>6.0</v>
      </c>
      <c r="F1165" s="35" t="s">
        <v>16</v>
      </c>
      <c r="G1165" s="10" t="s">
        <v>173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>
      <c r="A1166" s="10">
        <v>1165.0</v>
      </c>
      <c r="B1166" s="34">
        <v>2017.0</v>
      </c>
      <c r="C1166" s="37">
        <v>8.0</v>
      </c>
      <c r="D1166" s="34">
        <v>1.0</v>
      </c>
      <c r="E1166" s="34">
        <v>7.0</v>
      </c>
      <c r="F1166" s="35" t="s">
        <v>16</v>
      </c>
      <c r="G1166" s="49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>
      <c r="A1167" s="34">
        <v>1166.0</v>
      </c>
      <c r="B1167" s="34">
        <v>2017.0</v>
      </c>
      <c r="C1167" s="37">
        <v>8.0</v>
      </c>
      <c r="D1167" s="34">
        <v>1.0</v>
      </c>
      <c r="E1167" s="34">
        <v>7.0</v>
      </c>
      <c r="F1167" s="35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>
      <c r="A1168" s="34">
        <v>1167.0</v>
      </c>
      <c r="B1168" s="34">
        <v>2017.0</v>
      </c>
      <c r="C1168" s="37">
        <v>8.0</v>
      </c>
      <c r="D1168" s="34">
        <v>1.0</v>
      </c>
      <c r="E1168" s="34">
        <v>7.0</v>
      </c>
      <c r="F1168" s="35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>
      <c r="A1169" s="10">
        <v>1168.0</v>
      </c>
      <c r="B1169" s="34">
        <v>2017.0</v>
      </c>
      <c r="C1169" s="37">
        <v>8.0</v>
      </c>
      <c r="D1169" s="34">
        <v>1.0</v>
      </c>
      <c r="E1169" s="34">
        <v>8.0</v>
      </c>
      <c r="F1169" s="35" t="s">
        <v>16</v>
      </c>
      <c r="G1169" s="49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>
      <c r="A1170" s="34">
        <v>1169.0</v>
      </c>
      <c r="B1170" s="34">
        <v>2017.0</v>
      </c>
      <c r="C1170" s="37">
        <v>8.0</v>
      </c>
      <c r="D1170" s="34">
        <v>1.0</v>
      </c>
      <c r="E1170" s="34">
        <v>8.0</v>
      </c>
      <c r="F1170" s="35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>
      <c r="A1171" s="34">
        <v>1170.0</v>
      </c>
      <c r="B1171" s="34">
        <v>2017.0</v>
      </c>
      <c r="C1171" s="37">
        <v>8.0</v>
      </c>
      <c r="D1171" s="34">
        <v>1.0</v>
      </c>
      <c r="E1171" s="34">
        <v>8.0</v>
      </c>
      <c r="F1171" s="35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>
      <c r="A1172" s="10">
        <v>1171.0</v>
      </c>
      <c r="B1172" s="34">
        <v>2017.0</v>
      </c>
      <c r="C1172" s="37">
        <v>8.0</v>
      </c>
      <c r="D1172" s="34">
        <v>1.0</v>
      </c>
      <c r="E1172" s="34">
        <v>9.0</v>
      </c>
      <c r="F1172" s="35" t="s">
        <v>16</v>
      </c>
      <c r="G1172" s="50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>
      <c r="A1173" s="34">
        <v>1172.0</v>
      </c>
      <c r="B1173" s="34">
        <v>2017.0</v>
      </c>
      <c r="C1173" s="37">
        <v>8.0</v>
      </c>
      <c r="D1173" s="34">
        <v>1.0</v>
      </c>
      <c r="E1173" s="34">
        <v>9.0</v>
      </c>
      <c r="F1173" s="35" t="s">
        <v>16</v>
      </c>
      <c r="G1173" s="51" t="s">
        <v>141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>
      <c r="A1174" s="34">
        <v>1173.0</v>
      </c>
      <c r="B1174" s="34">
        <v>2017.0</v>
      </c>
      <c r="C1174" s="37">
        <v>8.0</v>
      </c>
      <c r="D1174" s="34">
        <v>1.0</v>
      </c>
      <c r="E1174" s="34">
        <v>9.0</v>
      </c>
      <c r="F1174" s="35" t="s">
        <v>16</v>
      </c>
      <c r="G1174" s="51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>
      <c r="A1175" s="10">
        <v>1174.0</v>
      </c>
      <c r="B1175" s="34">
        <v>2017.0</v>
      </c>
      <c r="C1175" s="37">
        <v>8.0</v>
      </c>
      <c r="D1175" s="34">
        <v>1.0</v>
      </c>
      <c r="E1175" s="34">
        <v>10.0</v>
      </c>
      <c r="F1175" s="35" t="s">
        <v>16</v>
      </c>
      <c r="G1175" s="50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>
      <c r="A1176" s="34">
        <v>1175.0</v>
      </c>
      <c r="B1176" s="34">
        <v>2017.0</v>
      </c>
      <c r="C1176" s="37">
        <v>8.0</v>
      </c>
      <c r="D1176" s="34">
        <v>1.0</v>
      </c>
      <c r="E1176" s="34">
        <v>10.0</v>
      </c>
      <c r="F1176" s="35" t="s">
        <v>16</v>
      </c>
      <c r="G1176" s="51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>
      <c r="A1177" s="34">
        <v>1176.0</v>
      </c>
      <c r="B1177" s="34">
        <v>2017.0</v>
      </c>
      <c r="C1177" s="37">
        <v>8.0</v>
      </c>
      <c r="D1177" s="34">
        <v>1.0</v>
      </c>
      <c r="E1177" s="34">
        <v>10.0</v>
      </c>
      <c r="F1177" s="35" t="s">
        <v>16</v>
      </c>
      <c r="G1177" s="51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>
      <c r="A1178" s="10">
        <v>1177.0</v>
      </c>
      <c r="B1178" s="34">
        <v>2017.0</v>
      </c>
      <c r="C1178" s="37">
        <v>8.0</v>
      </c>
      <c r="D1178" s="34">
        <v>1.0</v>
      </c>
      <c r="E1178" s="34">
        <v>11.0</v>
      </c>
      <c r="F1178" s="35" t="s">
        <v>16</v>
      </c>
      <c r="G1178" s="50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>
      <c r="A1179" s="34">
        <v>1178.0</v>
      </c>
      <c r="B1179" s="34">
        <v>2017.0</v>
      </c>
      <c r="C1179" s="37">
        <v>8.0</v>
      </c>
      <c r="D1179" s="34">
        <v>1.0</v>
      </c>
      <c r="E1179" s="34">
        <v>11.0</v>
      </c>
      <c r="F1179" s="35" t="s">
        <v>16</v>
      </c>
      <c r="G1179" s="51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>
      <c r="A1180" s="34">
        <v>1179.0</v>
      </c>
      <c r="B1180" s="34">
        <v>2017.0</v>
      </c>
      <c r="C1180" s="37">
        <v>8.0</v>
      </c>
      <c r="D1180" s="34">
        <v>1.0</v>
      </c>
      <c r="E1180" s="34">
        <v>11.0</v>
      </c>
      <c r="F1180" s="35" t="s">
        <v>16</v>
      </c>
      <c r="G1180" s="51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>
      <c r="A1181" s="10">
        <v>1180.0</v>
      </c>
      <c r="B1181" s="34">
        <v>2017.0</v>
      </c>
      <c r="C1181" s="37">
        <v>8.0</v>
      </c>
      <c r="D1181" s="34">
        <v>1.0</v>
      </c>
      <c r="E1181" s="34">
        <v>12.0</v>
      </c>
      <c r="F1181" s="35" t="s">
        <v>16</v>
      </c>
      <c r="G1181" s="50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>
      <c r="A1182" s="34">
        <v>1181.0</v>
      </c>
      <c r="B1182" s="34">
        <v>2017.0</v>
      </c>
      <c r="C1182" s="37">
        <v>8.0</v>
      </c>
      <c r="D1182" s="34">
        <v>1.0</v>
      </c>
      <c r="E1182" s="34">
        <v>12.0</v>
      </c>
      <c r="F1182" s="35" t="s">
        <v>16</v>
      </c>
      <c r="G1182" s="51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>
      <c r="A1183" s="34">
        <v>1182.0</v>
      </c>
      <c r="B1183" s="34">
        <v>2017.0</v>
      </c>
      <c r="C1183" s="37">
        <v>8.0</v>
      </c>
      <c r="D1183" s="34">
        <v>1.0</v>
      </c>
      <c r="E1183" s="34">
        <v>12.0</v>
      </c>
      <c r="F1183" s="35" t="s">
        <v>16</v>
      </c>
      <c r="G1183" s="51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>
      <c r="A1184" s="10">
        <v>1183.0</v>
      </c>
      <c r="B1184" s="34">
        <v>2017.0</v>
      </c>
      <c r="C1184" s="37">
        <v>8.0</v>
      </c>
      <c r="D1184" s="34">
        <v>2.0</v>
      </c>
      <c r="E1184" s="34">
        <v>1.0</v>
      </c>
      <c r="F1184" s="35" t="s">
        <v>16</v>
      </c>
      <c r="G1184" s="50" t="s">
        <v>173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>
      <c r="A1185" s="34">
        <v>1184.0</v>
      </c>
      <c r="B1185" s="34">
        <v>2017.0</v>
      </c>
      <c r="C1185" s="37">
        <v>8.0</v>
      </c>
      <c r="D1185" s="34">
        <v>2.0</v>
      </c>
      <c r="E1185" s="34">
        <v>1.0</v>
      </c>
      <c r="F1185" s="35" t="s">
        <v>16</v>
      </c>
      <c r="G1185" s="51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>
      <c r="A1186" s="34">
        <v>1185.0</v>
      </c>
      <c r="B1186" s="34">
        <v>2017.0</v>
      </c>
      <c r="C1186" s="37">
        <v>8.0</v>
      </c>
      <c r="D1186" s="34">
        <v>2.0</v>
      </c>
      <c r="E1186" s="34">
        <v>2.0</v>
      </c>
      <c r="F1186" s="35" t="s">
        <v>16</v>
      </c>
      <c r="G1186" s="50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>
      <c r="A1187" s="10">
        <v>1186.0</v>
      </c>
      <c r="B1187" s="34">
        <v>2017.0</v>
      </c>
      <c r="C1187" s="37">
        <v>8.0</v>
      </c>
      <c r="D1187" s="34">
        <v>2.0</v>
      </c>
      <c r="E1187" s="34">
        <v>2.0</v>
      </c>
      <c r="F1187" s="35" t="s">
        <v>16</v>
      </c>
      <c r="G1187" s="51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>
      <c r="A1188" s="34">
        <v>1187.0</v>
      </c>
      <c r="B1188" s="34">
        <v>2017.0</v>
      </c>
      <c r="C1188" s="37">
        <v>8.0</v>
      </c>
      <c r="D1188" s="34">
        <v>2.0</v>
      </c>
      <c r="E1188" s="34">
        <v>3.0</v>
      </c>
      <c r="F1188" s="35" t="s">
        <v>16</v>
      </c>
      <c r="G1188" s="50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>
      <c r="A1189" s="34">
        <v>1188.0</v>
      </c>
      <c r="B1189" s="34">
        <v>2017.0</v>
      </c>
      <c r="C1189" s="37">
        <v>8.0</v>
      </c>
      <c r="D1189" s="34">
        <v>2.0</v>
      </c>
      <c r="E1189" s="34">
        <v>3.0</v>
      </c>
      <c r="F1189" s="35" t="s">
        <v>16</v>
      </c>
      <c r="G1189" s="51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>
      <c r="A1190" s="10">
        <v>1189.0</v>
      </c>
      <c r="B1190" s="34">
        <v>2017.0</v>
      </c>
      <c r="C1190" s="37">
        <v>8.0</v>
      </c>
      <c r="D1190" s="34">
        <v>2.0</v>
      </c>
      <c r="E1190" s="34">
        <v>4.0</v>
      </c>
      <c r="F1190" s="35" t="s">
        <v>16</v>
      </c>
      <c r="G1190" s="50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>
      <c r="A1191" s="34">
        <v>1190.0</v>
      </c>
      <c r="B1191" s="34">
        <v>2017.0</v>
      </c>
      <c r="C1191" s="37">
        <v>8.0</v>
      </c>
      <c r="D1191" s="34">
        <v>2.0</v>
      </c>
      <c r="E1191" s="34">
        <v>4.0</v>
      </c>
      <c r="F1191" s="35" t="s">
        <v>16</v>
      </c>
      <c r="G1191" s="51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>
      <c r="A1192" s="34">
        <v>1191.0</v>
      </c>
      <c r="B1192" s="34">
        <v>2017.0</v>
      </c>
      <c r="C1192" s="37">
        <v>8.0</v>
      </c>
      <c r="D1192" s="34">
        <v>2.0</v>
      </c>
      <c r="E1192" s="34">
        <v>5.0</v>
      </c>
      <c r="F1192" s="35" t="s">
        <v>16</v>
      </c>
      <c r="G1192" s="50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>
      <c r="A1193" s="10">
        <v>1192.0</v>
      </c>
      <c r="B1193" s="34">
        <v>2017.0</v>
      </c>
      <c r="C1193" s="37">
        <v>8.0</v>
      </c>
      <c r="D1193" s="34">
        <v>2.0</v>
      </c>
      <c r="E1193" s="34">
        <v>5.0</v>
      </c>
      <c r="F1193" s="35" t="s">
        <v>16</v>
      </c>
      <c r="G1193" s="51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>
      <c r="A1194" s="34">
        <v>1193.0</v>
      </c>
      <c r="B1194" s="34">
        <v>2017.0</v>
      </c>
      <c r="C1194" s="37">
        <v>8.0</v>
      </c>
      <c r="D1194" s="34">
        <v>2.0</v>
      </c>
      <c r="E1194" s="34">
        <v>6.0</v>
      </c>
      <c r="F1194" s="35" t="s">
        <v>16</v>
      </c>
      <c r="G1194" s="50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>
      <c r="A1195" s="34">
        <v>1194.0</v>
      </c>
      <c r="B1195" s="34">
        <v>2017.0</v>
      </c>
      <c r="C1195" s="37">
        <v>8.0</v>
      </c>
      <c r="D1195" s="34">
        <v>2.0</v>
      </c>
      <c r="E1195" s="34">
        <v>6.0</v>
      </c>
      <c r="F1195" s="35" t="s">
        <v>16</v>
      </c>
      <c r="G1195" s="51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>
      <c r="A1196" s="10">
        <v>1195.0</v>
      </c>
      <c r="B1196" s="34">
        <v>2017.0</v>
      </c>
      <c r="C1196" s="37">
        <v>8.0</v>
      </c>
      <c r="D1196" s="34">
        <v>2.0</v>
      </c>
      <c r="E1196" s="34">
        <v>7.0</v>
      </c>
      <c r="F1196" s="35" t="s">
        <v>16</v>
      </c>
      <c r="G1196" s="50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>
      <c r="A1197" s="34">
        <v>1196.0</v>
      </c>
      <c r="B1197" s="34">
        <v>2017.0</v>
      </c>
      <c r="C1197" s="37">
        <v>8.0</v>
      </c>
      <c r="D1197" s="34">
        <v>2.0</v>
      </c>
      <c r="E1197" s="34">
        <v>7.0</v>
      </c>
      <c r="F1197" s="35" t="s">
        <v>16</v>
      </c>
      <c r="G1197" s="51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>
      <c r="A1198" s="34">
        <v>1197.0</v>
      </c>
      <c r="B1198" s="34">
        <v>2017.0</v>
      </c>
      <c r="C1198" s="37">
        <v>8.0</v>
      </c>
      <c r="D1198" s="34">
        <v>2.0</v>
      </c>
      <c r="E1198" s="34">
        <v>8.0</v>
      </c>
      <c r="F1198" s="35" t="s">
        <v>16</v>
      </c>
      <c r="G1198" s="50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>
      <c r="A1199" s="10">
        <v>1198.0</v>
      </c>
      <c r="B1199" s="34">
        <v>2017.0</v>
      </c>
      <c r="C1199" s="37">
        <v>8.0</v>
      </c>
      <c r="D1199" s="34">
        <v>2.0</v>
      </c>
      <c r="E1199" s="34">
        <v>8.0</v>
      </c>
      <c r="F1199" s="35" t="s">
        <v>16</v>
      </c>
      <c r="G1199" s="51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>
      <c r="A1200" s="34">
        <v>1199.0</v>
      </c>
      <c r="B1200" s="34">
        <v>2017.0</v>
      </c>
      <c r="C1200" s="37">
        <v>8.0</v>
      </c>
      <c r="D1200" s="34">
        <v>2.0</v>
      </c>
      <c r="E1200" s="34">
        <v>9.0</v>
      </c>
      <c r="F1200" s="35" t="s">
        <v>16</v>
      </c>
      <c r="G1200" s="50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>
      <c r="A1201" s="34">
        <v>1200.0</v>
      </c>
      <c r="B1201" s="34">
        <v>2017.0</v>
      </c>
      <c r="C1201" s="37">
        <v>8.0</v>
      </c>
      <c r="D1201" s="34">
        <v>2.0</v>
      </c>
      <c r="E1201" s="34">
        <v>9.0</v>
      </c>
      <c r="F1201" s="35" t="s">
        <v>16</v>
      </c>
      <c r="G1201" s="51" t="s">
        <v>141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>
      <c r="A1202" s="10">
        <v>1201.0</v>
      </c>
      <c r="B1202" s="34">
        <v>2017.0</v>
      </c>
      <c r="C1202" s="37">
        <v>8.0</v>
      </c>
      <c r="D1202" s="34">
        <v>2.0</v>
      </c>
      <c r="E1202" s="34">
        <v>10.0</v>
      </c>
      <c r="F1202" s="35" t="s">
        <v>16</v>
      </c>
      <c r="G1202" s="50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>
      <c r="A1203" s="34">
        <v>1202.0</v>
      </c>
      <c r="B1203" s="34">
        <v>2017.0</v>
      </c>
      <c r="C1203" s="37">
        <v>8.0</v>
      </c>
      <c r="D1203" s="34">
        <v>2.0</v>
      </c>
      <c r="E1203" s="34">
        <v>10.0</v>
      </c>
      <c r="F1203" s="35" t="s">
        <v>16</v>
      </c>
      <c r="G1203" s="51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>
      <c r="A1204" s="34">
        <v>1203.0</v>
      </c>
      <c r="B1204" s="34">
        <v>2017.0</v>
      </c>
      <c r="C1204" s="37">
        <v>8.0</v>
      </c>
      <c r="D1204" s="34">
        <v>2.0</v>
      </c>
      <c r="E1204" s="34">
        <v>11.0</v>
      </c>
      <c r="F1204" s="35" t="s">
        <v>16</v>
      </c>
      <c r="G1204" s="50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>
      <c r="A1205" s="10">
        <v>1204.0</v>
      </c>
      <c r="B1205" s="34">
        <v>2017.0</v>
      </c>
      <c r="C1205" s="37">
        <v>8.0</v>
      </c>
      <c r="D1205" s="34">
        <v>2.0</v>
      </c>
      <c r="E1205" s="34">
        <v>11.0</v>
      </c>
      <c r="F1205" s="35" t="s">
        <v>16</v>
      </c>
      <c r="G1205" s="51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>
      <c r="A1206" s="34">
        <v>1205.0</v>
      </c>
      <c r="B1206" s="34">
        <v>2017.0</v>
      </c>
      <c r="C1206" s="37">
        <v>8.0</v>
      </c>
      <c r="D1206" s="34">
        <v>2.0</v>
      </c>
      <c r="E1206" s="34">
        <v>12.0</v>
      </c>
      <c r="F1206" s="35" t="s">
        <v>16</v>
      </c>
      <c r="G1206" s="50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>
      <c r="A1207" s="34">
        <v>1206.0</v>
      </c>
      <c r="B1207" s="34">
        <v>2017.0</v>
      </c>
      <c r="C1207" s="37">
        <v>8.0</v>
      </c>
      <c r="D1207" s="34">
        <v>2.0</v>
      </c>
      <c r="E1207" s="34">
        <v>12.0</v>
      </c>
      <c r="F1207" s="35" t="s">
        <v>16</v>
      </c>
      <c r="G1207" s="51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>
      <c r="A1208" s="10">
        <v>1207.0</v>
      </c>
      <c r="B1208" s="34">
        <v>2017.0</v>
      </c>
      <c r="C1208" s="37">
        <v>8.0</v>
      </c>
      <c r="D1208" s="34">
        <v>3.0</v>
      </c>
      <c r="E1208" s="34">
        <v>1.0</v>
      </c>
      <c r="F1208" s="35" t="s">
        <v>16</v>
      </c>
      <c r="G1208" s="50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>
      <c r="A1209" s="34">
        <v>1208.0</v>
      </c>
      <c r="B1209" s="34">
        <v>2017.0</v>
      </c>
      <c r="C1209" s="37">
        <v>8.0</v>
      </c>
      <c r="D1209" s="34">
        <v>3.0</v>
      </c>
      <c r="E1209" s="34">
        <v>1.0</v>
      </c>
      <c r="F1209" s="35" t="s">
        <v>16</v>
      </c>
      <c r="G1209" s="51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>
      <c r="A1210" s="34">
        <v>1209.0</v>
      </c>
      <c r="B1210" s="34">
        <v>2017.0</v>
      </c>
      <c r="C1210" s="37">
        <v>8.0</v>
      </c>
      <c r="D1210" s="34">
        <v>3.0</v>
      </c>
      <c r="E1210" s="34">
        <v>2.0</v>
      </c>
      <c r="F1210" s="35" t="s">
        <v>16</v>
      </c>
      <c r="G1210" s="50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>
      <c r="A1211" s="10">
        <v>1210.0</v>
      </c>
      <c r="B1211" s="34">
        <v>2017.0</v>
      </c>
      <c r="C1211" s="37">
        <v>8.0</v>
      </c>
      <c r="D1211" s="34">
        <v>3.0</v>
      </c>
      <c r="E1211" s="34">
        <v>2.0</v>
      </c>
      <c r="F1211" s="35" t="s">
        <v>16</v>
      </c>
      <c r="G1211" s="51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>
      <c r="A1212" s="34">
        <v>1211.0</v>
      </c>
      <c r="B1212" s="34">
        <v>2017.0</v>
      </c>
      <c r="C1212" s="37">
        <v>8.0</v>
      </c>
      <c r="D1212" s="34">
        <v>3.0</v>
      </c>
      <c r="E1212" s="34">
        <v>3.0</v>
      </c>
      <c r="F1212" s="35" t="s">
        <v>16</v>
      </c>
      <c r="G1212" s="50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>
      <c r="A1213" s="34">
        <v>1212.0</v>
      </c>
      <c r="B1213" s="34">
        <v>2017.0</v>
      </c>
      <c r="C1213" s="37">
        <v>8.0</v>
      </c>
      <c r="D1213" s="34">
        <v>3.0</v>
      </c>
      <c r="E1213" s="34">
        <v>3.0</v>
      </c>
      <c r="F1213" s="35" t="s">
        <v>16</v>
      </c>
      <c r="G1213" s="51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>
      <c r="A1214" s="10">
        <v>1213.0</v>
      </c>
      <c r="B1214" s="34">
        <v>2017.0</v>
      </c>
      <c r="C1214" s="37">
        <v>8.0</v>
      </c>
      <c r="D1214" s="34">
        <v>3.0</v>
      </c>
      <c r="E1214" s="34">
        <v>4.0</v>
      </c>
      <c r="F1214" s="35" t="s">
        <v>16</v>
      </c>
      <c r="G1214" s="50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>
      <c r="A1215" s="34">
        <v>1214.0</v>
      </c>
      <c r="B1215" s="34">
        <v>2017.0</v>
      </c>
      <c r="C1215" s="37">
        <v>8.0</v>
      </c>
      <c r="D1215" s="34">
        <v>3.0</v>
      </c>
      <c r="E1215" s="34">
        <v>4.0</v>
      </c>
      <c r="F1215" s="35" t="s">
        <v>16</v>
      </c>
      <c r="G1215" s="51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>
      <c r="A1216" s="34">
        <v>1215.0</v>
      </c>
      <c r="B1216" s="34">
        <v>2017.0</v>
      </c>
      <c r="C1216" s="37">
        <v>8.0</v>
      </c>
      <c r="D1216" s="34">
        <v>3.0</v>
      </c>
      <c r="E1216" s="34">
        <v>5.0</v>
      </c>
      <c r="F1216" s="35" t="s">
        <v>16</v>
      </c>
      <c r="G1216" s="50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>
      <c r="A1217" s="10">
        <v>1216.0</v>
      </c>
      <c r="B1217" s="34">
        <v>2017.0</v>
      </c>
      <c r="C1217" s="37">
        <v>8.0</v>
      </c>
      <c r="D1217" s="34">
        <v>3.0</v>
      </c>
      <c r="E1217" s="34">
        <v>5.0</v>
      </c>
      <c r="F1217" s="35" t="s">
        <v>16</v>
      </c>
      <c r="G1217" s="51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>
      <c r="A1218" s="34">
        <v>1217.0</v>
      </c>
      <c r="B1218" s="34">
        <v>2017.0</v>
      </c>
      <c r="C1218" s="37">
        <v>8.0</v>
      </c>
      <c r="D1218" s="34">
        <v>3.0</v>
      </c>
      <c r="E1218" s="34">
        <v>6.0</v>
      </c>
      <c r="F1218" s="35" t="s">
        <v>16</v>
      </c>
      <c r="G1218" s="50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>
      <c r="A1219" s="34">
        <v>1218.0</v>
      </c>
      <c r="B1219" s="34">
        <v>2017.0</v>
      </c>
      <c r="C1219" s="37">
        <v>8.0</v>
      </c>
      <c r="D1219" s="34">
        <v>3.0</v>
      </c>
      <c r="E1219" s="34">
        <v>6.0</v>
      </c>
      <c r="F1219" s="35" t="s">
        <v>16</v>
      </c>
      <c r="G1219" s="51" t="s">
        <v>173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>
      <c r="A1220" s="10">
        <v>1219.0</v>
      </c>
      <c r="B1220" s="34">
        <v>2017.0</v>
      </c>
      <c r="C1220" s="37">
        <v>8.0</v>
      </c>
      <c r="D1220" s="34">
        <v>3.0</v>
      </c>
      <c r="E1220" s="34">
        <v>7.0</v>
      </c>
      <c r="F1220" s="35" t="s">
        <v>16</v>
      </c>
      <c r="G1220" s="50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>
      <c r="A1221" s="34">
        <v>1220.0</v>
      </c>
      <c r="B1221" s="34">
        <v>2017.0</v>
      </c>
      <c r="C1221" s="37">
        <v>8.0</v>
      </c>
      <c r="D1221" s="34">
        <v>3.0</v>
      </c>
      <c r="E1221" s="34">
        <v>7.0</v>
      </c>
      <c r="F1221" s="35" t="s">
        <v>16</v>
      </c>
      <c r="G1221" s="51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>
      <c r="A1222" s="34">
        <v>1221.0</v>
      </c>
      <c r="B1222" s="34">
        <v>2017.0</v>
      </c>
      <c r="C1222" s="37">
        <v>8.0</v>
      </c>
      <c r="D1222" s="34">
        <v>3.0</v>
      </c>
      <c r="E1222" s="34">
        <v>8.0</v>
      </c>
      <c r="F1222" s="35" t="s">
        <v>16</v>
      </c>
      <c r="G1222" s="50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>
      <c r="A1223" s="10">
        <v>1222.0</v>
      </c>
      <c r="B1223" s="34">
        <v>2017.0</v>
      </c>
      <c r="C1223" s="37">
        <v>8.0</v>
      </c>
      <c r="D1223" s="34">
        <v>3.0</v>
      </c>
      <c r="E1223" s="34">
        <v>8.0</v>
      </c>
      <c r="F1223" s="35" t="s">
        <v>16</v>
      </c>
      <c r="G1223" s="51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>
      <c r="A1224" s="34">
        <v>1223.0</v>
      </c>
      <c r="B1224" s="34">
        <v>2017.0</v>
      </c>
      <c r="C1224" s="37">
        <v>8.0</v>
      </c>
      <c r="D1224" s="34">
        <v>3.0</v>
      </c>
      <c r="E1224" s="34">
        <v>9.0</v>
      </c>
      <c r="F1224" s="35" t="s">
        <v>16</v>
      </c>
      <c r="G1224" s="50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>
      <c r="A1225" s="34">
        <v>1224.0</v>
      </c>
      <c r="B1225" s="34">
        <v>2017.0</v>
      </c>
      <c r="C1225" s="37">
        <v>8.0</v>
      </c>
      <c r="D1225" s="34">
        <v>3.0</v>
      </c>
      <c r="E1225" s="34">
        <v>9.0</v>
      </c>
      <c r="F1225" s="35" t="s">
        <v>16</v>
      </c>
      <c r="G1225" s="51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>
      <c r="A1226" s="10">
        <v>1225.0</v>
      </c>
      <c r="B1226" s="34">
        <v>2017.0</v>
      </c>
      <c r="C1226" s="37">
        <v>8.0</v>
      </c>
      <c r="D1226" s="34">
        <v>3.0</v>
      </c>
      <c r="E1226" s="34">
        <v>10.0</v>
      </c>
      <c r="F1226" s="35" t="s">
        <v>16</v>
      </c>
      <c r="G1226" s="50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>
      <c r="A1227" s="34">
        <v>1226.0</v>
      </c>
      <c r="B1227" s="34">
        <v>2017.0</v>
      </c>
      <c r="C1227" s="37">
        <v>8.0</v>
      </c>
      <c r="D1227" s="34">
        <v>3.0</v>
      </c>
      <c r="E1227" s="34">
        <v>10.0</v>
      </c>
      <c r="F1227" s="35" t="s">
        <v>16</v>
      </c>
      <c r="G1227" s="51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>
      <c r="A1228" s="34">
        <v>1227.0</v>
      </c>
      <c r="B1228" s="34">
        <v>2017.0</v>
      </c>
      <c r="C1228" s="37">
        <v>8.0</v>
      </c>
      <c r="D1228" s="34">
        <v>3.0</v>
      </c>
      <c r="E1228" s="34">
        <v>11.0</v>
      </c>
      <c r="F1228" s="35" t="s">
        <v>16</v>
      </c>
      <c r="G1228" s="50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>
      <c r="A1229" s="10">
        <v>1228.0</v>
      </c>
      <c r="B1229" s="34">
        <v>2017.0</v>
      </c>
      <c r="C1229" s="37">
        <v>8.0</v>
      </c>
      <c r="D1229" s="34">
        <v>3.0</v>
      </c>
      <c r="E1229" s="34">
        <v>11.0</v>
      </c>
      <c r="F1229" s="35" t="s">
        <v>16</v>
      </c>
      <c r="G1229" s="51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>
      <c r="A1230" s="34">
        <v>1229.0</v>
      </c>
      <c r="B1230" s="34">
        <v>2017.0</v>
      </c>
      <c r="C1230" s="37">
        <v>8.0</v>
      </c>
      <c r="D1230" s="34">
        <v>3.0</v>
      </c>
      <c r="E1230" s="34">
        <v>12.0</v>
      </c>
      <c r="F1230" s="35" t="s">
        <v>16</v>
      </c>
      <c r="G1230" s="50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>
      <c r="A1231" s="34">
        <v>1230.0</v>
      </c>
      <c r="B1231" s="34">
        <v>2017.0</v>
      </c>
      <c r="C1231" s="37">
        <v>8.0</v>
      </c>
      <c r="D1231" s="34">
        <v>3.0</v>
      </c>
      <c r="E1231" s="34">
        <v>12.0</v>
      </c>
      <c r="F1231" s="35" t="s">
        <v>16</v>
      </c>
      <c r="G1231" s="51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>
      <c r="A1232" s="10">
        <v>1231.0</v>
      </c>
      <c r="B1232" s="34">
        <v>2017.0</v>
      </c>
      <c r="C1232" s="37">
        <v>8.0</v>
      </c>
      <c r="D1232" s="34">
        <v>4.0</v>
      </c>
      <c r="E1232" s="34">
        <v>1.0</v>
      </c>
      <c r="F1232" s="35" t="s">
        <v>16</v>
      </c>
      <c r="G1232" s="49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>
      <c r="A1233" s="34">
        <v>1232.0</v>
      </c>
      <c r="B1233" s="34">
        <v>2017.0</v>
      </c>
      <c r="C1233" s="37">
        <v>8.0</v>
      </c>
      <c r="D1233" s="34">
        <v>4.0</v>
      </c>
      <c r="E1233" s="34">
        <v>1.0</v>
      </c>
      <c r="F1233" s="35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>
      <c r="A1234" s="34">
        <v>1233.0</v>
      </c>
      <c r="B1234" s="34">
        <v>2017.0</v>
      </c>
      <c r="C1234" s="37">
        <v>8.0</v>
      </c>
      <c r="D1234" s="34">
        <v>4.0</v>
      </c>
      <c r="E1234" s="34">
        <v>1.0</v>
      </c>
      <c r="F1234" s="35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>
      <c r="A1235" s="10">
        <v>1234.0</v>
      </c>
      <c r="B1235" s="34">
        <v>2017.0</v>
      </c>
      <c r="C1235" s="37">
        <v>8.0</v>
      </c>
      <c r="D1235" s="34">
        <v>4.0</v>
      </c>
      <c r="E1235" s="34">
        <v>2.0</v>
      </c>
      <c r="F1235" s="35" t="s">
        <v>16</v>
      </c>
      <c r="G1235" s="50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>
      <c r="A1236" s="34">
        <v>1235.0</v>
      </c>
      <c r="B1236" s="34">
        <v>2017.0</v>
      </c>
      <c r="C1236" s="37">
        <v>8.0</v>
      </c>
      <c r="D1236" s="34">
        <v>4.0</v>
      </c>
      <c r="E1236" s="34">
        <v>2.0</v>
      </c>
      <c r="F1236" s="35" t="s">
        <v>16</v>
      </c>
      <c r="G1236" s="51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>
      <c r="A1237" s="34">
        <v>1236.0</v>
      </c>
      <c r="B1237" s="34">
        <v>2017.0</v>
      </c>
      <c r="C1237" s="37">
        <v>8.0</v>
      </c>
      <c r="D1237" s="34">
        <v>4.0</v>
      </c>
      <c r="E1237" s="34">
        <v>2.0</v>
      </c>
      <c r="F1237" s="35" t="s">
        <v>16</v>
      </c>
      <c r="G1237" s="51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>
      <c r="A1238" s="10">
        <v>1237.0</v>
      </c>
      <c r="B1238" s="34">
        <v>2017.0</v>
      </c>
      <c r="C1238" s="37">
        <v>8.0</v>
      </c>
      <c r="D1238" s="34">
        <v>4.0</v>
      </c>
      <c r="E1238" s="34">
        <v>3.0</v>
      </c>
      <c r="F1238" s="35" t="s">
        <v>16</v>
      </c>
      <c r="G1238" s="50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>
      <c r="A1239" s="34">
        <v>1238.0</v>
      </c>
      <c r="B1239" s="34">
        <v>2017.0</v>
      </c>
      <c r="C1239" s="37">
        <v>8.0</v>
      </c>
      <c r="D1239" s="34">
        <v>4.0</v>
      </c>
      <c r="E1239" s="34">
        <v>3.0</v>
      </c>
      <c r="F1239" s="35" t="s">
        <v>16</v>
      </c>
      <c r="G1239" s="51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>
      <c r="A1240" s="34">
        <v>1239.0</v>
      </c>
      <c r="B1240" s="34">
        <v>2017.0</v>
      </c>
      <c r="C1240" s="37">
        <v>8.0</v>
      </c>
      <c r="D1240" s="34">
        <v>4.0</v>
      </c>
      <c r="E1240" s="34">
        <v>3.0</v>
      </c>
      <c r="F1240" s="35" t="s">
        <v>16</v>
      </c>
      <c r="G1240" s="51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>
      <c r="A1241" s="10">
        <v>1240.0</v>
      </c>
      <c r="B1241" s="34">
        <v>2017.0</v>
      </c>
      <c r="C1241" s="37">
        <v>8.0</v>
      </c>
      <c r="D1241" s="34">
        <v>4.0</v>
      </c>
      <c r="E1241" s="34">
        <v>4.0</v>
      </c>
      <c r="F1241" s="35" t="s">
        <v>16</v>
      </c>
      <c r="G1241" s="50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>
      <c r="A1242" s="34">
        <v>1241.0</v>
      </c>
      <c r="B1242" s="34">
        <v>2017.0</v>
      </c>
      <c r="C1242" s="37">
        <v>8.0</v>
      </c>
      <c r="D1242" s="34">
        <v>4.0</v>
      </c>
      <c r="E1242" s="34">
        <v>4.0</v>
      </c>
      <c r="F1242" s="35" t="s">
        <v>16</v>
      </c>
      <c r="G1242" s="51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>
      <c r="A1243" s="34">
        <v>1242.0</v>
      </c>
      <c r="B1243" s="34">
        <v>2017.0</v>
      </c>
      <c r="C1243" s="37">
        <v>8.0</v>
      </c>
      <c r="D1243" s="34">
        <v>4.0</v>
      </c>
      <c r="E1243" s="34">
        <v>4.0</v>
      </c>
      <c r="F1243" s="35" t="s">
        <v>16</v>
      </c>
      <c r="G1243" s="51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>
      <c r="A1244" s="10">
        <v>1243.0</v>
      </c>
      <c r="B1244" s="34">
        <v>2017.0</v>
      </c>
      <c r="C1244" s="37">
        <v>8.0</v>
      </c>
      <c r="D1244" s="34">
        <v>5.0</v>
      </c>
      <c r="E1244" s="34">
        <v>1.0</v>
      </c>
      <c r="F1244" s="35" t="s">
        <v>16</v>
      </c>
      <c r="G1244" s="50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>
      <c r="A1245" s="34">
        <v>1244.0</v>
      </c>
      <c r="B1245" s="34">
        <v>2017.0</v>
      </c>
      <c r="C1245" s="37">
        <v>8.0</v>
      </c>
      <c r="D1245" s="34">
        <v>5.0</v>
      </c>
      <c r="E1245" s="34">
        <v>1.0</v>
      </c>
      <c r="F1245" s="35" t="s">
        <v>16</v>
      </c>
      <c r="G1245" s="51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>
      <c r="A1246" s="34">
        <v>1245.0</v>
      </c>
      <c r="B1246" s="34">
        <v>2017.0</v>
      </c>
      <c r="C1246" s="37">
        <v>8.0</v>
      </c>
      <c r="D1246" s="34">
        <v>5.0</v>
      </c>
      <c r="E1246" s="34">
        <v>2.0</v>
      </c>
      <c r="F1246" s="35" t="s">
        <v>16</v>
      </c>
      <c r="G1246" s="50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>
      <c r="A1247" s="10">
        <v>1246.0</v>
      </c>
      <c r="B1247" s="34">
        <v>2017.0</v>
      </c>
      <c r="C1247" s="37">
        <v>8.0</v>
      </c>
      <c r="D1247" s="34">
        <v>5.0</v>
      </c>
      <c r="E1247" s="34">
        <v>2.0</v>
      </c>
      <c r="F1247" s="35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>
      <c r="A1248" s="34">
        <v>1247.0</v>
      </c>
      <c r="B1248" s="34">
        <v>2017.0</v>
      </c>
      <c r="C1248" s="37">
        <v>8.0</v>
      </c>
      <c r="D1248" s="34">
        <v>5.0</v>
      </c>
      <c r="E1248" s="34">
        <v>3.0</v>
      </c>
      <c r="F1248" s="35" t="s">
        <v>16</v>
      </c>
      <c r="G1248" s="50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>
      <c r="A1249" s="34">
        <v>1248.0</v>
      </c>
      <c r="B1249" s="34">
        <v>2017.0</v>
      </c>
      <c r="C1249" s="37">
        <v>8.0</v>
      </c>
      <c r="D1249" s="34">
        <v>5.0</v>
      </c>
      <c r="E1249" s="34">
        <v>3.0</v>
      </c>
      <c r="F1249" s="35" t="s">
        <v>16</v>
      </c>
      <c r="G1249" s="51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>
      <c r="A1250" s="10">
        <v>1249.0</v>
      </c>
      <c r="B1250" s="34">
        <v>2017.0</v>
      </c>
      <c r="C1250" s="37">
        <v>8.0</v>
      </c>
      <c r="D1250" s="34">
        <v>5.0</v>
      </c>
      <c r="E1250" s="34">
        <v>4.0</v>
      </c>
      <c r="F1250" s="35" t="s">
        <v>16</v>
      </c>
      <c r="G1250" s="50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>
      <c r="A1251" s="34">
        <v>1250.0</v>
      </c>
      <c r="B1251" s="34">
        <v>2017.0</v>
      </c>
      <c r="C1251" s="37">
        <v>8.0</v>
      </c>
      <c r="D1251" s="34">
        <v>5.0</v>
      </c>
      <c r="E1251" s="34">
        <v>4.0</v>
      </c>
      <c r="F1251" s="35" t="s">
        <v>16</v>
      </c>
      <c r="G1251" s="51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>
      <c r="A1252" s="34">
        <v>1251.0</v>
      </c>
      <c r="B1252" s="34">
        <v>2017.0</v>
      </c>
      <c r="C1252" s="37">
        <v>8.0</v>
      </c>
      <c r="D1252" s="34">
        <v>6.0</v>
      </c>
      <c r="E1252" s="34">
        <v>1.0</v>
      </c>
      <c r="F1252" s="35" t="s">
        <v>16</v>
      </c>
      <c r="G1252" s="50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>
      <c r="A1253" s="10">
        <v>1252.0</v>
      </c>
      <c r="B1253" s="34">
        <v>2017.0</v>
      </c>
      <c r="C1253" s="37">
        <v>8.0</v>
      </c>
      <c r="D1253" s="34">
        <v>6.0</v>
      </c>
      <c r="E1253" s="34">
        <v>1.0</v>
      </c>
      <c r="F1253" s="35" t="s">
        <v>16</v>
      </c>
      <c r="G1253" s="51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>
      <c r="A1254" s="34">
        <v>1253.0</v>
      </c>
      <c r="B1254" s="34">
        <v>2017.0</v>
      </c>
      <c r="C1254" s="37">
        <v>8.0</v>
      </c>
      <c r="D1254" s="34">
        <v>6.0</v>
      </c>
      <c r="E1254" s="34">
        <v>2.0</v>
      </c>
      <c r="F1254" s="35" t="s">
        <v>16</v>
      </c>
      <c r="G1254" s="50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>
      <c r="A1255" s="34">
        <v>1254.0</v>
      </c>
      <c r="B1255" s="34">
        <v>2017.0</v>
      </c>
      <c r="C1255" s="37">
        <v>8.0</v>
      </c>
      <c r="D1255" s="34">
        <v>6.0</v>
      </c>
      <c r="E1255" s="34">
        <v>2.0</v>
      </c>
      <c r="F1255" s="35" t="s">
        <v>16</v>
      </c>
      <c r="G1255" s="51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>
      <c r="A1256" s="10">
        <v>1255.0</v>
      </c>
      <c r="B1256" s="34">
        <v>2017.0</v>
      </c>
      <c r="C1256" s="37">
        <v>8.0</v>
      </c>
      <c r="D1256" s="34">
        <v>6.0</v>
      </c>
      <c r="E1256" s="34">
        <v>3.0</v>
      </c>
      <c r="F1256" s="35" t="s">
        <v>16</v>
      </c>
      <c r="G1256" s="50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>
      <c r="A1257" s="34">
        <v>1256.0</v>
      </c>
      <c r="B1257" s="34">
        <v>2017.0</v>
      </c>
      <c r="C1257" s="37">
        <v>8.0</v>
      </c>
      <c r="D1257" s="34">
        <v>6.0</v>
      </c>
      <c r="E1257" s="34">
        <v>3.0</v>
      </c>
      <c r="F1257" s="35" t="s">
        <v>16</v>
      </c>
      <c r="G1257" s="51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>
      <c r="A1258" s="34">
        <v>1257.0</v>
      </c>
      <c r="B1258" s="34">
        <v>2017.0</v>
      </c>
      <c r="C1258" s="37">
        <v>8.0</v>
      </c>
      <c r="D1258" s="34">
        <v>6.0</v>
      </c>
      <c r="E1258" s="34">
        <v>4.0</v>
      </c>
      <c r="F1258" s="35" t="s">
        <v>16</v>
      </c>
      <c r="G1258" s="50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>
      <c r="A1259" s="10">
        <v>1258.0</v>
      </c>
      <c r="B1259" s="34">
        <v>2017.0</v>
      </c>
      <c r="C1259" s="37">
        <v>8.0</v>
      </c>
      <c r="D1259" s="34">
        <v>6.0</v>
      </c>
      <c r="E1259" s="34">
        <v>4.0</v>
      </c>
      <c r="F1259" s="35" t="s">
        <v>16</v>
      </c>
      <c r="G1259" s="51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>
      <c r="A1260" s="34">
        <v>1259.0</v>
      </c>
      <c r="B1260" s="34">
        <v>2017.0</v>
      </c>
      <c r="C1260" s="37">
        <v>8.0</v>
      </c>
      <c r="D1260" s="34">
        <v>7.0</v>
      </c>
      <c r="E1260" s="34">
        <v>1.0</v>
      </c>
      <c r="F1260" s="35" t="s">
        <v>16</v>
      </c>
      <c r="G1260" s="50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>
      <c r="A1261" s="34">
        <v>1260.0</v>
      </c>
      <c r="B1261" s="34">
        <v>2017.0</v>
      </c>
      <c r="C1261" s="37">
        <v>8.0</v>
      </c>
      <c r="D1261" s="34">
        <v>7.0</v>
      </c>
      <c r="E1261" s="34">
        <v>1.0</v>
      </c>
      <c r="F1261" s="35" t="s">
        <v>16</v>
      </c>
      <c r="G1261" s="51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>
      <c r="A1262" s="10">
        <v>1261.0</v>
      </c>
      <c r="B1262" s="34">
        <v>2017.0</v>
      </c>
      <c r="C1262" s="37">
        <v>8.0</v>
      </c>
      <c r="D1262" s="34">
        <v>7.0</v>
      </c>
      <c r="E1262" s="34">
        <v>2.0</v>
      </c>
      <c r="F1262" s="35" t="s">
        <v>16</v>
      </c>
      <c r="G1262" s="50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>
      <c r="A1263" s="34">
        <v>1262.0</v>
      </c>
      <c r="B1263" s="34">
        <v>2017.0</v>
      </c>
      <c r="C1263" s="37">
        <v>8.0</v>
      </c>
      <c r="D1263" s="34">
        <v>7.0</v>
      </c>
      <c r="E1263" s="34">
        <v>2.0</v>
      </c>
      <c r="F1263" s="35" t="s">
        <v>16</v>
      </c>
      <c r="G1263" s="51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>
      <c r="A1264" s="34">
        <v>1263.0</v>
      </c>
      <c r="B1264" s="34">
        <v>2017.0</v>
      </c>
      <c r="C1264" s="37">
        <v>8.0</v>
      </c>
      <c r="D1264" s="34">
        <v>8.0</v>
      </c>
      <c r="E1264" s="34">
        <v>1.0</v>
      </c>
      <c r="F1264" s="35" t="s">
        <v>16</v>
      </c>
      <c r="G1264" s="50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>
      <c r="A1265" s="10">
        <v>1264.0</v>
      </c>
      <c r="B1265" s="34">
        <v>2017.0</v>
      </c>
      <c r="C1265" s="37">
        <v>8.0</v>
      </c>
      <c r="D1265" s="34">
        <v>8.0</v>
      </c>
      <c r="E1265" s="34">
        <v>1.0</v>
      </c>
      <c r="F1265" s="35" t="s">
        <v>16</v>
      </c>
      <c r="G1265" s="51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>
      <c r="A1266" s="34">
        <v>1265.0</v>
      </c>
      <c r="B1266" s="34">
        <v>2017.0</v>
      </c>
      <c r="C1266" s="37">
        <v>9.0</v>
      </c>
      <c r="D1266" s="34">
        <v>1.0</v>
      </c>
      <c r="E1266" s="34">
        <v>1.0</v>
      </c>
      <c r="F1266" s="35" t="s">
        <v>16</v>
      </c>
      <c r="G1266" s="52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>
      <c r="A1267" s="10">
        <v>1266.0</v>
      </c>
      <c r="B1267" s="34">
        <v>2017.0</v>
      </c>
      <c r="C1267" s="37">
        <v>9.0</v>
      </c>
      <c r="D1267" s="34">
        <v>1.0</v>
      </c>
      <c r="E1267" s="34">
        <v>1.0</v>
      </c>
      <c r="F1267" s="35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>
      <c r="A1268" s="34">
        <v>1267.0</v>
      </c>
      <c r="B1268" s="34">
        <v>2017.0</v>
      </c>
      <c r="C1268" s="37">
        <v>9.0</v>
      </c>
      <c r="D1268" s="34">
        <v>1.0</v>
      </c>
      <c r="E1268" s="34">
        <v>1.0</v>
      </c>
      <c r="F1268" s="35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>
      <c r="A1269" s="10">
        <v>1268.0</v>
      </c>
      <c r="B1269" s="34">
        <v>2017.0</v>
      </c>
      <c r="C1269" s="37">
        <v>9.0</v>
      </c>
      <c r="D1269" s="34">
        <v>1.0</v>
      </c>
      <c r="E1269" s="34">
        <v>2.0</v>
      </c>
      <c r="F1269" s="35" t="s">
        <v>16</v>
      </c>
      <c r="G1269" s="52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>
      <c r="A1270" s="34">
        <v>1269.0</v>
      </c>
      <c r="B1270" s="34">
        <v>2017.0</v>
      </c>
      <c r="C1270" s="37">
        <v>9.0</v>
      </c>
      <c r="D1270" s="34">
        <v>1.0</v>
      </c>
      <c r="E1270" s="34">
        <v>2.0</v>
      </c>
      <c r="F1270" s="35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>
      <c r="A1271" s="10">
        <v>1270.0</v>
      </c>
      <c r="B1271" s="34">
        <v>2017.0</v>
      </c>
      <c r="C1271" s="37">
        <v>9.0</v>
      </c>
      <c r="D1271" s="34">
        <v>1.0</v>
      </c>
      <c r="E1271" s="34">
        <v>2.0</v>
      </c>
      <c r="F1271" s="35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>
      <c r="A1272" s="34">
        <v>1271.0</v>
      </c>
      <c r="B1272" s="34">
        <v>2017.0</v>
      </c>
      <c r="C1272" s="37">
        <v>9.0</v>
      </c>
      <c r="D1272" s="34">
        <v>1.0</v>
      </c>
      <c r="E1272" s="34">
        <v>3.0</v>
      </c>
      <c r="F1272" s="35" t="s">
        <v>16</v>
      </c>
      <c r="G1272" s="52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>
      <c r="A1273" s="10">
        <v>1272.0</v>
      </c>
      <c r="B1273" s="34">
        <v>2017.0</v>
      </c>
      <c r="C1273" s="37">
        <v>9.0</v>
      </c>
      <c r="D1273" s="34">
        <v>1.0</v>
      </c>
      <c r="E1273" s="34">
        <v>3.0</v>
      </c>
      <c r="F1273" s="35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>
      <c r="A1274" s="34">
        <v>1273.0</v>
      </c>
      <c r="B1274" s="34">
        <v>2017.0</v>
      </c>
      <c r="C1274" s="37">
        <v>9.0</v>
      </c>
      <c r="D1274" s="34">
        <v>1.0</v>
      </c>
      <c r="E1274" s="34">
        <v>3.0</v>
      </c>
      <c r="F1274" s="35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>
      <c r="A1275" s="10">
        <v>1274.0</v>
      </c>
      <c r="B1275" s="34">
        <v>2017.0</v>
      </c>
      <c r="C1275" s="37">
        <v>9.0</v>
      </c>
      <c r="D1275" s="34">
        <v>1.0</v>
      </c>
      <c r="E1275" s="34">
        <v>4.0</v>
      </c>
      <c r="F1275" s="35" t="s">
        <v>16</v>
      </c>
      <c r="G1275" s="52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>
      <c r="A1276" s="34">
        <v>1275.0</v>
      </c>
      <c r="B1276" s="34">
        <v>2017.0</v>
      </c>
      <c r="C1276" s="37">
        <v>9.0</v>
      </c>
      <c r="D1276" s="34">
        <v>1.0</v>
      </c>
      <c r="E1276" s="34">
        <v>4.0</v>
      </c>
      <c r="F1276" s="35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>
      <c r="A1277" s="10">
        <v>1276.0</v>
      </c>
      <c r="B1277" s="34">
        <v>2017.0</v>
      </c>
      <c r="C1277" s="37">
        <v>9.0</v>
      </c>
      <c r="D1277" s="34">
        <v>1.0</v>
      </c>
      <c r="E1277" s="34">
        <v>4.0</v>
      </c>
      <c r="F1277" s="35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>
      <c r="A1278" s="34">
        <v>1277.0</v>
      </c>
      <c r="B1278" s="34">
        <v>2017.0</v>
      </c>
      <c r="C1278" s="37">
        <v>9.0</v>
      </c>
      <c r="D1278" s="34">
        <v>1.0</v>
      </c>
      <c r="E1278" s="34">
        <v>5.0</v>
      </c>
      <c r="F1278" s="35" t="s">
        <v>16</v>
      </c>
      <c r="G1278" s="52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>
      <c r="A1279" s="10">
        <v>1278.0</v>
      </c>
      <c r="B1279" s="34">
        <v>2017.0</v>
      </c>
      <c r="C1279" s="37">
        <v>9.0</v>
      </c>
      <c r="D1279" s="34">
        <v>1.0</v>
      </c>
      <c r="E1279" s="34">
        <v>5.0</v>
      </c>
      <c r="F1279" s="35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>
      <c r="A1280" s="34">
        <v>1279.0</v>
      </c>
      <c r="B1280" s="34">
        <v>2017.0</v>
      </c>
      <c r="C1280" s="37">
        <v>9.0</v>
      </c>
      <c r="D1280" s="34">
        <v>1.0</v>
      </c>
      <c r="E1280" s="34">
        <v>5.0</v>
      </c>
      <c r="F1280" s="35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>
      <c r="A1281" s="10">
        <v>1280.0</v>
      </c>
      <c r="B1281" s="34">
        <v>2017.0</v>
      </c>
      <c r="C1281" s="37">
        <v>9.0</v>
      </c>
      <c r="D1281" s="34">
        <v>1.0</v>
      </c>
      <c r="E1281" s="34">
        <v>6.0</v>
      </c>
      <c r="F1281" s="35" t="s">
        <v>16</v>
      </c>
      <c r="G1281" s="52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>
      <c r="A1282" s="34">
        <v>1281.0</v>
      </c>
      <c r="B1282" s="34">
        <v>2017.0</v>
      </c>
      <c r="C1282" s="37">
        <v>9.0</v>
      </c>
      <c r="D1282" s="34">
        <v>1.0</v>
      </c>
      <c r="E1282" s="34">
        <v>6.0</v>
      </c>
      <c r="F1282" s="35" t="s">
        <v>16</v>
      </c>
      <c r="G1282" s="10" t="s">
        <v>174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>
      <c r="A1283" s="10">
        <v>1282.0</v>
      </c>
      <c r="B1283" s="34">
        <v>2017.0</v>
      </c>
      <c r="C1283" s="37">
        <v>9.0</v>
      </c>
      <c r="D1283" s="34">
        <v>1.0</v>
      </c>
      <c r="E1283" s="34">
        <v>6.0</v>
      </c>
      <c r="F1283" s="35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>
      <c r="A1284" s="34">
        <v>1283.0</v>
      </c>
      <c r="B1284" s="34">
        <v>2017.0</v>
      </c>
      <c r="C1284" s="37">
        <v>9.0</v>
      </c>
      <c r="D1284" s="34">
        <v>1.0</v>
      </c>
      <c r="E1284" s="34">
        <v>7.0</v>
      </c>
      <c r="F1284" s="35" t="s">
        <v>16</v>
      </c>
      <c r="G1284" s="52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>
      <c r="A1285" s="10">
        <v>1284.0</v>
      </c>
      <c r="B1285" s="34">
        <v>2017.0</v>
      </c>
      <c r="C1285" s="37">
        <v>9.0</v>
      </c>
      <c r="D1285" s="34">
        <v>1.0</v>
      </c>
      <c r="E1285" s="34">
        <v>7.0</v>
      </c>
      <c r="F1285" s="35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>
      <c r="A1286" s="34">
        <v>1285.0</v>
      </c>
      <c r="B1286" s="34">
        <v>2017.0</v>
      </c>
      <c r="C1286" s="37">
        <v>9.0</v>
      </c>
      <c r="D1286" s="34">
        <v>1.0</v>
      </c>
      <c r="E1286" s="34">
        <v>7.0</v>
      </c>
      <c r="F1286" s="35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>
      <c r="A1287" s="10">
        <v>1286.0</v>
      </c>
      <c r="B1287" s="34">
        <v>2017.0</v>
      </c>
      <c r="C1287" s="37">
        <v>9.0</v>
      </c>
      <c r="D1287" s="34">
        <v>1.0</v>
      </c>
      <c r="E1287" s="34">
        <v>8.0</v>
      </c>
      <c r="F1287" s="35" t="s">
        <v>16</v>
      </c>
      <c r="G1287" s="52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>
      <c r="A1288" s="34">
        <v>1287.0</v>
      </c>
      <c r="B1288" s="34">
        <v>2017.0</v>
      </c>
      <c r="C1288" s="37">
        <v>9.0</v>
      </c>
      <c r="D1288" s="34">
        <v>1.0</v>
      </c>
      <c r="E1288" s="34">
        <v>8.0</v>
      </c>
      <c r="F1288" s="35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>
      <c r="A1289" s="10">
        <v>1288.0</v>
      </c>
      <c r="B1289" s="34">
        <v>2017.0</v>
      </c>
      <c r="C1289" s="37">
        <v>9.0</v>
      </c>
      <c r="D1289" s="34">
        <v>1.0</v>
      </c>
      <c r="E1289" s="34">
        <v>8.0</v>
      </c>
      <c r="F1289" s="35" t="s">
        <v>16</v>
      </c>
      <c r="G1289" s="10" t="s">
        <v>141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>
      <c r="A1290" s="34">
        <v>1289.0</v>
      </c>
      <c r="B1290" s="34">
        <v>2017.0</v>
      </c>
      <c r="C1290" s="37">
        <v>9.0</v>
      </c>
      <c r="D1290" s="34">
        <v>1.0</v>
      </c>
      <c r="E1290" s="34">
        <v>9.0</v>
      </c>
      <c r="F1290" s="35" t="s">
        <v>16</v>
      </c>
      <c r="G1290" s="52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>
      <c r="A1291" s="10">
        <v>1290.0</v>
      </c>
      <c r="B1291" s="34">
        <v>2017.0</v>
      </c>
      <c r="C1291" s="37">
        <v>9.0</v>
      </c>
      <c r="D1291" s="34">
        <v>1.0</v>
      </c>
      <c r="E1291" s="34">
        <v>9.0</v>
      </c>
      <c r="F1291" s="35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>
      <c r="A1292" s="34">
        <v>1291.0</v>
      </c>
      <c r="B1292" s="34">
        <v>2017.0</v>
      </c>
      <c r="C1292" s="37">
        <v>9.0</v>
      </c>
      <c r="D1292" s="34">
        <v>1.0</v>
      </c>
      <c r="E1292" s="34">
        <v>9.0</v>
      </c>
      <c r="F1292" s="35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>
      <c r="A1293" s="10">
        <v>1292.0</v>
      </c>
      <c r="B1293" s="34">
        <v>2017.0</v>
      </c>
      <c r="C1293" s="37">
        <v>9.0</v>
      </c>
      <c r="D1293" s="34">
        <v>1.0</v>
      </c>
      <c r="E1293" s="34">
        <v>10.0</v>
      </c>
      <c r="F1293" s="35" t="s">
        <v>16</v>
      </c>
      <c r="G1293" s="52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>
      <c r="A1294" s="34">
        <v>1293.0</v>
      </c>
      <c r="B1294" s="34">
        <v>2017.0</v>
      </c>
      <c r="C1294" s="37">
        <v>9.0</v>
      </c>
      <c r="D1294" s="34">
        <v>1.0</v>
      </c>
      <c r="E1294" s="34">
        <v>10.0</v>
      </c>
      <c r="F1294" s="35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>
      <c r="A1295" s="10">
        <v>1294.0</v>
      </c>
      <c r="B1295" s="34">
        <v>2017.0</v>
      </c>
      <c r="C1295" s="37">
        <v>9.0</v>
      </c>
      <c r="D1295" s="34">
        <v>1.0</v>
      </c>
      <c r="E1295" s="34">
        <v>10.0</v>
      </c>
      <c r="F1295" s="35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>
      <c r="A1296" s="34">
        <v>1295.0</v>
      </c>
      <c r="B1296" s="34">
        <v>2017.0</v>
      </c>
      <c r="C1296" s="37">
        <v>9.0</v>
      </c>
      <c r="D1296" s="34">
        <v>1.0</v>
      </c>
      <c r="E1296" s="34">
        <v>11.0</v>
      </c>
      <c r="F1296" s="35" t="s">
        <v>16</v>
      </c>
      <c r="G1296" s="52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>
      <c r="A1297" s="10">
        <v>1296.0</v>
      </c>
      <c r="B1297" s="34">
        <v>2017.0</v>
      </c>
      <c r="C1297" s="37">
        <v>9.0</v>
      </c>
      <c r="D1297" s="34">
        <v>1.0</v>
      </c>
      <c r="E1297" s="34">
        <v>11.0</v>
      </c>
      <c r="F1297" s="35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>
      <c r="A1298" s="34">
        <v>1297.0</v>
      </c>
      <c r="B1298" s="34">
        <v>2017.0</v>
      </c>
      <c r="C1298" s="37">
        <v>9.0</v>
      </c>
      <c r="D1298" s="34">
        <v>1.0</v>
      </c>
      <c r="E1298" s="34">
        <v>11.0</v>
      </c>
      <c r="F1298" s="35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>
      <c r="A1299" s="10">
        <v>1298.0</v>
      </c>
      <c r="B1299" s="34">
        <v>2017.0</v>
      </c>
      <c r="C1299" s="37">
        <v>9.0</v>
      </c>
      <c r="D1299" s="34">
        <v>1.0</v>
      </c>
      <c r="E1299" s="34">
        <v>12.0</v>
      </c>
      <c r="F1299" s="35" t="s">
        <v>16</v>
      </c>
      <c r="G1299" s="52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>
      <c r="A1300" s="34">
        <v>1299.0</v>
      </c>
      <c r="B1300" s="34">
        <v>2017.0</v>
      </c>
      <c r="C1300" s="37">
        <v>9.0</v>
      </c>
      <c r="D1300" s="34">
        <v>1.0</v>
      </c>
      <c r="E1300" s="34">
        <v>12.0</v>
      </c>
      <c r="F1300" s="35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>
      <c r="A1301" s="10">
        <v>1300.0</v>
      </c>
      <c r="B1301" s="34">
        <v>2017.0</v>
      </c>
      <c r="C1301" s="37">
        <v>9.0</v>
      </c>
      <c r="D1301" s="34">
        <v>1.0</v>
      </c>
      <c r="E1301" s="34">
        <v>12.0</v>
      </c>
      <c r="F1301" s="35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>
      <c r="A1302" s="34">
        <v>1301.0</v>
      </c>
      <c r="B1302" s="34">
        <v>2017.0</v>
      </c>
      <c r="C1302" s="37">
        <v>9.0</v>
      </c>
      <c r="D1302" s="34">
        <v>2.0</v>
      </c>
      <c r="E1302" s="34">
        <v>1.0</v>
      </c>
      <c r="F1302" s="35" t="s">
        <v>16</v>
      </c>
      <c r="G1302" s="52" t="s">
        <v>174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>
      <c r="A1303" s="10">
        <v>1302.0</v>
      </c>
      <c r="B1303" s="34">
        <v>2017.0</v>
      </c>
      <c r="C1303" s="37">
        <v>9.0</v>
      </c>
      <c r="D1303" s="34">
        <v>2.0</v>
      </c>
      <c r="E1303" s="34">
        <v>1.0</v>
      </c>
      <c r="F1303" s="35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>
      <c r="A1304" s="34">
        <v>1303.0</v>
      </c>
      <c r="B1304" s="34">
        <v>2017.0</v>
      </c>
      <c r="C1304" s="37">
        <v>9.0</v>
      </c>
      <c r="D1304" s="34">
        <v>2.0</v>
      </c>
      <c r="E1304" s="34">
        <v>2.0</v>
      </c>
      <c r="F1304" s="35" t="s">
        <v>16</v>
      </c>
      <c r="G1304" s="52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>
      <c r="A1305" s="10">
        <v>1304.0</v>
      </c>
      <c r="B1305" s="34">
        <v>2017.0</v>
      </c>
      <c r="C1305" s="37">
        <v>9.0</v>
      </c>
      <c r="D1305" s="34">
        <v>2.0</v>
      </c>
      <c r="E1305" s="34">
        <v>2.0</v>
      </c>
      <c r="F1305" s="35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>
      <c r="A1306" s="34">
        <v>1305.0</v>
      </c>
      <c r="B1306" s="34">
        <v>2017.0</v>
      </c>
      <c r="C1306" s="37">
        <v>9.0</v>
      </c>
      <c r="D1306" s="34">
        <v>2.0</v>
      </c>
      <c r="E1306" s="34">
        <v>3.0</v>
      </c>
      <c r="F1306" s="35" t="s">
        <v>16</v>
      </c>
      <c r="G1306" s="52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>
      <c r="A1307" s="10">
        <v>1306.0</v>
      </c>
      <c r="B1307" s="34">
        <v>2017.0</v>
      </c>
      <c r="C1307" s="37">
        <v>9.0</v>
      </c>
      <c r="D1307" s="34">
        <v>2.0</v>
      </c>
      <c r="E1307" s="34">
        <v>3.0</v>
      </c>
      <c r="F1307" s="35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>
      <c r="A1308" s="34">
        <v>1307.0</v>
      </c>
      <c r="B1308" s="34">
        <v>2017.0</v>
      </c>
      <c r="C1308" s="37">
        <v>9.0</v>
      </c>
      <c r="D1308" s="34">
        <v>2.0</v>
      </c>
      <c r="E1308" s="34">
        <v>4.0</v>
      </c>
      <c r="F1308" s="35" t="s">
        <v>16</v>
      </c>
      <c r="G1308" s="52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>
      <c r="A1309" s="10">
        <v>1308.0</v>
      </c>
      <c r="B1309" s="34">
        <v>2017.0</v>
      </c>
      <c r="C1309" s="37">
        <v>9.0</v>
      </c>
      <c r="D1309" s="34">
        <v>2.0</v>
      </c>
      <c r="E1309" s="34">
        <v>4.0</v>
      </c>
      <c r="F1309" s="35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>
      <c r="A1310" s="34">
        <v>1309.0</v>
      </c>
      <c r="B1310" s="34">
        <v>2017.0</v>
      </c>
      <c r="C1310" s="37">
        <v>9.0</v>
      </c>
      <c r="D1310" s="34">
        <v>2.0</v>
      </c>
      <c r="E1310" s="34">
        <v>5.0</v>
      </c>
      <c r="F1310" s="35" t="s">
        <v>16</v>
      </c>
      <c r="G1310" s="52" t="s">
        <v>141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>
      <c r="A1311" s="10">
        <v>1310.0</v>
      </c>
      <c r="B1311" s="34">
        <v>2017.0</v>
      </c>
      <c r="C1311" s="37">
        <v>9.0</v>
      </c>
      <c r="D1311" s="34">
        <v>2.0</v>
      </c>
      <c r="E1311" s="34">
        <v>5.0</v>
      </c>
      <c r="F1311" s="35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>
      <c r="A1312" s="34">
        <v>1311.0</v>
      </c>
      <c r="B1312" s="34">
        <v>2017.0</v>
      </c>
      <c r="C1312" s="37">
        <v>9.0</v>
      </c>
      <c r="D1312" s="34">
        <v>2.0</v>
      </c>
      <c r="E1312" s="34">
        <v>6.0</v>
      </c>
      <c r="F1312" s="35" t="s">
        <v>16</v>
      </c>
      <c r="G1312" s="52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>
      <c r="A1313" s="10">
        <v>1312.0</v>
      </c>
      <c r="B1313" s="34">
        <v>2017.0</v>
      </c>
      <c r="C1313" s="37">
        <v>9.0</v>
      </c>
      <c r="D1313" s="34">
        <v>2.0</v>
      </c>
      <c r="E1313" s="34">
        <v>6.0</v>
      </c>
      <c r="F1313" s="35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>
      <c r="A1314" s="34">
        <v>1313.0</v>
      </c>
      <c r="B1314" s="34">
        <v>2017.0</v>
      </c>
      <c r="C1314" s="37">
        <v>9.0</v>
      </c>
      <c r="D1314" s="34">
        <v>2.0</v>
      </c>
      <c r="E1314" s="34">
        <v>7.0</v>
      </c>
      <c r="F1314" s="35" t="s">
        <v>16</v>
      </c>
      <c r="G1314" s="52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>
      <c r="A1315" s="10">
        <v>1314.0</v>
      </c>
      <c r="B1315" s="34">
        <v>2017.0</v>
      </c>
      <c r="C1315" s="37">
        <v>9.0</v>
      </c>
      <c r="D1315" s="34">
        <v>2.0</v>
      </c>
      <c r="E1315" s="34">
        <v>7.0</v>
      </c>
      <c r="F1315" s="35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>
      <c r="A1316" s="34">
        <v>1315.0</v>
      </c>
      <c r="B1316" s="34">
        <v>2017.0</v>
      </c>
      <c r="C1316" s="37">
        <v>9.0</v>
      </c>
      <c r="D1316" s="34">
        <v>2.0</v>
      </c>
      <c r="E1316" s="34">
        <v>8.0</v>
      </c>
      <c r="F1316" s="35" t="s">
        <v>16</v>
      </c>
      <c r="G1316" s="52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>
      <c r="A1317" s="10">
        <v>1316.0</v>
      </c>
      <c r="B1317" s="34">
        <v>2017.0</v>
      </c>
      <c r="C1317" s="37">
        <v>9.0</v>
      </c>
      <c r="D1317" s="34">
        <v>2.0</v>
      </c>
      <c r="E1317" s="34">
        <v>8.0</v>
      </c>
      <c r="F1317" s="35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>
      <c r="A1318" s="34">
        <v>1317.0</v>
      </c>
      <c r="B1318" s="34">
        <v>2017.0</v>
      </c>
      <c r="C1318" s="37">
        <v>9.0</v>
      </c>
      <c r="D1318" s="34">
        <v>2.0</v>
      </c>
      <c r="E1318" s="34">
        <v>9.0</v>
      </c>
      <c r="F1318" s="35" t="s">
        <v>16</v>
      </c>
      <c r="G1318" s="52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>
      <c r="A1319" s="10">
        <v>1318.0</v>
      </c>
      <c r="B1319" s="34">
        <v>2017.0</v>
      </c>
      <c r="C1319" s="37">
        <v>9.0</v>
      </c>
      <c r="D1319" s="34">
        <v>2.0</v>
      </c>
      <c r="E1319" s="34">
        <v>9.0</v>
      </c>
      <c r="F1319" s="35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>
      <c r="A1320" s="34">
        <v>1319.0</v>
      </c>
      <c r="B1320" s="34">
        <v>2017.0</v>
      </c>
      <c r="C1320" s="37">
        <v>9.0</v>
      </c>
      <c r="D1320" s="34">
        <v>2.0</v>
      </c>
      <c r="E1320" s="34">
        <v>10.0</v>
      </c>
      <c r="F1320" s="35" t="s">
        <v>16</v>
      </c>
      <c r="G1320" s="52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>
      <c r="A1321" s="10">
        <v>1320.0</v>
      </c>
      <c r="B1321" s="34">
        <v>2017.0</v>
      </c>
      <c r="C1321" s="37">
        <v>9.0</v>
      </c>
      <c r="D1321" s="34">
        <v>2.0</v>
      </c>
      <c r="E1321" s="34">
        <v>10.0</v>
      </c>
      <c r="F1321" s="35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>
      <c r="A1322" s="34">
        <v>1321.0</v>
      </c>
      <c r="B1322" s="34">
        <v>2017.0</v>
      </c>
      <c r="C1322" s="37">
        <v>9.0</v>
      </c>
      <c r="D1322" s="34">
        <v>2.0</v>
      </c>
      <c r="E1322" s="34">
        <v>11.0</v>
      </c>
      <c r="F1322" s="35" t="s">
        <v>16</v>
      </c>
      <c r="G1322" s="52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>
      <c r="A1323" s="10">
        <v>1322.0</v>
      </c>
      <c r="B1323" s="34">
        <v>2017.0</v>
      </c>
      <c r="C1323" s="37">
        <v>9.0</v>
      </c>
      <c r="D1323" s="34">
        <v>2.0</v>
      </c>
      <c r="E1323" s="34">
        <v>11.0</v>
      </c>
      <c r="F1323" s="35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>
      <c r="A1324" s="34">
        <v>1323.0</v>
      </c>
      <c r="B1324" s="34">
        <v>2017.0</v>
      </c>
      <c r="C1324" s="37">
        <v>9.0</v>
      </c>
      <c r="D1324" s="34">
        <v>2.0</v>
      </c>
      <c r="E1324" s="34">
        <v>12.0</v>
      </c>
      <c r="F1324" s="35" t="s">
        <v>16</v>
      </c>
      <c r="G1324" s="52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>
      <c r="A1325" s="10">
        <v>1324.0</v>
      </c>
      <c r="B1325" s="34">
        <v>2017.0</v>
      </c>
      <c r="C1325" s="37">
        <v>9.0</v>
      </c>
      <c r="D1325" s="34">
        <v>2.0</v>
      </c>
      <c r="E1325" s="34">
        <v>12.0</v>
      </c>
      <c r="F1325" s="35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>
      <c r="A1326" s="34">
        <v>1325.0</v>
      </c>
      <c r="B1326" s="34">
        <v>2017.0</v>
      </c>
      <c r="C1326" s="37">
        <v>9.0</v>
      </c>
      <c r="D1326" s="34">
        <v>3.0</v>
      </c>
      <c r="E1326" s="34">
        <v>1.0</v>
      </c>
      <c r="F1326" s="35" t="s">
        <v>16</v>
      </c>
      <c r="G1326" s="52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>
      <c r="A1327" s="10">
        <v>1326.0</v>
      </c>
      <c r="B1327" s="34">
        <v>2017.0</v>
      </c>
      <c r="C1327" s="37">
        <v>9.0</v>
      </c>
      <c r="D1327" s="34">
        <v>3.0</v>
      </c>
      <c r="E1327" s="34">
        <v>1.0</v>
      </c>
      <c r="F1327" s="35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>
      <c r="A1328" s="34">
        <v>1327.0</v>
      </c>
      <c r="B1328" s="34">
        <v>2017.0</v>
      </c>
      <c r="C1328" s="37">
        <v>9.0</v>
      </c>
      <c r="D1328" s="34">
        <v>3.0</v>
      </c>
      <c r="E1328" s="34">
        <v>2.0</v>
      </c>
      <c r="F1328" s="35" t="s">
        <v>16</v>
      </c>
      <c r="G1328" s="52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>
      <c r="A1329" s="10">
        <v>1328.0</v>
      </c>
      <c r="B1329" s="34">
        <v>2017.0</v>
      </c>
      <c r="C1329" s="37">
        <v>9.0</v>
      </c>
      <c r="D1329" s="34">
        <v>3.0</v>
      </c>
      <c r="E1329" s="34">
        <v>2.0</v>
      </c>
      <c r="F1329" s="35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>
      <c r="A1330" s="34">
        <v>1329.0</v>
      </c>
      <c r="B1330" s="34">
        <v>2017.0</v>
      </c>
      <c r="C1330" s="37">
        <v>9.0</v>
      </c>
      <c r="D1330" s="34">
        <v>3.0</v>
      </c>
      <c r="E1330" s="34">
        <v>3.0</v>
      </c>
      <c r="F1330" s="35" t="s">
        <v>16</v>
      </c>
      <c r="G1330" s="52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>
      <c r="A1331" s="10">
        <v>1330.0</v>
      </c>
      <c r="B1331" s="34">
        <v>2017.0</v>
      </c>
      <c r="C1331" s="37">
        <v>9.0</v>
      </c>
      <c r="D1331" s="34">
        <v>3.0</v>
      </c>
      <c r="E1331" s="34">
        <v>3.0</v>
      </c>
      <c r="F1331" s="35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>
      <c r="A1332" s="34">
        <v>1331.0</v>
      </c>
      <c r="B1332" s="34">
        <v>2017.0</v>
      </c>
      <c r="C1332" s="37">
        <v>9.0</v>
      </c>
      <c r="D1332" s="34">
        <v>3.0</v>
      </c>
      <c r="E1332" s="34">
        <v>4.0</v>
      </c>
      <c r="F1332" s="35" t="s">
        <v>16</v>
      </c>
      <c r="G1332" s="52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>
      <c r="A1333" s="10">
        <v>1332.0</v>
      </c>
      <c r="B1333" s="34">
        <v>2017.0</v>
      </c>
      <c r="C1333" s="37">
        <v>9.0</v>
      </c>
      <c r="D1333" s="34">
        <v>3.0</v>
      </c>
      <c r="E1333" s="34">
        <v>4.0</v>
      </c>
      <c r="F1333" s="35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>
      <c r="A1334" s="34">
        <v>1333.0</v>
      </c>
      <c r="B1334" s="34">
        <v>2017.0</v>
      </c>
      <c r="C1334" s="37">
        <v>9.0</v>
      </c>
      <c r="D1334" s="34">
        <v>3.0</v>
      </c>
      <c r="E1334" s="34">
        <v>5.0</v>
      </c>
      <c r="F1334" s="35" t="s">
        <v>16</v>
      </c>
      <c r="G1334" s="52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>
      <c r="A1335" s="10">
        <v>1334.0</v>
      </c>
      <c r="B1335" s="34">
        <v>2017.0</v>
      </c>
      <c r="C1335" s="37">
        <v>9.0</v>
      </c>
      <c r="D1335" s="34">
        <v>3.0</v>
      </c>
      <c r="E1335" s="34">
        <v>5.0</v>
      </c>
      <c r="F1335" s="35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>
      <c r="A1336" s="34">
        <v>1335.0</v>
      </c>
      <c r="B1336" s="34">
        <v>2017.0</v>
      </c>
      <c r="C1336" s="37">
        <v>9.0</v>
      </c>
      <c r="D1336" s="34">
        <v>3.0</v>
      </c>
      <c r="E1336" s="34">
        <v>6.0</v>
      </c>
      <c r="F1336" s="35" t="s">
        <v>16</v>
      </c>
      <c r="G1336" s="52" t="s">
        <v>174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>
      <c r="A1337" s="10">
        <v>1336.0</v>
      </c>
      <c r="B1337" s="34">
        <v>2017.0</v>
      </c>
      <c r="C1337" s="37">
        <v>9.0</v>
      </c>
      <c r="D1337" s="34">
        <v>3.0</v>
      </c>
      <c r="E1337" s="34">
        <v>6.0</v>
      </c>
      <c r="F1337" s="35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>
      <c r="A1338" s="34">
        <v>1337.0</v>
      </c>
      <c r="B1338" s="34">
        <v>2017.0</v>
      </c>
      <c r="C1338" s="37">
        <v>9.0</v>
      </c>
      <c r="D1338" s="34">
        <v>3.0</v>
      </c>
      <c r="E1338" s="34">
        <v>7.0</v>
      </c>
      <c r="F1338" s="35" t="s">
        <v>16</v>
      </c>
      <c r="G1338" s="52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>
      <c r="A1339" s="10">
        <v>1338.0</v>
      </c>
      <c r="B1339" s="34">
        <v>2017.0</v>
      </c>
      <c r="C1339" s="37">
        <v>9.0</v>
      </c>
      <c r="D1339" s="34">
        <v>3.0</v>
      </c>
      <c r="E1339" s="34">
        <v>7.0</v>
      </c>
      <c r="F1339" s="35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>
      <c r="A1340" s="34">
        <v>1339.0</v>
      </c>
      <c r="B1340" s="34">
        <v>2017.0</v>
      </c>
      <c r="C1340" s="37">
        <v>9.0</v>
      </c>
      <c r="D1340" s="34">
        <v>3.0</v>
      </c>
      <c r="E1340" s="34">
        <v>8.0</v>
      </c>
      <c r="F1340" s="35" t="s">
        <v>16</v>
      </c>
      <c r="G1340" s="52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>
      <c r="A1341" s="10">
        <v>1340.0</v>
      </c>
      <c r="B1341" s="34">
        <v>2017.0</v>
      </c>
      <c r="C1341" s="37">
        <v>9.0</v>
      </c>
      <c r="D1341" s="34">
        <v>3.0</v>
      </c>
      <c r="E1341" s="34">
        <v>8.0</v>
      </c>
      <c r="F1341" s="35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>
      <c r="A1342" s="34">
        <v>1341.0</v>
      </c>
      <c r="B1342" s="34">
        <v>2017.0</v>
      </c>
      <c r="C1342" s="37">
        <v>9.0</v>
      </c>
      <c r="D1342" s="34">
        <v>3.0</v>
      </c>
      <c r="E1342" s="34">
        <v>9.0</v>
      </c>
      <c r="F1342" s="35" t="s">
        <v>16</v>
      </c>
      <c r="G1342" s="52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>
      <c r="A1343" s="10">
        <v>1342.0</v>
      </c>
      <c r="B1343" s="34">
        <v>2017.0</v>
      </c>
      <c r="C1343" s="37">
        <v>9.0</v>
      </c>
      <c r="D1343" s="34">
        <v>3.0</v>
      </c>
      <c r="E1343" s="34">
        <v>9.0</v>
      </c>
      <c r="F1343" s="35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>
      <c r="A1344" s="34">
        <v>1343.0</v>
      </c>
      <c r="B1344" s="34">
        <v>2017.0</v>
      </c>
      <c r="C1344" s="37">
        <v>9.0</v>
      </c>
      <c r="D1344" s="34">
        <v>3.0</v>
      </c>
      <c r="E1344" s="34">
        <v>10.0</v>
      </c>
      <c r="F1344" s="35" t="s">
        <v>16</v>
      </c>
      <c r="G1344" s="52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>
      <c r="A1345" s="10">
        <v>1344.0</v>
      </c>
      <c r="B1345" s="34">
        <v>2017.0</v>
      </c>
      <c r="C1345" s="37">
        <v>9.0</v>
      </c>
      <c r="D1345" s="34">
        <v>3.0</v>
      </c>
      <c r="E1345" s="34">
        <v>10.0</v>
      </c>
      <c r="F1345" s="35" t="s">
        <v>16</v>
      </c>
      <c r="G1345" s="10" t="s">
        <v>141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>
      <c r="A1346" s="34">
        <v>1345.0</v>
      </c>
      <c r="B1346" s="34">
        <v>2017.0</v>
      </c>
      <c r="C1346" s="37">
        <v>9.0</v>
      </c>
      <c r="D1346" s="34">
        <v>3.0</v>
      </c>
      <c r="E1346" s="34">
        <v>11.0</v>
      </c>
      <c r="F1346" s="35" t="s">
        <v>16</v>
      </c>
      <c r="G1346" s="52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>
      <c r="A1347" s="10">
        <v>1346.0</v>
      </c>
      <c r="B1347" s="34">
        <v>2017.0</v>
      </c>
      <c r="C1347" s="37">
        <v>9.0</v>
      </c>
      <c r="D1347" s="34">
        <v>3.0</v>
      </c>
      <c r="E1347" s="34">
        <v>11.0</v>
      </c>
      <c r="F1347" s="35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>
      <c r="A1348" s="34">
        <v>1347.0</v>
      </c>
      <c r="B1348" s="34">
        <v>2017.0</v>
      </c>
      <c r="C1348" s="37">
        <v>9.0</v>
      </c>
      <c r="D1348" s="34">
        <v>3.0</v>
      </c>
      <c r="E1348" s="34">
        <v>12.0</v>
      </c>
      <c r="F1348" s="35" t="s">
        <v>16</v>
      </c>
      <c r="G1348" s="52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>
      <c r="A1349" s="10">
        <v>1348.0</v>
      </c>
      <c r="B1349" s="34">
        <v>2017.0</v>
      </c>
      <c r="C1349" s="37">
        <v>9.0</v>
      </c>
      <c r="D1349" s="34">
        <v>3.0</v>
      </c>
      <c r="E1349" s="34">
        <v>12.0</v>
      </c>
      <c r="F1349" s="35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>
      <c r="A1350" s="34">
        <v>1349.0</v>
      </c>
      <c r="B1350" s="34">
        <v>2017.0</v>
      </c>
      <c r="C1350" s="37">
        <v>9.0</v>
      </c>
      <c r="D1350" s="34">
        <v>4.0</v>
      </c>
      <c r="E1350" s="34">
        <v>1.0</v>
      </c>
      <c r="F1350" s="35" t="s">
        <v>16</v>
      </c>
      <c r="G1350" s="52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>
      <c r="A1351" s="10">
        <v>1350.0</v>
      </c>
      <c r="B1351" s="34">
        <v>2017.0</v>
      </c>
      <c r="C1351" s="37">
        <v>9.0</v>
      </c>
      <c r="D1351" s="34">
        <v>4.0</v>
      </c>
      <c r="E1351" s="34">
        <v>1.0</v>
      </c>
      <c r="F1351" s="35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>
      <c r="A1352" s="34">
        <v>1351.0</v>
      </c>
      <c r="B1352" s="34">
        <v>2017.0</v>
      </c>
      <c r="C1352" s="37">
        <v>9.0</v>
      </c>
      <c r="D1352" s="34">
        <v>4.0</v>
      </c>
      <c r="E1352" s="34">
        <v>1.0</v>
      </c>
      <c r="F1352" s="35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>
      <c r="A1353" s="10">
        <v>1352.0</v>
      </c>
      <c r="B1353" s="34">
        <v>2017.0</v>
      </c>
      <c r="C1353" s="37">
        <v>9.0</v>
      </c>
      <c r="D1353" s="34">
        <v>4.0</v>
      </c>
      <c r="E1353" s="34">
        <v>2.0</v>
      </c>
      <c r="F1353" s="35" t="s">
        <v>16</v>
      </c>
      <c r="G1353" s="52" t="s">
        <v>174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>
      <c r="A1354" s="34">
        <v>1353.0</v>
      </c>
      <c r="B1354" s="34">
        <v>2017.0</v>
      </c>
      <c r="C1354" s="37">
        <v>9.0</v>
      </c>
      <c r="D1354" s="34">
        <v>4.0</v>
      </c>
      <c r="E1354" s="34">
        <v>2.0</v>
      </c>
      <c r="F1354" s="35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>
      <c r="A1355" s="10">
        <v>1354.0</v>
      </c>
      <c r="B1355" s="34">
        <v>2017.0</v>
      </c>
      <c r="C1355" s="37">
        <v>9.0</v>
      </c>
      <c r="D1355" s="34">
        <v>4.0</v>
      </c>
      <c r="E1355" s="34">
        <v>2.0</v>
      </c>
      <c r="F1355" s="35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>
      <c r="A1356" s="34">
        <v>1355.0</v>
      </c>
      <c r="B1356" s="34">
        <v>2017.0</v>
      </c>
      <c r="C1356" s="37">
        <v>9.0</v>
      </c>
      <c r="D1356" s="34">
        <v>4.0</v>
      </c>
      <c r="E1356" s="34">
        <v>3.0</v>
      </c>
      <c r="F1356" s="35" t="s">
        <v>16</v>
      </c>
      <c r="G1356" s="52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>
      <c r="A1357" s="10">
        <v>1356.0</v>
      </c>
      <c r="B1357" s="34">
        <v>2017.0</v>
      </c>
      <c r="C1357" s="37">
        <v>9.0</v>
      </c>
      <c r="D1357" s="34">
        <v>4.0</v>
      </c>
      <c r="E1357" s="34">
        <v>3.0</v>
      </c>
      <c r="F1357" s="35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>
      <c r="A1358" s="34">
        <v>1357.0</v>
      </c>
      <c r="B1358" s="34">
        <v>2017.0</v>
      </c>
      <c r="C1358" s="37">
        <v>9.0</v>
      </c>
      <c r="D1358" s="34">
        <v>4.0</v>
      </c>
      <c r="E1358" s="34">
        <v>3.0</v>
      </c>
      <c r="F1358" s="35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>
      <c r="A1359" s="10">
        <v>1358.0</v>
      </c>
      <c r="B1359" s="34">
        <v>2017.0</v>
      </c>
      <c r="C1359" s="37">
        <v>9.0</v>
      </c>
      <c r="D1359" s="34">
        <v>4.0</v>
      </c>
      <c r="E1359" s="34">
        <v>4.0</v>
      </c>
      <c r="F1359" s="35" t="s">
        <v>16</v>
      </c>
      <c r="G1359" s="52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>
      <c r="A1360" s="34">
        <v>1359.0</v>
      </c>
      <c r="B1360" s="34">
        <v>2017.0</v>
      </c>
      <c r="C1360" s="37">
        <v>9.0</v>
      </c>
      <c r="D1360" s="34">
        <v>4.0</v>
      </c>
      <c r="E1360" s="34">
        <v>4.0</v>
      </c>
      <c r="F1360" s="35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>
      <c r="A1361" s="10">
        <v>1360.0</v>
      </c>
      <c r="B1361" s="34">
        <v>2017.0</v>
      </c>
      <c r="C1361" s="37">
        <v>9.0</v>
      </c>
      <c r="D1361" s="34">
        <v>4.0</v>
      </c>
      <c r="E1361" s="34">
        <v>4.0</v>
      </c>
      <c r="F1361" s="35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>
      <c r="A1362" s="34">
        <v>1361.0</v>
      </c>
      <c r="B1362" s="34">
        <v>2017.0</v>
      </c>
      <c r="C1362" s="37">
        <v>9.0</v>
      </c>
      <c r="D1362" s="34">
        <v>5.0</v>
      </c>
      <c r="E1362" s="34">
        <v>1.0</v>
      </c>
      <c r="F1362" s="35" t="s">
        <v>16</v>
      </c>
      <c r="G1362" s="52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>
      <c r="A1363" s="10">
        <v>1362.0</v>
      </c>
      <c r="B1363" s="34">
        <v>2017.0</v>
      </c>
      <c r="C1363" s="37">
        <v>9.0</v>
      </c>
      <c r="D1363" s="34">
        <v>5.0</v>
      </c>
      <c r="E1363" s="34">
        <v>1.0</v>
      </c>
      <c r="F1363" s="35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>
      <c r="A1364" s="34">
        <v>1363.0</v>
      </c>
      <c r="B1364" s="34">
        <v>2017.0</v>
      </c>
      <c r="C1364" s="37">
        <v>9.0</v>
      </c>
      <c r="D1364" s="34">
        <v>5.0</v>
      </c>
      <c r="E1364" s="34">
        <v>2.0</v>
      </c>
      <c r="F1364" s="35" t="s">
        <v>16</v>
      </c>
      <c r="G1364" s="52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>
      <c r="A1365" s="10">
        <v>1364.0</v>
      </c>
      <c r="B1365" s="34">
        <v>2017.0</v>
      </c>
      <c r="C1365" s="37">
        <v>9.0</v>
      </c>
      <c r="D1365" s="34">
        <v>5.0</v>
      </c>
      <c r="E1365" s="34">
        <v>2.0</v>
      </c>
      <c r="F1365" s="35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>
      <c r="A1366" s="34">
        <v>1365.0</v>
      </c>
      <c r="B1366" s="34">
        <v>2017.0</v>
      </c>
      <c r="C1366" s="37">
        <v>9.0</v>
      </c>
      <c r="D1366" s="34">
        <v>5.0</v>
      </c>
      <c r="E1366" s="34">
        <v>3.0</v>
      </c>
      <c r="F1366" s="35" t="s">
        <v>16</v>
      </c>
      <c r="G1366" s="52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>
      <c r="A1367" s="10">
        <v>1366.0</v>
      </c>
      <c r="B1367" s="34">
        <v>2017.0</v>
      </c>
      <c r="C1367" s="37">
        <v>9.0</v>
      </c>
      <c r="D1367" s="34">
        <v>5.0</v>
      </c>
      <c r="E1367" s="34">
        <v>3.0</v>
      </c>
      <c r="F1367" s="35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>
      <c r="A1368" s="34">
        <v>1367.0</v>
      </c>
      <c r="B1368" s="34">
        <v>2017.0</v>
      </c>
      <c r="C1368" s="37">
        <v>9.0</v>
      </c>
      <c r="D1368" s="34">
        <v>5.0</v>
      </c>
      <c r="E1368" s="34">
        <v>4.0</v>
      </c>
      <c r="F1368" s="35" t="s">
        <v>16</v>
      </c>
      <c r="G1368" s="52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>
      <c r="A1369" s="10">
        <v>1368.0</v>
      </c>
      <c r="B1369" s="34">
        <v>2017.0</v>
      </c>
      <c r="C1369" s="37">
        <v>9.0</v>
      </c>
      <c r="D1369" s="34">
        <v>5.0</v>
      </c>
      <c r="E1369" s="34">
        <v>4.0</v>
      </c>
      <c r="F1369" s="35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>
      <c r="A1370" s="34">
        <v>1369.0</v>
      </c>
      <c r="B1370" s="34">
        <v>2017.0</v>
      </c>
      <c r="C1370" s="37">
        <v>9.0</v>
      </c>
      <c r="D1370" s="34">
        <v>6.0</v>
      </c>
      <c r="E1370" s="34">
        <v>1.0</v>
      </c>
      <c r="F1370" s="35" t="s">
        <v>16</v>
      </c>
      <c r="G1370" s="52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>
      <c r="A1371" s="10">
        <v>1370.0</v>
      </c>
      <c r="B1371" s="34">
        <v>2017.0</v>
      </c>
      <c r="C1371" s="37">
        <v>9.0</v>
      </c>
      <c r="D1371" s="34">
        <v>6.0</v>
      </c>
      <c r="E1371" s="34">
        <v>1.0</v>
      </c>
      <c r="F1371" s="35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>
      <c r="A1372" s="34">
        <v>1371.0</v>
      </c>
      <c r="B1372" s="34">
        <v>2017.0</v>
      </c>
      <c r="C1372" s="37">
        <v>9.0</v>
      </c>
      <c r="D1372" s="34">
        <v>6.0</v>
      </c>
      <c r="E1372" s="34">
        <v>2.0</v>
      </c>
      <c r="F1372" s="35" t="s">
        <v>16</v>
      </c>
      <c r="G1372" s="52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>
      <c r="A1373" s="10">
        <v>1372.0</v>
      </c>
      <c r="B1373" s="34">
        <v>2017.0</v>
      </c>
      <c r="C1373" s="37">
        <v>9.0</v>
      </c>
      <c r="D1373" s="34">
        <v>6.0</v>
      </c>
      <c r="E1373" s="34">
        <v>2.0</v>
      </c>
      <c r="F1373" s="35" t="s">
        <v>16</v>
      </c>
      <c r="G1373" s="10" t="s">
        <v>174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>
      <c r="A1374" s="34">
        <v>1373.0</v>
      </c>
      <c r="B1374" s="34">
        <v>2017.0</v>
      </c>
      <c r="C1374" s="37">
        <v>9.0</v>
      </c>
      <c r="D1374" s="34">
        <v>6.0</v>
      </c>
      <c r="E1374" s="34">
        <v>3.0</v>
      </c>
      <c r="F1374" s="35" t="s">
        <v>16</v>
      </c>
      <c r="G1374" s="52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>
      <c r="A1375" s="10">
        <v>1374.0</v>
      </c>
      <c r="B1375" s="34">
        <v>2017.0</v>
      </c>
      <c r="C1375" s="37">
        <v>9.0</v>
      </c>
      <c r="D1375" s="34">
        <v>6.0</v>
      </c>
      <c r="E1375" s="34">
        <v>3.0</v>
      </c>
      <c r="F1375" s="35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>
      <c r="A1376" s="34">
        <v>1375.0</v>
      </c>
      <c r="B1376" s="34">
        <v>2017.0</v>
      </c>
      <c r="C1376" s="37">
        <v>9.0</v>
      </c>
      <c r="D1376" s="34">
        <v>6.0</v>
      </c>
      <c r="E1376" s="34">
        <v>4.0</v>
      </c>
      <c r="F1376" s="35" t="s">
        <v>16</v>
      </c>
      <c r="G1376" s="52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>
      <c r="A1377" s="10">
        <v>1376.0</v>
      </c>
      <c r="B1377" s="34">
        <v>2017.0</v>
      </c>
      <c r="C1377" s="37">
        <v>9.0</v>
      </c>
      <c r="D1377" s="34">
        <v>6.0</v>
      </c>
      <c r="E1377" s="34">
        <v>4.0</v>
      </c>
      <c r="F1377" s="35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>
      <c r="A1378" s="34">
        <v>1377.0</v>
      </c>
      <c r="B1378" s="34">
        <v>2017.0</v>
      </c>
      <c r="C1378" s="37">
        <v>9.0</v>
      </c>
      <c r="D1378" s="34">
        <v>7.0</v>
      </c>
      <c r="E1378" s="34">
        <v>1.0</v>
      </c>
      <c r="F1378" s="35" t="s">
        <v>16</v>
      </c>
      <c r="G1378" s="52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>
      <c r="A1379" s="10">
        <v>1378.0</v>
      </c>
      <c r="B1379" s="34">
        <v>2017.0</v>
      </c>
      <c r="C1379" s="37">
        <v>9.0</v>
      </c>
      <c r="D1379" s="34">
        <v>7.0</v>
      </c>
      <c r="E1379" s="34">
        <v>1.0</v>
      </c>
      <c r="F1379" s="35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>
      <c r="A1380" s="34">
        <v>1379.0</v>
      </c>
      <c r="B1380" s="34">
        <v>2017.0</v>
      </c>
      <c r="C1380" s="37">
        <v>9.0</v>
      </c>
      <c r="D1380" s="34">
        <v>7.0</v>
      </c>
      <c r="E1380" s="34">
        <v>2.0</v>
      </c>
      <c r="F1380" s="35" t="s">
        <v>16</v>
      </c>
      <c r="G1380" s="52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>
      <c r="A1381" s="10">
        <v>1380.0</v>
      </c>
      <c r="B1381" s="34">
        <v>2017.0</v>
      </c>
      <c r="C1381" s="37">
        <v>9.0</v>
      </c>
      <c r="D1381" s="34">
        <v>7.0</v>
      </c>
      <c r="E1381" s="34">
        <v>2.0</v>
      </c>
      <c r="F1381" s="35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>
      <c r="A1382" s="34">
        <v>1381.0</v>
      </c>
      <c r="B1382" s="34">
        <v>2017.0</v>
      </c>
      <c r="C1382" s="37">
        <v>9.0</v>
      </c>
      <c r="D1382" s="34">
        <v>8.0</v>
      </c>
      <c r="E1382" s="34">
        <v>1.0</v>
      </c>
      <c r="F1382" s="35" t="s">
        <v>16</v>
      </c>
      <c r="G1382" s="52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>
      <c r="A1383" s="10">
        <v>1382.0</v>
      </c>
      <c r="B1383" s="34">
        <v>2017.0</v>
      </c>
      <c r="C1383" s="37">
        <v>9.0</v>
      </c>
      <c r="D1383" s="34">
        <v>8.0</v>
      </c>
      <c r="E1383" s="34">
        <v>1.0</v>
      </c>
      <c r="F1383" s="35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>
      <c r="A1384" s="34">
        <v>1383.0</v>
      </c>
      <c r="B1384" s="34">
        <v>2017.0</v>
      </c>
      <c r="C1384" s="37">
        <v>10.0</v>
      </c>
      <c r="D1384" s="34">
        <v>1.0</v>
      </c>
      <c r="E1384" s="34">
        <v>1.0</v>
      </c>
      <c r="F1384" s="35" t="s">
        <v>16</v>
      </c>
      <c r="G1384" s="53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>
      <c r="A1385" s="10">
        <v>1384.0</v>
      </c>
      <c r="B1385" s="34">
        <v>2017.0</v>
      </c>
      <c r="C1385" s="37">
        <v>10.0</v>
      </c>
      <c r="D1385" s="34">
        <v>1.0</v>
      </c>
      <c r="E1385" s="34">
        <v>1.0</v>
      </c>
      <c r="F1385" s="35" t="s">
        <v>16</v>
      </c>
      <c r="G1385" s="10" t="s">
        <v>141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>
      <c r="A1386" s="34">
        <v>1385.0</v>
      </c>
      <c r="B1386" s="34">
        <v>2017.0</v>
      </c>
      <c r="C1386" s="37">
        <v>10.0</v>
      </c>
      <c r="D1386" s="34">
        <v>1.0</v>
      </c>
      <c r="E1386" s="34">
        <v>1.0</v>
      </c>
      <c r="F1386" s="35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>
      <c r="A1387" s="10">
        <v>1386.0</v>
      </c>
      <c r="B1387" s="34">
        <v>2017.0</v>
      </c>
      <c r="C1387" s="37">
        <v>10.0</v>
      </c>
      <c r="D1387" s="34">
        <v>1.0</v>
      </c>
      <c r="E1387" s="34">
        <v>2.0</v>
      </c>
      <c r="F1387" s="35" t="s">
        <v>16</v>
      </c>
      <c r="G1387" s="53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>
      <c r="A1388" s="34">
        <v>1387.0</v>
      </c>
      <c r="B1388" s="34">
        <v>2017.0</v>
      </c>
      <c r="C1388" s="37">
        <v>10.0</v>
      </c>
      <c r="D1388" s="34">
        <v>1.0</v>
      </c>
      <c r="E1388" s="34">
        <v>2.0</v>
      </c>
      <c r="F1388" s="35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>
      <c r="A1389" s="10">
        <v>1388.0</v>
      </c>
      <c r="B1389" s="34">
        <v>2017.0</v>
      </c>
      <c r="C1389" s="37">
        <v>10.0</v>
      </c>
      <c r="D1389" s="34">
        <v>1.0</v>
      </c>
      <c r="E1389" s="34">
        <v>2.0</v>
      </c>
      <c r="F1389" s="35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>
      <c r="A1390" s="34">
        <v>1389.0</v>
      </c>
      <c r="B1390" s="34">
        <v>2017.0</v>
      </c>
      <c r="C1390" s="37">
        <v>10.0</v>
      </c>
      <c r="D1390" s="34">
        <v>1.0</v>
      </c>
      <c r="E1390" s="34">
        <v>3.0</v>
      </c>
      <c r="F1390" s="35" t="s">
        <v>16</v>
      </c>
      <c r="G1390" s="53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>
      <c r="A1391" s="10">
        <v>1390.0</v>
      </c>
      <c r="B1391" s="34">
        <v>2017.0</v>
      </c>
      <c r="C1391" s="37">
        <v>10.0</v>
      </c>
      <c r="D1391" s="34">
        <v>1.0</v>
      </c>
      <c r="E1391" s="34">
        <v>3.0</v>
      </c>
      <c r="F1391" s="35" t="s">
        <v>16</v>
      </c>
      <c r="G1391" s="10" t="s">
        <v>52</v>
      </c>
      <c r="H1391" s="54">
        <v>6.17</v>
      </c>
      <c r="I1391" s="54">
        <v>3.17</v>
      </c>
      <c r="J1391" s="54">
        <v>9.34</v>
      </c>
      <c r="L1391" s="3">
        <f t="shared" si="10"/>
        <v>0</v>
      </c>
    </row>
    <row r="1392">
      <c r="A1392" s="34">
        <v>1391.0</v>
      </c>
      <c r="B1392" s="34">
        <v>2017.0</v>
      </c>
      <c r="C1392" s="37">
        <v>10.0</v>
      </c>
      <c r="D1392" s="34">
        <v>1.0</v>
      </c>
      <c r="E1392" s="34">
        <v>3.0</v>
      </c>
      <c r="F1392" s="35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>
      <c r="A1393" s="10">
        <v>1392.0</v>
      </c>
      <c r="B1393" s="34">
        <v>2017.0</v>
      </c>
      <c r="C1393" s="37">
        <v>10.0</v>
      </c>
      <c r="D1393" s="34">
        <v>1.0</v>
      </c>
      <c r="E1393" s="34">
        <v>4.0</v>
      </c>
      <c r="F1393" s="35" t="s">
        <v>16</v>
      </c>
      <c r="G1393" s="53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>
      <c r="A1394" s="34">
        <v>1393.0</v>
      </c>
      <c r="B1394" s="34">
        <v>2017.0</v>
      </c>
      <c r="C1394" s="37">
        <v>10.0</v>
      </c>
      <c r="D1394" s="34">
        <v>1.0</v>
      </c>
      <c r="E1394" s="34">
        <v>4.0</v>
      </c>
      <c r="F1394" s="35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>
      <c r="A1395" s="10">
        <v>1394.0</v>
      </c>
      <c r="B1395" s="34">
        <v>2017.0</v>
      </c>
      <c r="C1395" s="37">
        <v>10.0</v>
      </c>
      <c r="D1395" s="34">
        <v>1.0</v>
      </c>
      <c r="E1395" s="34">
        <v>4.0</v>
      </c>
      <c r="F1395" s="35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>
      <c r="A1396" s="34">
        <v>1395.0</v>
      </c>
      <c r="B1396" s="34">
        <v>2017.0</v>
      </c>
      <c r="C1396" s="37">
        <v>10.0</v>
      </c>
      <c r="D1396" s="34">
        <v>1.0</v>
      </c>
      <c r="E1396" s="34">
        <v>5.0</v>
      </c>
      <c r="F1396" s="35" t="s">
        <v>16</v>
      </c>
      <c r="G1396" s="53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>
      <c r="A1397" s="10">
        <v>1396.0</v>
      </c>
      <c r="B1397" s="34">
        <v>2017.0</v>
      </c>
      <c r="C1397" s="37">
        <v>10.0</v>
      </c>
      <c r="D1397" s="34">
        <v>1.0</v>
      </c>
      <c r="E1397" s="34">
        <v>5.0</v>
      </c>
      <c r="F1397" s="35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>
      <c r="A1398" s="34">
        <v>1397.0</v>
      </c>
      <c r="B1398" s="34">
        <v>2017.0</v>
      </c>
      <c r="C1398" s="37">
        <v>10.0</v>
      </c>
      <c r="D1398" s="34">
        <v>1.0</v>
      </c>
      <c r="E1398" s="34">
        <v>5.0</v>
      </c>
      <c r="F1398" s="35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>
      <c r="A1399" s="10">
        <v>1398.0</v>
      </c>
      <c r="B1399" s="34">
        <v>2017.0</v>
      </c>
      <c r="C1399" s="37">
        <v>10.0</v>
      </c>
      <c r="D1399" s="34">
        <v>1.0</v>
      </c>
      <c r="E1399" s="34">
        <v>6.0</v>
      </c>
      <c r="F1399" s="35" t="s">
        <v>16</v>
      </c>
      <c r="G1399" s="53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>
      <c r="A1400" s="34">
        <v>1399.0</v>
      </c>
      <c r="B1400" s="34">
        <v>2017.0</v>
      </c>
      <c r="C1400" s="37">
        <v>10.0</v>
      </c>
      <c r="D1400" s="34">
        <v>1.0</v>
      </c>
      <c r="E1400" s="34">
        <v>6.0</v>
      </c>
      <c r="F1400" s="35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>
      <c r="A1401" s="10">
        <v>1400.0</v>
      </c>
      <c r="B1401" s="34">
        <v>2017.0</v>
      </c>
      <c r="C1401" s="37">
        <v>10.0</v>
      </c>
      <c r="D1401" s="34">
        <v>1.0</v>
      </c>
      <c r="E1401" s="34">
        <v>6.0</v>
      </c>
      <c r="F1401" s="35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>
      <c r="A1402" s="34">
        <v>1401.0</v>
      </c>
      <c r="B1402" s="34">
        <v>2017.0</v>
      </c>
      <c r="C1402" s="37">
        <v>10.0</v>
      </c>
      <c r="D1402" s="34">
        <v>1.0</v>
      </c>
      <c r="E1402" s="34">
        <v>7.0</v>
      </c>
      <c r="F1402" s="35" t="s">
        <v>16</v>
      </c>
      <c r="G1402" s="53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>
      <c r="A1403" s="10">
        <v>1402.0</v>
      </c>
      <c r="B1403" s="34">
        <v>2017.0</v>
      </c>
      <c r="C1403" s="37">
        <v>10.0</v>
      </c>
      <c r="D1403" s="34">
        <v>1.0</v>
      </c>
      <c r="E1403" s="34">
        <v>7.0</v>
      </c>
      <c r="F1403" s="35" t="s">
        <v>16</v>
      </c>
      <c r="G1403" s="10" t="s">
        <v>42</v>
      </c>
      <c r="H1403" s="54">
        <v>7.0</v>
      </c>
      <c r="I1403" s="54">
        <v>5.67</v>
      </c>
      <c r="J1403" s="54">
        <v>12.67</v>
      </c>
      <c r="L1403" s="3">
        <f t="shared" si="10"/>
        <v>0</v>
      </c>
    </row>
    <row r="1404">
      <c r="A1404" s="34">
        <v>1403.0</v>
      </c>
      <c r="B1404" s="34">
        <v>2017.0</v>
      </c>
      <c r="C1404" s="37">
        <v>10.0</v>
      </c>
      <c r="D1404" s="34">
        <v>1.0</v>
      </c>
      <c r="E1404" s="34">
        <v>7.0</v>
      </c>
      <c r="F1404" s="35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>
      <c r="A1405" s="10">
        <v>1404.0</v>
      </c>
      <c r="B1405" s="34">
        <v>2017.0</v>
      </c>
      <c r="C1405" s="37">
        <v>10.0</v>
      </c>
      <c r="D1405" s="34">
        <v>1.0</v>
      </c>
      <c r="E1405" s="34">
        <v>8.0</v>
      </c>
      <c r="F1405" s="35" t="s">
        <v>16</v>
      </c>
      <c r="G1405" s="53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>
      <c r="A1406" s="34">
        <v>1405.0</v>
      </c>
      <c r="B1406" s="34">
        <v>2017.0</v>
      </c>
      <c r="C1406" s="37">
        <v>10.0</v>
      </c>
      <c r="D1406" s="34">
        <v>1.0</v>
      </c>
      <c r="E1406" s="34">
        <v>8.0</v>
      </c>
      <c r="F1406" s="35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>
      <c r="A1407" s="10">
        <v>1406.0</v>
      </c>
      <c r="B1407" s="34">
        <v>2017.0</v>
      </c>
      <c r="C1407" s="37">
        <v>10.0</v>
      </c>
      <c r="D1407" s="34">
        <v>1.0</v>
      </c>
      <c r="E1407" s="34">
        <v>8.0</v>
      </c>
      <c r="F1407" s="35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>
      <c r="A1408" s="34">
        <v>1407.0</v>
      </c>
      <c r="B1408" s="34">
        <v>2017.0</v>
      </c>
      <c r="C1408" s="37">
        <v>10.0</v>
      </c>
      <c r="D1408" s="34">
        <v>1.0</v>
      </c>
      <c r="E1408" s="34">
        <v>9.0</v>
      </c>
      <c r="F1408" s="35" t="s">
        <v>16</v>
      </c>
      <c r="G1408" s="53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>
      <c r="A1409" s="10">
        <v>1408.0</v>
      </c>
      <c r="B1409" s="34">
        <v>2017.0</v>
      </c>
      <c r="C1409" s="37">
        <v>10.0</v>
      </c>
      <c r="D1409" s="34">
        <v>1.0</v>
      </c>
      <c r="E1409" s="34">
        <v>9.0</v>
      </c>
      <c r="F1409" s="35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>
      <c r="A1410" s="34">
        <v>1409.0</v>
      </c>
      <c r="B1410" s="34">
        <v>2017.0</v>
      </c>
      <c r="C1410" s="37">
        <v>10.0</v>
      </c>
      <c r="D1410" s="34">
        <v>1.0</v>
      </c>
      <c r="E1410" s="34">
        <v>9.0</v>
      </c>
      <c r="F1410" s="35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>
      <c r="A1411" s="10">
        <v>1410.0</v>
      </c>
      <c r="B1411" s="34">
        <v>2017.0</v>
      </c>
      <c r="C1411" s="37">
        <v>10.0</v>
      </c>
      <c r="D1411" s="34">
        <v>1.0</v>
      </c>
      <c r="E1411" s="34">
        <v>10.0</v>
      </c>
      <c r="F1411" s="35" t="s">
        <v>16</v>
      </c>
      <c r="G1411" s="53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>
      <c r="A1412" s="34">
        <v>1411.0</v>
      </c>
      <c r="B1412" s="34">
        <v>2017.0</v>
      </c>
      <c r="C1412" s="37">
        <v>10.0</v>
      </c>
      <c r="D1412" s="34">
        <v>1.0</v>
      </c>
      <c r="E1412" s="34">
        <v>10.0</v>
      </c>
      <c r="F1412" s="35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>
      <c r="A1413" s="10">
        <v>1412.0</v>
      </c>
      <c r="B1413" s="34">
        <v>2017.0</v>
      </c>
      <c r="C1413" s="37">
        <v>10.0</v>
      </c>
      <c r="D1413" s="34">
        <v>1.0</v>
      </c>
      <c r="E1413" s="34">
        <v>10.0</v>
      </c>
      <c r="F1413" s="35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>
      <c r="A1414" s="34">
        <v>1413.0</v>
      </c>
      <c r="B1414" s="34">
        <v>2017.0</v>
      </c>
      <c r="C1414" s="37">
        <v>10.0</v>
      </c>
      <c r="D1414" s="34">
        <v>1.0</v>
      </c>
      <c r="E1414" s="34">
        <v>11.0</v>
      </c>
      <c r="F1414" s="35" t="s">
        <v>16</v>
      </c>
      <c r="G1414" s="53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>
      <c r="A1415" s="10">
        <v>1414.0</v>
      </c>
      <c r="B1415" s="34">
        <v>2017.0</v>
      </c>
      <c r="C1415" s="37">
        <v>10.0</v>
      </c>
      <c r="D1415" s="34">
        <v>1.0</v>
      </c>
      <c r="E1415" s="34">
        <v>11.0</v>
      </c>
      <c r="F1415" s="35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>
      <c r="A1416" s="34">
        <v>1415.0</v>
      </c>
      <c r="B1416" s="34">
        <v>2017.0</v>
      </c>
      <c r="C1416" s="37">
        <v>10.0</v>
      </c>
      <c r="D1416" s="34">
        <v>1.0</v>
      </c>
      <c r="E1416" s="34">
        <v>11.0</v>
      </c>
      <c r="F1416" s="35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>
      <c r="A1417" s="10">
        <v>1416.0</v>
      </c>
      <c r="B1417" s="34">
        <v>2017.0</v>
      </c>
      <c r="C1417" s="37">
        <v>10.0</v>
      </c>
      <c r="D1417" s="34">
        <v>1.0</v>
      </c>
      <c r="E1417" s="34">
        <v>12.0</v>
      </c>
      <c r="F1417" s="35" t="s">
        <v>16</v>
      </c>
      <c r="G1417" s="53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>
      <c r="A1418" s="34">
        <v>1417.0</v>
      </c>
      <c r="B1418" s="34">
        <v>2017.0</v>
      </c>
      <c r="C1418" s="37">
        <v>10.0</v>
      </c>
      <c r="D1418" s="34">
        <v>1.0</v>
      </c>
      <c r="E1418" s="34">
        <v>12.0</v>
      </c>
      <c r="F1418" s="35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>
      <c r="A1419" s="10">
        <v>1418.0</v>
      </c>
      <c r="B1419" s="34">
        <v>2017.0</v>
      </c>
      <c r="C1419" s="37">
        <v>10.0</v>
      </c>
      <c r="D1419" s="34">
        <v>1.0</v>
      </c>
      <c r="E1419" s="34">
        <v>12.0</v>
      </c>
      <c r="F1419" s="35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>
      <c r="A1420" s="34">
        <v>1419.0</v>
      </c>
      <c r="B1420" s="34">
        <v>2017.0</v>
      </c>
      <c r="C1420" s="37">
        <v>10.0</v>
      </c>
      <c r="D1420" s="34">
        <v>2.0</v>
      </c>
      <c r="E1420" s="34">
        <v>1.0</v>
      </c>
      <c r="F1420" s="35" t="s">
        <v>16</v>
      </c>
      <c r="G1420" s="53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>
      <c r="A1421" s="10">
        <v>1420.0</v>
      </c>
      <c r="B1421" s="34">
        <v>2017.0</v>
      </c>
      <c r="C1421" s="37">
        <v>10.0</v>
      </c>
      <c r="D1421" s="34">
        <v>2.0</v>
      </c>
      <c r="E1421" s="34">
        <v>1.0</v>
      </c>
      <c r="F1421" s="35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>
      <c r="A1422" s="34">
        <v>1421.0</v>
      </c>
      <c r="B1422" s="34">
        <v>2017.0</v>
      </c>
      <c r="C1422" s="37">
        <v>10.0</v>
      </c>
      <c r="D1422" s="34">
        <v>2.0</v>
      </c>
      <c r="E1422" s="34">
        <v>2.0</v>
      </c>
      <c r="F1422" s="35" t="s">
        <v>16</v>
      </c>
      <c r="G1422" s="53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>
      <c r="A1423" s="10">
        <v>1422.0</v>
      </c>
      <c r="B1423" s="34">
        <v>2017.0</v>
      </c>
      <c r="C1423" s="37">
        <v>10.0</v>
      </c>
      <c r="D1423" s="34">
        <v>2.0</v>
      </c>
      <c r="E1423" s="34">
        <v>2.0</v>
      </c>
      <c r="F1423" s="35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>
      <c r="A1424" s="34">
        <v>1423.0</v>
      </c>
      <c r="B1424" s="34">
        <v>2017.0</v>
      </c>
      <c r="C1424" s="37">
        <v>10.0</v>
      </c>
      <c r="D1424" s="34">
        <v>2.0</v>
      </c>
      <c r="E1424" s="34">
        <v>3.0</v>
      </c>
      <c r="F1424" s="35" t="s">
        <v>16</v>
      </c>
      <c r="G1424" s="53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>
      <c r="A1425" s="10">
        <v>1424.0</v>
      </c>
      <c r="B1425" s="34">
        <v>2017.0</v>
      </c>
      <c r="C1425" s="37">
        <v>10.0</v>
      </c>
      <c r="D1425" s="34">
        <v>2.0</v>
      </c>
      <c r="E1425" s="34">
        <v>3.0</v>
      </c>
      <c r="F1425" s="35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>
      <c r="A1426" s="34">
        <v>1425.0</v>
      </c>
      <c r="B1426" s="34">
        <v>2017.0</v>
      </c>
      <c r="C1426" s="37">
        <v>10.0</v>
      </c>
      <c r="D1426" s="34">
        <v>2.0</v>
      </c>
      <c r="E1426" s="34">
        <v>4.0</v>
      </c>
      <c r="F1426" s="35" t="s">
        <v>16</v>
      </c>
      <c r="G1426" s="53" t="s">
        <v>141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>
      <c r="A1427" s="10">
        <v>1426.0</v>
      </c>
      <c r="B1427" s="34">
        <v>2017.0</v>
      </c>
      <c r="C1427" s="37">
        <v>10.0</v>
      </c>
      <c r="D1427" s="34">
        <v>2.0</v>
      </c>
      <c r="E1427" s="34">
        <v>4.0</v>
      </c>
      <c r="F1427" s="35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>
      <c r="A1428" s="34">
        <v>1427.0</v>
      </c>
      <c r="B1428" s="34">
        <v>2017.0</v>
      </c>
      <c r="C1428" s="37">
        <v>10.0</v>
      </c>
      <c r="D1428" s="34">
        <v>2.0</v>
      </c>
      <c r="E1428" s="34">
        <v>5.0</v>
      </c>
      <c r="F1428" s="35" t="s">
        <v>16</v>
      </c>
      <c r="G1428" s="53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>
      <c r="A1429" s="10">
        <v>1428.0</v>
      </c>
      <c r="B1429" s="34">
        <v>2017.0</v>
      </c>
      <c r="C1429" s="37">
        <v>10.0</v>
      </c>
      <c r="D1429" s="34">
        <v>2.0</v>
      </c>
      <c r="E1429" s="34">
        <v>5.0</v>
      </c>
      <c r="F1429" s="35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>
      <c r="A1430" s="34">
        <v>1429.0</v>
      </c>
      <c r="B1430" s="34">
        <v>2017.0</v>
      </c>
      <c r="C1430" s="37">
        <v>10.0</v>
      </c>
      <c r="D1430" s="34">
        <v>2.0</v>
      </c>
      <c r="E1430" s="34">
        <v>6.0</v>
      </c>
      <c r="F1430" s="35" t="s">
        <v>16</v>
      </c>
      <c r="G1430" s="53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>
      <c r="A1431" s="10">
        <v>1430.0</v>
      </c>
      <c r="B1431" s="34">
        <v>2017.0</v>
      </c>
      <c r="C1431" s="37">
        <v>10.0</v>
      </c>
      <c r="D1431" s="34">
        <v>2.0</v>
      </c>
      <c r="E1431" s="34">
        <v>6.0</v>
      </c>
      <c r="F1431" s="35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>
      <c r="A1432" s="34">
        <v>1431.0</v>
      </c>
      <c r="B1432" s="34">
        <v>2017.0</v>
      </c>
      <c r="C1432" s="37">
        <v>10.0</v>
      </c>
      <c r="D1432" s="34">
        <v>2.0</v>
      </c>
      <c r="E1432" s="34">
        <v>7.0</v>
      </c>
      <c r="F1432" s="35" t="s">
        <v>16</v>
      </c>
      <c r="G1432" s="53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>
      <c r="A1433" s="10">
        <v>1432.0</v>
      </c>
      <c r="B1433" s="34">
        <v>2017.0</v>
      </c>
      <c r="C1433" s="37">
        <v>10.0</v>
      </c>
      <c r="D1433" s="34">
        <v>2.0</v>
      </c>
      <c r="E1433" s="34">
        <v>7.0</v>
      </c>
      <c r="F1433" s="35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>
      <c r="A1434" s="34">
        <v>1433.0</v>
      </c>
      <c r="B1434" s="34">
        <v>2017.0</v>
      </c>
      <c r="C1434" s="37">
        <v>10.0</v>
      </c>
      <c r="D1434" s="34">
        <v>2.0</v>
      </c>
      <c r="E1434" s="34">
        <v>8.0</v>
      </c>
      <c r="F1434" s="35" t="s">
        <v>16</v>
      </c>
      <c r="G1434" s="53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>
      <c r="A1435" s="10">
        <v>1434.0</v>
      </c>
      <c r="B1435" s="34">
        <v>2017.0</v>
      </c>
      <c r="C1435" s="37">
        <v>10.0</v>
      </c>
      <c r="D1435" s="34">
        <v>2.0</v>
      </c>
      <c r="E1435" s="34">
        <v>8.0</v>
      </c>
      <c r="F1435" s="35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>
      <c r="A1436" s="34">
        <v>1435.0</v>
      </c>
      <c r="B1436" s="34">
        <v>2017.0</v>
      </c>
      <c r="C1436" s="37">
        <v>10.0</v>
      </c>
      <c r="D1436" s="34">
        <v>2.0</v>
      </c>
      <c r="E1436" s="34">
        <v>9.0</v>
      </c>
      <c r="F1436" s="35" t="s">
        <v>16</v>
      </c>
      <c r="G1436" s="53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>
      <c r="A1437" s="10">
        <v>1436.0</v>
      </c>
      <c r="B1437" s="34">
        <v>2017.0</v>
      </c>
      <c r="C1437" s="37">
        <v>10.0</v>
      </c>
      <c r="D1437" s="34">
        <v>2.0</v>
      </c>
      <c r="E1437" s="34">
        <v>9.0</v>
      </c>
      <c r="F1437" s="35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>
      <c r="A1438" s="34">
        <v>1437.0</v>
      </c>
      <c r="B1438" s="34">
        <v>2017.0</v>
      </c>
      <c r="C1438" s="37">
        <v>10.0</v>
      </c>
      <c r="D1438" s="34">
        <v>2.0</v>
      </c>
      <c r="E1438" s="34">
        <v>10.0</v>
      </c>
      <c r="F1438" s="35" t="s">
        <v>16</v>
      </c>
      <c r="G1438" s="53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>
      <c r="A1439" s="10">
        <v>1438.0</v>
      </c>
      <c r="B1439" s="34">
        <v>2017.0</v>
      </c>
      <c r="C1439" s="37">
        <v>10.0</v>
      </c>
      <c r="D1439" s="34">
        <v>2.0</v>
      </c>
      <c r="E1439" s="34">
        <v>10.0</v>
      </c>
      <c r="F1439" s="35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>
      <c r="A1440" s="34">
        <v>1439.0</v>
      </c>
      <c r="B1440" s="34">
        <v>2017.0</v>
      </c>
      <c r="C1440" s="37">
        <v>10.0</v>
      </c>
      <c r="D1440" s="34">
        <v>2.0</v>
      </c>
      <c r="E1440" s="34">
        <v>11.0</v>
      </c>
      <c r="F1440" s="35" t="s">
        <v>16</v>
      </c>
      <c r="G1440" s="53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>
      <c r="A1441" s="10">
        <v>1440.0</v>
      </c>
      <c r="B1441" s="34">
        <v>2017.0</v>
      </c>
      <c r="C1441" s="37">
        <v>10.0</v>
      </c>
      <c r="D1441" s="34">
        <v>2.0</v>
      </c>
      <c r="E1441" s="34">
        <v>11.0</v>
      </c>
      <c r="F1441" s="35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>
      <c r="A1442" s="34">
        <v>1441.0</v>
      </c>
      <c r="B1442" s="34">
        <v>2017.0</v>
      </c>
      <c r="C1442" s="37">
        <v>10.0</v>
      </c>
      <c r="D1442" s="34">
        <v>2.0</v>
      </c>
      <c r="E1442" s="34">
        <v>12.0</v>
      </c>
      <c r="F1442" s="35" t="s">
        <v>16</v>
      </c>
      <c r="G1442" s="53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>
      <c r="A1443" s="10">
        <v>1442.0</v>
      </c>
      <c r="B1443" s="34">
        <v>2017.0</v>
      </c>
      <c r="C1443" s="37">
        <v>10.0</v>
      </c>
      <c r="D1443" s="34">
        <v>2.0</v>
      </c>
      <c r="E1443" s="34">
        <v>12.0</v>
      </c>
      <c r="F1443" s="35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>
      <c r="A1444" s="34">
        <v>1443.0</v>
      </c>
      <c r="B1444" s="34">
        <v>2017.0</v>
      </c>
      <c r="C1444" s="37">
        <v>10.0</v>
      </c>
      <c r="D1444" s="34">
        <v>3.0</v>
      </c>
      <c r="E1444" s="34">
        <v>1.0</v>
      </c>
      <c r="F1444" s="35" t="s">
        <v>16</v>
      </c>
      <c r="G1444" s="53" t="s">
        <v>141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>
      <c r="A1445" s="10">
        <v>1444.0</v>
      </c>
      <c r="B1445" s="34">
        <v>2017.0</v>
      </c>
      <c r="C1445" s="37">
        <v>10.0</v>
      </c>
      <c r="D1445" s="34">
        <v>3.0</v>
      </c>
      <c r="E1445" s="34">
        <v>1.0</v>
      </c>
      <c r="F1445" s="35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>
      <c r="A1446" s="34">
        <v>1445.0</v>
      </c>
      <c r="B1446" s="34">
        <v>2017.0</v>
      </c>
      <c r="C1446" s="37">
        <v>10.0</v>
      </c>
      <c r="D1446" s="34">
        <v>3.0</v>
      </c>
      <c r="E1446" s="34">
        <v>2.0</v>
      </c>
      <c r="F1446" s="35" t="s">
        <v>16</v>
      </c>
      <c r="G1446" s="53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>
      <c r="A1447" s="10">
        <v>1446.0</v>
      </c>
      <c r="B1447" s="34">
        <v>2017.0</v>
      </c>
      <c r="C1447" s="37">
        <v>10.0</v>
      </c>
      <c r="D1447" s="34">
        <v>3.0</v>
      </c>
      <c r="E1447" s="34">
        <v>2.0</v>
      </c>
      <c r="F1447" s="35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>
      <c r="A1448" s="34">
        <v>1447.0</v>
      </c>
      <c r="B1448" s="34">
        <v>2017.0</v>
      </c>
      <c r="C1448" s="37">
        <v>10.0</v>
      </c>
      <c r="D1448" s="34">
        <v>3.0</v>
      </c>
      <c r="E1448" s="34">
        <v>3.0</v>
      </c>
      <c r="F1448" s="35" t="s">
        <v>16</v>
      </c>
      <c r="G1448" s="53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>
      <c r="A1449" s="10">
        <v>1448.0</v>
      </c>
      <c r="B1449" s="34">
        <v>2017.0</v>
      </c>
      <c r="C1449" s="37">
        <v>10.0</v>
      </c>
      <c r="D1449" s="34">
        <v>3.0</v>
      </c>
      <c r="E1449" s="34">
        <v>3.0</v>
      </c>
      <c r="F1449" s="35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>
      <c r="A1450" s="34">
        <v>1449.0</v>
      </c>
      <c r="B1450" s="34">
        <v>2017.0</v>
      </c>
      <c r="C1450" s="37">
        <v>10.0</v>
      </c>
      <c r="D1450" s="34">
        <v>3.0</v>
      </c>
      <c r="E1450" s="34">
        <v>4.0</v>
      </c>
      <c r="F1450" s="35" t="s">
        <v>16</v>
      </c>
      <c r="G1450" s="53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>
      <c r="A1451" s="10">
        <v>1450.0</v>
      </c>
      <c r="B1451" s="34">
        <v>2017.0</v>
      </c>
      <c r="C1451" s="37">
        <v>10.0</v>
      </c>
      <c r="D1451" s="34">
        <v>3.0</v>
      </c>
      <c r="E1451" s="34">
        <v>4.0</v>
      </c>
      <c r="F1451" s="35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>
      <c r="A1452" s="34">
        <v>1451.0</v>
      </c>
      <c r="B1452" s="34">
        <v>2017.0</v>
      </c>
      <c r="C1452" s="37">
        <v>10.0</v>
      </c>
      <c r="D1452" s="34">
        <v>3.0</v>
      </c>
      <c r="E1452" s="34">
        <v>5.0</v>
      </c>
      <c r="F1452" s="35" t="s">
        <v>16</v>
      </c>
      <c r="G1452" s="53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>
      <c r="A1453" s="10">
        <v>1452.0</v>
      </c>
      <c r="B1453" s="34">
        <v>2017.0</v>
      </c>
      <c r="C1453" s="37">
        <v>10.0</v>
      </c>
      <c r="D1453" s="34">
        <v>3.0</v>
      </c>
      <c r="E1453" s="34">
        <v>5.0</v>
      </c>
      <c r="F1453" s="35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>
      <c r="A1454" s="34">
        <v>1453.0</v>
      </c>
      <c r="B1454" s="34">
        <v>2017.0</v>
      </c>
      <c r="C1454" s="37">
        <v>10.0</v>
      </c>
      <c r="D1454" s="34">
        <v>3.0</v>
      </c>
      <c r="E1454" s="34">
        <v>6.0</v>
      </c>
      <c r="F1454" s="35" t="s">
        <v>16</v>
      </c>
      <c r="G1454" s="53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>
      <c r="A1455" s="10">
        <v>1454.0</v>
      </c>
      <c r="B1455" s="34">
        <v>2017.0</v>
      </c>
      <c r="C1455" s="37">
        <v>10.0</v>
      </c>
      <c r="D1455" s="34">
        <v>3.0</v>
      </c>
      <c r="E1455" s="34">
        <v>6.0</v>
      </c>
      <c r="F1455" s="35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>
      <c r="A1456" s="34">
        <v>1455.0</v>
      </c>
      <c r="B1456" s="34">
        <v>2017.0</v>
      </c>
      <c r="C1456" s="37">
        <v>10.0</v>
      </c>
      <c r="D1456" s="34">
        <v>3.0</v>
      </c>
      <c r="E1456" s="34">
        <v>7.0</v>
      </c>
      <c r="F1456" s="35" t="s">
        <v>16</v>
      </c>
      <c r="G1456" s="53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>
      <c r="A1457" s="10">
        <v>1456.0</v>
      </c>
      <c r="B1457" s="34">
        <v>2017.0</v>
      </c>
      <c r="C1457" s="37">
        <v>10.0</v>
      </c>
      <c r="D1457" s="34">
        <v>3.0</v>
      </c>
      <c r="E1457" s="34">
        <v>7.0</v>
      </c>
      <c r="F1457" s="35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>
      <c r="A1458" s="34">
        <v>1457.0</v>
      </c>
      <c r="B1458" s="34">
        <v>2017.0</v>
      </c>
      <c r="C1458" s="37">
        <v>10.0</v>
      </c>
      <c r="D1458" s="34">
        <v>3.0</v>
      </c>
      <c r="E1458" s="34">
        <v>8.0</v>
      </c>
      <c r="F1458" s="35" t="s">
        <v>16</v>
      </c>
      <c r="G1458" s="53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>
      <c r="A1459" s="10">
        <v>1458.0</v>
      </c>
      <c r="B1459" s="34">
        <v>2017.0</v>
      </c>
      <c r="C1459" s="37">
        <v>10.0</v>
      </c>
      <c r="D1459" s="34">
        <v>3.0</v>
      </c>
      <c r="E1459" s="34">
        <v>8.0</v>
      </c>
      <c r="F1459" s="35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>
      <c r="A1460" s="34">
        <v>1459.0</v>
      </c>
      <c r="B1460" s="34">
        <v>2017.0</v>
      </c>
      <c r="C1460" s="37">
        <v>10.0</v>
      </c>
      <c r="D1460" s="34">
        <v>3.0</v>
      </c>
      <c r="E1460" s="34">
        <v>9.0</v>
      </c>
      <c r="F1460" s="35" t="s">
        <v>16</v>
      </c>
      <c r="G1460" s="53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>
      <c r="A1461" s="10">
        <v>1460.0</v>
      </c>
      <c r="B1461" s="34">
        <v>2017.0</v>
      </c>
      <c r="C1461" s="37">
        <v>10.0</v>
      </c>
      <c r="D1461" s="34">
        <v>3.0</v>
      </c>
      <c r="E1461" s="34">
        <v>9.0</v>
      </c>
      <c r="F1461" s="35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>
      <c r="A1462" s="34">
        <v>1461.0</v>
      </c>
      <c r="B1462" s="34">
        <v>2017.0</v>
      </c>
      <c r="C1462" s="37">
        <v>10.0</v>
      </c>
      <c r="D1462" s="34">
        <v>3.0</v>
      </c>
      <c r="E1462" s="34">
        <v>10.0</v>
      </c>
      <c r="F1462" s="35" t="s">
        <v>16</v>
      </c>
      <c r="G1462" s="53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>
      <c r="A1463" s="10">
        <v>1462.0</v>
      </c>
      <c r="B1463" s="34">
        <v>2017.0</v>
      </c>
      <c r="C1463" s="37">
        <v>10.0</v>
      </c>
      <c r="D1463" s="34">
        <v>3.0</v>
      </c>
      <c r="E1463" s="34">
        <v>10.0</v>
      </c>
      <c r="F1463" s="35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>
      <c r="A1464" s="34">
        <v>1463.0</v>
      </c>
      <c r="B1464" s="34">
        <v>2017.0</v>
      </c>
      <c r="C1464" s="37">
        <v>10.0</v>
      </c>
      <c r="D1464" s="34">
        <v>3.0</v>
      </c>
      <c r="E1464" s="34">
        <v>11.0</v>
      </c>
      <c r="F1464" s="35" t="s">
        <v>16</v>
      </c>
      <c r="G1464" s="53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>
      <c r="A1465" s="10">
        <v>1464.0</v>
      </c>
      <c r="B1465" s="34">
        <v>2017.0</v>
      </c>
      <c r="C1465" s="37">
        <v>10.0</v>
      </c>
      <c r="D1465" s="34">
        <v>3.0</v>
      </c>
      <c r="E1465" s="34">
        <v>11.0</v>
      </c>
      <c r="F1465" s="35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>
      <c r="A1466" s="34">
        <v>1465.0</v>
      </c>
      <c r="B1466" s="34">
        <v>2017.0</v>
      </c>
      <c r="C1466" s="37">
        <v>10.0</v>
      </c>
      <c r="D1466" s="34">
        <v>3.0</v>
      </c>
      <c r="E1466" s="34">
        <v>12.0</v>
      </c>
      <c r="F1466" s="35" t="s">
        <v>16</v>
      </c>
      <c r="G1466" s="53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>
      <c r="A1467" s="10">
        <v>1466.0</v>
      </c>
      <c r="B1467" s="34">
        <v>2017.0</v>
      </c>
      <c r="C1467" s="37">
        <v>10.0</v>
      </c>
      <c r="D1467" s="34">
        <v>3.0</v>
      </c>
      <c r="E1467" s="34">
        <v>12.0</v>
      </c>
      <c r="F1467" s="35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>
      <c r="A1468" s="34">
        <v>1467.0</v>
      </c>
      <c r="B1468" s="34">
        <v>2017.0</v>
      </c>
      <c r="C1468" s="37">
        <v>10.0</v>
      </c>
      <c r="D1468" s="34">
        <v>4.0</v>
      </c>
      <c r="E1468" s="34">
        <v>1.0</v>
      </c>
      <c r="F1468" s="35" t="s">
        <v>16</v>
      </c>
      <c r="G1468" s="53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>
      <c r="A1469" s="10">
        <v>1468.0</v>
      </c>
      <c r="B1469" s="34">
        <v>2017.0</v>
      </c>
      <c r="C1469" s="37">
        <v>10.0</v>
      </c>
      <c r="D1469" s="34">
        <v>4.0</v>
      </c>
      <c r="E1469" s="34">
        <v>1.0</v>
      </c>
      <c r="F1469" s="35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>
      <c r="A1470" s="34">
        <v>1469.0</v>
      </c>
      <c r="B1470" s="34">
        <v>2017.0</v>
      </c>
      <c r="C1470" s="37">
        <v>10.0</v>
      </c>
      <c r="D1470" s="34">
        <v>4.0</v>
      </c>
      <c r="E1470" s="34">
        <v>1.0</v>
      </c>
      <c r="F1470" s="35" t="s">
        <v>16</v>
      </c>
      <c r="G1470" s="10" t="s">
        <v>141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>
      <c r="A1471" s="10">
        <v>1470.0</v>
      </c>
      <c r="B1471" s="34">
        <v>2017.0</v>
      </c>
      <c r="C1471" s="37">
        <v>10.0</v>
      </c>
      <c r="D1471" s="34">
        <v>4.0</v>
      </c>
      <c r="E1471" s="34">
        <v>2.0</v>
      </c>
      <c r="F1471" s="35" t="s">
        <v>16</v>
      </c>
      <c r="G1471" s="53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>
      <c r="A1472" s="34">
        <v>1471.0</v>
      </c>
      <c r="B1472" s="34">
        <v>2017.0</v>
      </c>
      <c r="C1472" s="37">
        <v>10.0</v>
      </c>
      <c r="D1472" s="34">
        <v>4.0</v>
      </c>
      <c r="E1472" s="34">
        <v>2.0</v>
      </c>
      <c r="F1472" s="35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>
      <c r="A1473" s="10">
        <v>1472.0</v>
      </c>
      <c r="B1473" s="34">
        <v>2017.0</v>
      </c>
      <c r="C1473" s="37">
        <v>10.0</v>
      </c>
      <c r="D1473" s="34">
        <v>4.0</v>
      </c>
      <c r="E1473" s="34">
        <v>2.0</v>
      </c>
      <c r="F1473" s="35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>
      <c r="A1474" s="34">
        <v>1473.0</v>
      </c>
      <c r="B1474" s="34">
        <v>2017.0</v>
      </c>
      <c r="C1474" s="37">
        <v>10.0</v>
      </c>
      <c r="D1474" s="34">
        <v>4.0</v>
      </c>
      <c r="E1474" s="34">
        <v>3.0</v>
      </c>
      <c r="F1474" s="35" t="s">
        <v>16</v>
      </c>
      <c r="G1474" s="53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>
      <c r="A1475" s="10">
        <v>1474.0</v>
      </c>
      <c r="B1475" s="34">
        <v>2017.0</v>
      </c>
      <c r="C1475" s="37">
        <v>10.0</v>
      </c>
      <c r="D1475" s="34">
        <v>4.0</v>
      </c>
      <c r="E1475" s="34">
        <v>3.0</v>
      </c>
      <c r="F1475" s="35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>
      <c r="A1476" s="34">
        <v>1475.0</v>
      </c>
      <c r="B1476" s="34">
        <v>2017.0</v>
      </c>
      <c r="C1476" s="37">
        <v>10.0</v>
      </c>
      <c r="D1476" s="34">
        <v>4.0</v>
      </c>
      <c r="E1476" s="34">
        <v>3.0</v>
      </c>
      <c r="F1476" s="35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>
      <c r="A1477" s="10">
        <v>1476.0</v>
      </c>
      <c r="B1477" s="34">
        <v>2017.0</v>
      </c>
      <c r="C1477" s="37">
        <v>10.0</v>
      </c>
      <c r="D1477" s="34">
        <v>4.0</v>
      </c>
      <c r="E1477" s="34">
        <v>4.0</v>
      </c>
      <c r="F1477" s="35" t="s">
        <v>16</v>
      </c>
      <c r="G1477" s="53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>
      <c r="A1478" s="34">
        <v>1477.0</v>
      </c>
      <c r="B1478" s="34">
        <v>2017.0</v>
      </c>
      <c r="C1478" s="37">
        <v>10.0</v>
      </c>
      <c r="D1478" s="34">
        <v>4.0</v>
      </c>
      <c r="E1478" s="34">
        <v>4.0</v>
      </c>
      <c r="F1478" s="35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>
      <c r="A1479" s="10">
        <v>1478.0</v>
      </c>
      <c r="B1479" s="34">
        <v>2017.0</v>
      </c>
      <c r="C1479" s="37">
        <v>10.0</v>
      </c>
      <c r="D1479" s="34">
        <v>4.0</v>
      </c>
      <c r="E1479" s="34">
        <v>4.0</v>
      </c>
      <c r="F1479" s="35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>
      <c r="A1480" s="34">
        <v>1479.0</v>
      </c>
      <c r="B1480" s="34">
        <v>2017.0</v>
      </c>
      <c r="C1480" s="37">
        <v>10.0</v>
      </c>
      <c r="D1480" s="34">
        <v>5.0</v>
      </c>
      <c r="E1480" s="34">
        <v>1.0</v>
      </c>
      <c r="F1480" s="35" t="s">
        <v>16</v>
      </c>
      <c r="G1480" s="53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>
      <c r="A1481" s="10">
        <v>1480.0</v>
      </c>
      <c r="B1481" s="34">
        <v>2017.0</v>
      </c>
      <c r="C1481" s="37">
        <v>10.0</v>
      </c>
      <c r="D1481" s="34">
        <v>5.0</v>
      </c>
      <c r="E1481" s="34">
        <v>1.0</v>
      </c>
      <c r="F1481" s="35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>
      <c r="A1482" s="34">
        <v>1481.0</v>
      </c>
      <c r="B1482" s="34">
        <v>2017.0</v>
      </c>
      <c r="C1482" s="37">
        <v>10.0</v>
      </c>
      <c r="D1482" s="34">
        <v>5.0</v>
      </c>
      <c r="E1482" s="34">
        <v>2.0</v>
      </c>
      <c r="F1482" s="35" t="s">
        <v>16</v>
      </c>
      <c r="G1482" s="53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>
      <c r="A1483" s="10">
        <v>1482.0</v>
      </c>
      <c r="B1483" s="34">
        <v>2017.0</v>
      </c>
      <c r="C1483" s="37">
        <v>10.0</v>
      </c>
      <c r="D1483" s="34">
        <v>5.0</v>
      </c>
      <c r="E1483" s="34">
        <v>2.0</v>
      </c>
      <c r="F1483" s="35" t="s">
        <v>16</v>
      </c>
      <c r="G1483" s="10" t="s">
        <v>141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>
      <c r="A1484" s="34">
        <v>1483.0</v>
      </c>
      <c r="B1484" s="34">
        <v>2017.0</v>
      </c>
      <c r="C1484" s="37">
        <v>10.0</v>
      </c>
      <c r="D1484" s="34">
        <v>5.0</v>
      </c>
      <c r="E1484" s="34">
        <v>3.0</v>
      </c>
      <c r="F1484" s="35" t="s">
        <v>16</v>
      </c>
      <c r="G1484" s="53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>
      <c r="A1485" s="10">
        <v>1484.0</v>
      </c>
      <c r="B1485" s="34">
        <v>2017.0</v>
      </c>
      <c r="C1485" s="37">
        <v>10.0</v>
      </c>
      <c r="D1485" s="34">
        <v>5.0</v>
      </c>
      <c r="E1485" s="34">
        <v>3.0</v>
      </c>
      <c r="F1485" s="35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>
      <c r="A1486" s="34">
        <v>1485.0</v>
      </c>
      <c r="B1486" s="34">
        <v>2017.0</v>
      </c>
      <c r="C1486" s="37">
        <v>10.0</v>
      </c>
      <c r="D1486" s="34">
        <v>5.0</v>
      </c>
      <c r="E1486" s="34">
        <v>4.0</v>
      </c>
      <c r="F1486" s="35" t="s">
        <v>16</v>
      </c>
      <c r="G1486" s="53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>
      <c r="A1487" s="10">
        <v>1486.0</v>
      </c>
      <c r="B1487" s="34">
        <v>2017.0</v>
      </c>
      <c r="C1487" s="37">
        <v>10.0</v>
      </c>
      <c r="D1487" s="34">
        <v>5.0</v>
      </c>
      <c r="E1487" s="34">
        <v>4.0</v>
      </c>
      <c r="F1487" s="35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>
      <c r="A1488" s="34">
        <v>1487.0</v>
      </c>
      <c r="B1488" s="34">
        <v>2017.0</v>
      </c>
      <c r="C1488" s="37">
        <v>10.0</v>
      </c>
      <c r="D1488" s="34">
        <v>6.0</v>
      </c>
      <c r="E1488" s="34">
        <v>1.0</v>
      </c>
      <c r="F1488" s="35" t="s">
        <v>16</v>
      </c>
      <c r="G1488" s="53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>
      <c r="A1489" s="10">
        <v>1488.0</v>
      </c>
      <c r="B1489" s="34">
        <v>2017.0</v>
      </c>
      <c r="C1489" s="37">
        <v>10.0</v>
      </c>
      <c r="D1489" s="34">
        <v>6.0</v>
      </c>
      <c r="E1489" s="34">
        <v>1.0</v>
      </c>
      <c r="F1489" s="35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>
      <c r="A1490" s="34">
        <v>1489.0</v>
      </c>
      <c r="B1490" s="34">
        <v>2017.0</v>
      </c>
      <c r="C1490" s="37">
        <v>10.0</v>
      </c>
      <c r="D1490" s="34">
        <v>6.0</v>
      </c>
      <c r="E1490" s="34">
        <v>2.0</v>
      </c>
      <c r="F1490" s="35" t="s">
        <v>16</v>
      </c>
      <c r="G1490" s="53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>
      <c r="A1491" s="10">
        <v>1490.0</v>
      </c>
      <c r="B1491" s="34">
        <v>2017.0</v>
      </c>
      <c r="C1491" s="37">
        <v>10.0</v>
      </c>
      <c r="D1491" s="34">
        <v>6.0</v>
      </c>
      <c r="E1491" s="34">
        <v>2.0</v>
      </c>
      <c r="F1491" s="35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>
      <c r="A1492" s="34">
        <v>1491.0</v>
      </c>
      <c r="B1492" s="34">
        <v>2017.0</v>
      </c>
      <c r="C1492" s="37">
        <v>10.0</v>
      </c>
      <c r="D1492" s="34">
        <v>6.0</v>
      </c>
      <c r="E1492" s="34">
        <v>3.0</v>
      </c>
      <c r="F1492" s="35" t="s">
        <v>16</v>
      </c>
      <c r="G1492" s="53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>
      <c r="A1493" s="10">
        <v>1492.0</v>
      </c>
      <c r="B1493" s="34">
        <v>2017.0</v>
      </c>
      <c r="C1493" s="37">
        <v>10.0</v>
      </c>
      <c r="D1493" s="34">
        <v>6.0</v>
      </c>
      <c r="E1493" s="34">
        <v>3.0</v>
      </c>
      <c r="F1493" s="35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>
      <c r="A1494" s="34">
        <v>1493.0</v>
      </c>
      <c r="B1494" s="34">
        <v>2017.0</v>
      </c>
      <c r="C1494" s="37">
        <v>10.0</v>
      </c>
      <c r="D1494" s="34">
        <v>6.0</v>
      </c>
      <c r="E1494" s="34">
        <v>4.0</v>
      </c>
      <c r="F1494" s="35" t="s">
        <v>16</v>
      </c>
      <c r="G1494" s="53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>
      <c r="A1495" s="10">
        <v>1494.0</v>
      </c>
      <c r="B1495" s="34">
        <v>2017.0</v>
      </c>
      <c r="C1495" s="37">
        <v>10.0</v>
      </c>
      <c r="D1495" s="34">
        <v>6.0</v>
      </c>
      <c r="E1495" s="34">
        <v>4.0</v>
      </c>
      <c r="F1495" s="35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>
      <c r="A1496" s="34">
        <v>1495.0</v>
      </c>
      <c r="B1496" s="34">
        <v>2017.0</v>
      </c>
      <c r="C1496" s="37">
        <v>10.0</v>
      </c>
      <c r="D1496" s="34">
        <v>7.0</v>
      </c>
      <c r="E1496" s="34">
        <v>1.0</v>
      </c>
      <c r="F1496" s="35" t="s">
        <v>16</v>
      </c>
      <c r="G1496" s="53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>
      <c r="A1497" s="10">
        <v>1496.0</v>
      </c>
      <c r="B1497" s="34">
        <v>2017.0</v>
      </c>
      <c r="C1497" s="37">
        <v>10.0</v>
      </c>
      <c r="D1497" s="34">
        <v>7.0</v>
      </c>
      <c r="E1497" s="34">
        <v>1.0</v>
      </c>
      <c r="F1497" s="35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>
      <c r="A1498" s="34">
        <v>1497.0</v>
      </c>
      <c r="B1498" s="34">
        <v>2017.0</v>
      </c>
      <c r="C1498" s="37">
        <v>10.0</v>
      </c>
      <c r="D1498" s="34">
        <v>7.0</v>
      </c>
      <c r="E1498" s="34">
        <v>2.0</v>
      </c>
      <c r="F1498" s="35" t="s">
        <v>16</v>
      </c>
      <c r="G1498" s="53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>
      <c r="A1499" s="10">
        <v>1498.0</v>
      </c>
      <c r="B1499" s="34">
        <v>2017.0</v>
      </c>
      <c r="C1499" s="37">
        <v>10.0</v>
      </c>
      <c r="D1499" s="34">
        <v>7.0</v>
      </c>
      <c r="E1499" s="34">
        <v>2.0</v>
      </c>
      <c r="F1499" s="35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>
      <c r="A1500" s="34">
        <v>1499.0</v>
      </c>
      <c r="B1500" s="34">
        <v>2017.0</v>
      </c>
      <c r="C1500" s="37">
        <v>10.0</v>
      </c>
      <c r="D1500" s="34">
        <v>8.0</v>
      </c>
      <c r="E1500" s="34">
        <v>1.0</v>
      </c>
      <c r="F1500" s="35" t="s">
        <v>16</v>
      </c>
      <c r="G1500" s="53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>
      <c r="A1501" s="10">
        <v>1500.0</v>
      </c>
      <c r="B1501" s="34">
        <v>2017.0</v>
      </c>
      <c r="C1501" s="37">
        <v>10.0</v>
      </c>
      <c r="D1501" s="34">
        <v>8.0</v>
      </c>
      <c r="E1501" s="34">
        <v>1.0</v>
      </c>
      <c r="F1501" s="35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>
      <c r="A1502" s="34">
        <v>1501.0</v>
      </c>
      <c r="B1502" s="34">
        <v>2017.0</v>
      </c>
      <c r="C1502" s="37">
        <v>11.0</v>
      </c>
      <c r="D1502" s="34">
        <v>1.0</v>
      </c>
      <c r="E1502" s="34">
        <v>1.0</v>
      </c>
      <c r="F1502" s="35" t="s">
        <v>16</v>
      </c>
      <c r="G1502" s="49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>
      <c r="A1503" s="10">
        <v>1502.0</v>
      </c>
      <c r="B1503" s="34">
        <v>2017.0</v>
      </c>
      <c r="C1503" s="37">
        <v>11.0</v>
      </c>
      <c r="D1503" s="34">
        <v>1.0</v>
      </c>
      <c r="E1503" s="34">
        <v>1.0</v>
      </c>
      <c r="F1503" s="35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>
      <c r="A1504" s="34">
        <v>1503.0</v>
      </c>
      <c r="B1504" s="34">
        <v>2017.0</v>
      </c>
      <c r="C1504" s="37">
        <v>11.0</v>
      </c>
      <c r="D1504" s="34">
        <v>1.0</v>
      </c>
      <c r="E1504" s="34">
        <v>1.0</v>
      </c>
      <c r="F1504" s="35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>
      <c r="A1505" s="10">
        <v>1504.0</v>
      </c>
      <c r="B1505" s="34">
        <v>2017.0</v>
      </c>
      <c r="C1505" s="37">
        <v>11.0</v>
      </c>
      <c r="D1505" s="34">
        <v>1.0</v>
      </c>
      <c r="E1505" s="34">
        <v>2.0</v>
      </c>
      <c r="F1505" s="35" t="s">
        <v>16</v>
      </c>
      <c r="G1505" s="49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>
      <c r="A1506" s="34">
        <v>1505.0</v>
      </c>
      <c r="B1506" s="34">
        <v>2017.0</v>
      </c>
      <c r="C1506" s="37">
        <v>11.0</v>
      </c>
      <c r="D1506" s="34">
        <v>1.0</v>
      </c>
      <c r="E1506" s="34">
        <v>2.0</v>
      </c>
      <c r="F1506" s="35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>
      <c r="A1507" s="10">
        <v>1506.0</v>
      </c>
      <c r="B1507" s="34">
        <v>2017.0</v>
      </c>
      <c r="C1507" s="37">
        <v>11.0</v>
      </c>
      <c r="D1507" s="34">
        <v>1.0</v>
      </c>
      <c r="E1507" s="34">
        <v>2.0</v>
      </c>
      <c r="F1507" s="35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>
      <c r="A1508" s="34">
        <v>1507.0</v>
      </c>
      <c r="B1508" s="34">
        <v>2017.0</v>
      </c>
      <c r="C1508" s="37">
        <v>11.0</v>
      </c>
      <c r="D1508" s="34">
        <v>1.0</v>
      </c>
      <c r="E1508" s="34">
        <v>3.0</v>
      </c>
      <c r="F1508" s="35" t="s">
        <v>16</v>
      </c>
      <c r="G1508" s="49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>
      <c r="A1509" s="10">
        <v>1508.0</v>
      </c>
      <c r="B1509" s="34">
        <v>2017.0</v>
      </c>
      <c r="C1509" s="37">
        <v>11.0</v>
      </c>
      <c r="D1509" s="34">
        <v>1.0</v>
      </c>
      <c r="E1509" s="34">
        <v>3.0</v>
      </c>
      <c r="F1509" s="35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>
      <c r="A1510" s="34">
        <v>1509.0</v>
      </c>
      <c r="B1510" s="34">
        <v>2017.0</v>
      </c>
      <c r="C1510" s="37">
        <v>11.0</v>
      </c>
      <c r="D1510" s="34">
        <v>1.0</v>
      </c>
      <c r="E1510" s="34">
        <v>3.0</v>
      </c>
      <c r="F1510" s="35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>
      <c r="A1511" s="10">
        <v>1510.0</v>
      </c>
      <c r="B1511" s="34">
        <v>2017.0</v>
      </c>
      <c r="C1511" s="37">
        <v>11.0</v>
      </c>
      <c r="D1511" s="34">
        <v>1.0</v>
      </c>
      <c r="E1511" s="34">
        <v>4.0</v>
      </c>
      <c r="F1511" s="35" t="s">
        <v>16</v>
      </c>
      <c r="G1511" s="49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>
      <c r="A1512" s="34">
        <v>1511.0</v>
      </c>
      <c r="B1512" s="34">
        <v>2017.0</v>
      </c>
      <c r="C1512" s="37">
        <v>11.0</v>
      </c>
      <c r="D1512" s="34">
        <v>1.0</v>
      </c>
      <c r="E1512" s="34">
        <v>4.0</v>
      </c>
      <c r="F1512" s="35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>
      <c r="A1513" s="10">
        <v>1512.0</v>
      </c>
      <c r="B1513" s="34">
        <v>2017.0</v>
      </c>
      <c r="C1513" s="37">
        <v>11.0</v>
      </c>
      <c r="D1513" s="34">
        <v>1.0</v>
      </c>
      <c r="E1513" s="34">
        <v>4.0</v>
      </c>
      <c r="F1513" s="35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>
      <c r="A1514" s="34">
        <v>1513.0</v>
      </c>
      <c r="B1514" s="34">
        <v>2017.0</v>
      </c>
      <c r="C1514" s="37">
        <v>11.0</v>
      </c>
      <c r="D1514" s="34">
        <v>1.0</v>
      </c>
      <c r="E1514" s="34">
        <v>5.0</v>
      </c>
      <c r="F1514" s="35" t="s">
        <v>16</v>
      </c>
      <c r="G1514" s="49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>
      <c r="A1515" s="10">
        <v>1514.0</v>
      </c>
      <c r="B1515" s="34">
        <v>2017.0</v>
      </c>
      <c r="C1515" s="37">
        <v>11.0</v>
      </c>
      <c r="D1515" s="34">
        <v>1.0</v>
      </c>
      <c r="E1515" s="34">
        <v>5.0</v>
      </c>
      <c r="F1515" s="35" t="s">
        <v>16</v>
      </c>
      <c r="G1515" s="10" t="s">
        <v>175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>
      <c r="A1516" s="34">
        <v>1515.0</v>
      </c>
      <c r="B1516" s="34">
        <v>2017.0</v>
      </c>
      <c r="C1516" s="37">
        <v>11.0</v>
      </c>
      <c r="D1516" s="34">
        <v>1.0</v>
      </c>
      <c r="E1516" s="34">
        <v>5.0</v>
      </c>
      <c r="F1516" s="35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>
      <c r="A1517" s="10">
        <v>1516.0</v>
      </c>
      <c r="B1517" s="34">
        <v>2017.0</v>
      </c>
      <c r="C1517" s="37">
        <v>11.0</v>
      </c>
      <c r="D1517" s="34">
        <v>1.0</v>
      </c>
      <c r="E1517" s="34">
        <v>6.0</v>
      </c>
      <c r="F1517" s="35" t="s">
        <v>16</v>
      </c>
      <c r="G1517" s="49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>
      <c r="A1518" s="34">
        <v>1517.0</v>
      </c>
      <c r="B1518" s="34">
        <v>2017.0</v>
      </c>
      <c r="C1518" s="37">
        <v>11.0</v>
      </c>
      <c r="D1518" s="34">
        <v>1.0</v>
      </c>
      <c r="E1518" s="34">
        <v>6.0</v>
      </c>
      <c r="F1518" s="35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>
      <c r="A1519" s="10">
        <v>1518.0</v>
      </c>
      <c r="B1519" s="34">
        <v>2017.0</v>
      </c>
      <c r="C1519" s="37">
        <v>11.0</v>
      </c>
      <c r="D1519" s="34">
        <v>1.0</v>
      </c>
      <c r="E1519" s="34">
        <v>6.0</v>
      </c>
      <c r="F1519" s="35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>
      <c r="A1520" s="34">
        <v>1519.0</v>
      </c>
      <c r="B1520" s="34">
        <v>2017.0</v>
      </c>
      <c r="C1520" s="37">
        <v>11.0</v>
      </c>
      <c r="D1520" s="34">
        <v>1.0</v>
      </c>
      <c r="E1520" s="34">
        <v>7.0</v>
      </c>
      <c r="F1520" s="35" t="s">
        <v>16</v>
      </c>
      <c r="G1520" s="49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>
      <c r="A1521" s="10">
        <v>1520.0</v>
      </c>
      <c r="B1521" s="34">
        <v>2017.0</v>
      </c>
      <c r="C1521" s="37">
        <v>11.0</v>
      </c>
      <c r="D1521" s="34">
        <v>1.0</v>
      </c>
      <c r="E1521" s="34">
        <v>7.0</v>
      </c>
      <c r="F1521" s="35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>
      <c r="A1522" s="34">
        <v>1521.0</v>
      </c>
      <c r="B1522" s="34">
        <v>2017.0</v>
      </c>
      <c r="C1522" s="37">
        <v>11.0</v>
      </c>
      <c r="D1522" s="34">
        <v>1.0</v>
      </c>
      <c r="E1522" s="34">
        <v>7.0</v>
      </c>
      <c r="F1522" s="35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>
      <c r="A1523" s="10">
        <v>1522.0</v>
      </c>
      <c r="B1523" s="34">
        <v>2017.0</v>
      </c>
      <c r="C1523" s="37">
        <v>11.0</v>
      </c>
      <c r="D1523" s="34">
        <v>1.0</v>
      </c>
      <c r="E1523" s="34">
        <v>8.0</v>
      </c>
      <c r="F1523" s="35" t="s">
        <v>16</v>
      </c>
      <c r="G1523" s="49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>
      <c r="A1524" s="34">
        <v>1523.0</v>
      </c>
      <c r="B1524" s="34">
        <v>2017.0</v>
      </c>
      <c r="C1524" s="37">
        <v>11.0</v>
      </c>
      <c r="D1524" s="34">
        <v>1.0</v>
      </c>
      <c r="E1524" s="34">
        <v>8.0</v>
      </c>
      <c r="F1524" s="35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>
      <c r="A1525" s="10">
        <v>1524.0</v>
      </c>
      <c r="B1525" s="34">
        <v>2017.0</v>
      </c>
      <c r="C1525" s="37">
        <v>11.0</v>
      </c>
      <c r="D1525" s="34">
        <v>1.0</v>
      </c>
      <c r="E1525" s="34">
        <v>8.0</v>
      </c>
      <c r="F1525" s="35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>
      <c r="A1526" s="34">
        <v>1525.0</v>
      </c>
      <c r="B1526" s="34">
        <v>2017.0</v>
      </c>
      <c r="C1526" s="37">
        <v>11.0</v>
      </c>
      <c r="D1526" s="34">
        <v>1.0</v>
      </c>
      <c r="E1526" s="34">
        <v>9.0</v>
      </c>
      <c r="F1526" s="35" t="s">
        <v>16</v>
      </c>
      <c r="G1526" s="49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>
      <c r="A1527" s="10">
        <v>1526.0</v>
      </c>
      <c r="B1527" s="34">
        <v>2017.0</v>
      </c>
      <c r="C1527" s="37">
        <v>11.0</v>
      </c>
      <c r="D1527" s="34">
        <v>1.0</v>
      </c>
      <c r="E1527" s="34">
        <v>9.0</v>
      </c>
      <c r="F1527" s="35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>
      <c r="A1528" s="34">
        <v>1527.0</v>
      </c>
      <c r="B1528" s="34">
        <v>2017.0</v>
      </c>
      <c r="C1528" s="37">
        <v>11.0</v>
      </c>
      <c r="D1528" s="34">
        <v>1.0</v>
      </c>
      <c r="E1528" s="34">
        <v>9.0</v>
      </c>
      <c r="F1528" s="35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>
      <c r="A1529" s="10">
        <v>1528.0</v>
      </c>
      <c r="B1529" s="34">
        <v>2017.0</v>
      </c>
      <c r="C1529" s="37">
        <v>11.0</v>
      </c>
      <c r="D1529" s="34">
        <v>1.0</v>
      </c>
      <c r="E1529" s="34">
        <v>10.0</v>
      </c>
      <c r="F1529" s="35" t="s">
        <v>16</v>
      </c>
      <c r="G1529" s="49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>
      <c r="A1530" s="34">
        <v>1529.0</v>
      </c>
      <c r="B1530" s="34">
        <v>2017.0</v>
      </c>
      <c r="C1530" s="37">
        <v>11.0</v>
      </c>
      <c r="D1530" s="34">
        <v>1.0</v>
      </c>
      <c r="E1530" s="34">
        <v>10.0</v>
      </c>
      <c r="F1530" s="35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>
      <c r="A1531" s="10">
        <v>1530.0</v>
      </c>
      <c r="B1531" s="34">
        <v>2017.0</v>
      </c>
      <c r="C1531" s="37">
        <v>11.0</v>
      </c>
      <c r="D1531" s="34">
        <v>1.0</v>
      </c>
      <c r="E1531" s="34">
        <v>10.0</v>
      </c>
      <c r="F1531" s="35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>
      <c r="A1532" s="34">
        <v>1531.0</v>
      </c>
      <c r="B1532" s="34">
        <v>2017.0</v>
      </c>
      <c r="C1532" s="37">
        <v>11.0</v>
      </c>
      <c r="D1532" s="34">
        <v>1.0</v>
      </c>
      <c r="E1532" s="34">
        <v>11.0</v>
      </c>
      <c r="F1532" s="35" t="s">
        <v>16</v>
      </c>
      <c r="G1532" s="49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>
      <c r="A1533" s="10">
        <v>1532.0</v>
      </c>
      <c r="B1533" s="34">
        <v>2017.0</v>
      </c>
      <c r="C1533" s="37">
        <v>11.0</v>
      </c>
      <c r="D1533" s="34">
        <v>1.0</v>
      </c>
      <c r="E1533" s="34">
        <v>11.0</v>
      </c>
      <c r="F1533" s="35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>
      <c r="A1534" s="34">
        <v>1533.0</v>
      </c>
      <c r="B1534" s="34">
        <v>2017.0</v>
      </c>
      <c r="C1534" s="37">
        <v>11.0</v>
      </c>
      <c r="D1534" s="34">
        <v>1.0</v>
      </c>
      <c r="E1534" s="34">
        <v>11.0</v>
      </c>
      <c r="F1534" s="35" t="s">
        <v>16</v>
      </c>
      <c r="G1534" s="10" t="s">
        <v>141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>
      <c r="A1535" s="10">
        <v>1534.0</v>
      </c>
      <c r="B1535" s="34">
        <v>2017.0</v>
      </c>
      <c r="C1535" s="37">
        <v>11.0</v>
      </c>
      <c r="D1535" s="34">
        <v>1.0</v>
      </c>
      <c r="E1535" s="34">
        <v>12.0</v>
      </c>
      <c r="F1535" s="35" t="s">
        <v>16</v>
      </c>
      <c r="G1535" s="49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>
      <c r="A1536" s="34">
        <v>1535.0</v>
      </c>
      <c r="B1536" s="34">
        <v>2017.0</v>
      </c>
      <c r="C1536" s="37">
        <v>11.0</v>
      </c>
      <c r="D1536" s="34">
        <v>1.0</v>
      </c>
      <c r="E1536" s="34">
        <v>12.0</v>
      </c>
      <c r="F1536" s="35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>
      <c r="A1537" s="10">
        <v>1536.0</v>
      </c>
      <c r="B1537" s="34">
        <v>2017.0</v>
      </c>
      <c r="C1537" s="37">
        <v>11.0</v>
      </c>
      <c r="D1537" s="34">
        <v>1.0</v>
      </c>
      <c r="E1537" s="34">
        <v>12.0</v>
      </c>
      <c r="F1537" s="35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>
      <c r="A1538" s="34">
        <v>1537.0</v>
      </c>
      <c r="B1538" s="34">
        <v>2017.0</v>
      </c>
      <c r="C1538" s="37">
        <v>11.0</v>
      </c>
      <c r="D1538" s="34">
        <v>2.0</v>
      </c>
      <c r="E1538" s="34">
        <v>1.0</v>
      </c>
      <c r="F1538" s="35" t="s">
        <v>16</v>
      </c>
      <c r="G1538" s="49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>
      <c r="A1539" s="10">
        <v>1538.0</v>
      </c>
      <c r="B1539" s="34">
        <v>2017.0</v>
      </c>
      <c r="C1539" s="37">
        <v>11.0</v>
      </c>
      <c r="D1539" s="34">
        <v>2.0</v>
      </c>
      <c r="E1539" s="34">
        <v>1.0</v>
      </c>
      <c r="F1539" s="35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>
      <c r="A1540" s="34">
        <v>1539.0</v>
      </c>
      <c r="B1540" s="34">
        <v>2017.0</v>
      </c>
      <c r="C1540" s="37">
        <v>11.0</v>
      </c>
      <c r="D1540" s="34">
        <v>2.0</v>
      </c>
      <c r="E1540" s="34">
        <v>2.0</v>
      </c>
      <c r="F1540" s="35" t="s">
        <v>16</v>
      </c>
      <c r="G1540" s="49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>
      <c r="A1541" s="10">
        <v>1540.0</v>
      </c>
      <c r="B1541" s="34">
        <v>2017.0</v>
      </c>
      <c r="C1541" s="37">
        <v>11.0</v>
      </c>
      <c r="D1541" s="34">
        <v>2.0</v>
      </c>
      <c r="E1541" s="34">
        <v>2.0</v>
      </c>
      <c r="F1541" s="35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>
      <c r="A1542" s="34">
        <v>1541.0</v>
      </c>
      <c r="B1542" s="34">
        <v>2017.0</v>
      </c>
      <c r="C1542" s="37">
        <v>11.0</v>
      </c>
      <c r="D1542" s="34">
        <v>2.0</v>
      </c>
      <c r="E1542" s="34">
        <v>3.0</v>
      </c>
      <c r="F1542" s="35" t="s">
        <v>16</v>
      </c>
      <c r="G1542" s="49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>
      <c r="A1543" s="10">
        <v>1542.0</v>
      </c>
      <c r="B1543" s="34">
        <v>2017.0</v>
      </c>
      <c r="C1543" s="37">
        <v>11.0</v>
      </c>
      <c r="D1543" s="34">
        <v>2.0</v>
      </c>
      <c r="E1543" s="34">
        <v>3.0</v>
      </c>
      <c r="F1543" s="35" t="s">
        <v>16</v>
      </c>
      <c r="G1543" s="10" t="s">
        <v>175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>
      <c r="A1544" s="34">
        <v>1543.0</v>
      </c>
      <c r="B1544" s="34">
        <v>2017.0</v>
      </c>
      <c r="C1544" s="37">
        <v>11.0</v>
      </c>
      <c r="D1544" s="34">
        <v>2.0</v>
      </c>
      <c r="E1544" s="34">
        <v>4.0</v>
      </c>
      <c r="F1544" s="35" t="s">
        <v>16</v>
      </c>
      <c r="G1544" s="49" t="s">
        <v>34</v>
      </c>
      <c r="H1544" s="10"/>
      <c r="I1544" s="10"/>
      <c r="J1544" s="10"/>
      <c r="L1544" s="3">
        <f t="shared" si="11"/>
        <v>0</v>
      </c>
    </row>
    <row r="1545">
      <c r="A1545" s="10">
        <v>1544.0</v>
      </c>
      <c r="B1545" s="34">
        <v>2017.0</v>
      </c>
      <c r="C1545" s="37">
        <v>11.0</v>
      </c>
      <c r="D1545" s="34">
        <v>2.0</v>
      </c>
      <c r="E1545" s="34">
        <v>4.0</v>
      </c>
      <c r="F1545" s="35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>
      <c r="A1546" s="34">
        <v>1545.0</v>
      </c>
      <c r="B1546" s="34">
        <v>2017.0</v>
      </c>
      <c r="C1546" s="37">
        <v>11.0</v>
      </c>
      <c r="D1546" s="34">
        <v>2.0</v>
      </c>
      <c r="E1546" s="34">
        <v>5.0</v>
      </c>
      <c r="F1546" s="35" t="s">
        <v>16</v>
      </c>
      <c r="G1546" s="49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>
      <c r="A1547" s="10">
        <v>1546.0</v>
      </c>
      <c r="B1547" s="34">
        <v>2017.0</v>
      </c>
      <c r="C1547" s="37">
        <v>11.0</v>
      </c>
      <c r="D1547" s="34">
        <v>2.0</v>
      </c>
      <c r="E1547" s="34">
        <v>5.0</v>
      </c>
      <c r="F1547" s="35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>
      <c r="A1548" s="34">
        <v>1547.0</v>
      </c>
      <c r="B1548" s="34">
        <v>2017.0</v>
      </c>
      <c r="C1548" s="37">
        <v>11.0</v>
      </c>
      <c r="D1548" s="34">
        <v>2.0</v>
      </c>
      <c r="E1548" s="34">
        <v>6.0</v>
      </c>
      <c r="F1548" s="35" t="s">
        <v>16</v>
      </c>
      <c r="G1548" s="49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>
      <c r="A1549" s="10">
        <v>1548.0</v>
      </c>
      <c r="B1549" s="34">
        <v>2017.0</v>
      </c>
      <c r="C1549" s="37">
        <v>11.0</v>
      </c>
      <c r="D1549" s="34">
        <v>2.0</v>
      </c>
      <c r="E1549" s="34">
        <v>6.0</v>
      </c>
      <c r="F1549" s="35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>
      <c r="A1550" s="34">
        <v>1549.0</v>
      </c>
      <c r="B1550" s="34">
        <v>2017.0</v>
      </c>
      <c r="C1550" s="37">
        <v>11.0</v>
      </c>
      <c r="D1550" s="34">
        <v>2.0</v>
      </c>
      <c r="E1550" s="34">
        <v>7.0</v>
      </c>
      <c r="F1550" s="35" t="s">
        <v>16</v>
      </c>
      <c r="G1550" s="49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>
      <c r="A1551" s="10">
        <v>1550.0</v>
      </c>
      <c r="B1551" s="34">
        <v>2017.0</v>
      </c>
      <c r="C1551" s="37">
        <v>11.0</v>
      </c>
      <c r="D1551" s="34">
        <v>2.0</v>
      </c>
      <c r="E1551" s="34">
        <v>7.0</v>
      </c>
      <c r="F1551" s="35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>
      <c r="A1552" s="34">
        <v>1551.0</v>
      </c>
      <c r="B1552" s="34">
        <v>2017.0</v>
      </c>
      <c r="C1552" s="37">
        <v>11.0</v>
      </c>
      <c r="D1552" s="34">
        <v>2.0</v>
      </c>
      <c r="E1552" s="34">
        <v>8.0</v>
      </c>
      <c r="F1552" s="35" t="s">
        <v>16</v>
      </c>
      <c r="G1552" s="49" t="s">
        <v>141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>
      <c r="A1553" s="10">
        <v>1552.0</v>
      </c>
      <c r="B1553" s="34">
        <v>2017.0</v>
      </c>
      <c r="C1553" s="37">
        <v>11.0</v>
      </c>
      <c r="D1553" s="34">
        <v>2.0</v>
      </c>
      <c r="E1553" s="34">
        <v>8.0</v>
      </c>
      <c r="F1553" s="35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>
      <c r="A1554" s="34">
        <v>1553.0</v>
      </c>
      <c r="B1554" s="34">
        <v>2017.0</v>
      </c>
      <c r="C1554" s="37">
        <v>11.0</v>
      </c>
      <c r="D1554" s="34">
        <v>2.0</v>
      </c>
      <c r="E1554" s="34">
        <v>9.0</v>
      </c>
      <c r="F1554" s="35" t="s">
        <v>16</v>
      </c>
      <c r="G1554" s="49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>
      <c r="A1555" s="10">
        <v>1554.0</v>
      </c>
      <c r="B1555" s="34">
        <v>2017.0</v>
      </c>
      <c r="C1555" s="37">
        <v>11.0</v>
      </c>
      <c r="D1555" s="34">
        <v>2.0</v>
      </c>
      <c r="E1555" s="34">
        <v>9.0</v>
      </c>
      <c r="F1555" s="35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>
      <c r="A1556" s="34">
        <v>1555.0</v>
      </c>
      <c r="B1556" s="34">
        <v>2017.0</v>
      </c>
      <c r="C1556" s="37">
        <v>11.0</v>
      </c>
      <c r="D1556" s="34">
        <v>2.0</v>
      </c>
      <c r="E1556" s="34">
        <v>10.0</v>
      </c>
      <c r="F1556" s="35" t="s">
        <v>16</v>
      </c>
      <c r="G1556" s="49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>
      <c r="A1557" s="10">
        <v>1556.0</v>
      </c>
      <c r="B1557" s="34">
        <v>2017.0</v>
      </c>
      <c r="C1557" s="37">
        <v>11.0</v>
      </c>
      <c r="D1557" s="34">
        <v>2.0</v>
      </c>
      <c r="E1557" s="34">
        <v>10.0</v>
      </c>
      <c r="F1557" s="35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>
      <c r="A1558" s="34">
        <v>1557.0</v>
      </c>
      <c r="B1558" s="34">
        <v>2017.0</v>
      </c>
      <c r="C1558" s="37">
        <v>11.0</v>
      </c>
      <c r="D1558" s="34">
        <v>2.0</v>
      </c>
      <c r="E1558" s="34">
        <v>11.0</v>
      </c>
      <c r="F1558" s="35" t="s">
        <v>16</v>
      </c>
      <c r="G1558" s="49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>
      <c r="A1559" s="10">
        <v>1558.0</v>
      </c>
      <c r="B1559" s="34">
        <v>2017.0</v>
      </c>
      <c r="C1559" s="37">
        <v>11.0</v>
      </c>
      <c r="D1559" s="34">
        <v>2.0</v>
      </c>
      <c r="E1559" s="34">
        <v>11.0</v>
      </c>
      <c r="F1559" s="35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>
      <c r="A1560" s="34">
        <v>1559.0</v>
      </c>
      <c r="B1560" s="34">
        <v>2017.0</v>
      </c>
      <c r="C1560" s="37">
        <v>11.0</v>
      </c>
      <c r="D1560" s="34">
        <v>2.0</v>
      </c>
      <c r="E1560" s="34">
        <v>12.0</v>
      </c>
      <c r="F1560" s="35" t="s">
        <v>16</v>
      </c>
      <c r="G1560" s="49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>
      <c r="A1561" s="10">
        <v>1560.0</v>
      </c>
      <c r="B1561" s="34">
        <v>2017.0</v>
      </c>
      <c r="C1561" s="37">
        <v>11.0</v>
      </c>
      <c r="D1561" s="34">
        <v>2.0</v>
      </c>
      <c r="E1561" s="34">
        <v>12.0</v>
      </c>
      <c r="F1561" s="35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>
      <c r="A1562" s="34">
        <v>1561.0</v>
      </c>
      <c r="B1562" s="34">
        <v>2017.0</v>
      </c>
      <c r="C1562" s="37">
        <v>11.0</v>
      </c>
      <c r="D1562" s="34">
        <v>3.0</v>
      </c>
      <c r="E1562" s="34">
        <v>1.0</v>
      </c>
      <c r="F1562" s="35" t="s">
        <v>16</v>
      </c>
      <c r="G1562" s="49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>
      <c r="A1563" s="10">
        <v>1562.0</v>
      </c>
      <c r="B1563" s="34">
        <v>2017.0</v>
      </c>
      <c r="C1563" s="37">
        <v>11.0</v>
      </c>
      <c r="D1563" s="34">
        <v>3.0</v>
      </c>
      <c r="E1563" s="34">
        <v>1.0</v>
      </c>
      <c r="F1563" s="35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>
      <c r="A1564" s="34">
        <v>1563.0</v>
      </c>
      <c r="B1564" s="34">
        <v>2017.0</v>
      </c>
      <c r="C1564" s="37">
        <v>11.0</v>
      </c>
      <c r="D1564" s="34">
        <v>3.0</v>
      </c>
      <c r="E1564" s="34">
        <v>2.0</v>
      </c>
      <c r="F1564" s="35" t="s">
        <v>16</v>
      </c>
      <c r="G1564" s="49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>
      <c r="A1565" s="10">
        <v>1564.0</v>
      </c>
      <c r="B1565" s="34">
        <v>2017.0</v>
      </c>
      <c r="C1565" s="37">
        <v>11.0</v>
      </c>
      <c r="D1565" s="34">
        <v>3.0</v>
      </c>
      <c r="E1565" s="34">
        <v>2.0</v>
      </c>
      <c r="F1565" s="35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>
      <c r="A1566" s="34">
        <v>1565.0</v>
      </c>
      <c r="B1566" s="34">
        <v>2017.0</v>
      </c>
      <c r="C1566" s="37">
        <v>11.0</v>
      </c>
      <c r="D1566" s="34">
        <v>3.0</v>
      </c>
      <c r="E1566" s="34">
        <v>3.0</v>
      </c>
      <c r="F1566" s="35" t="s">
        <v>16</v>
      </c>
      <c r="G1566" s="49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>
      <c r="A1567" s="10">
        <v>1566.0</v>
      </c>
      <c r="B1567" s="34">
        <v>2017.0</v>
      </c>
      <c r="C1567" s="37">
        <v>11.0</v>
      </c>
      <c r="D1567" s="34">
        <v>3.0</v>
      </c>
      <c r="E1567" s="34">
        <v>3.0</v>
      </c>
      <c r="F1567" s="35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>
      <c r="A1568" s="34">
        <v>1567.0</v>
      </c>
      <c r="B1568" s="34">
        <v>2017.0</v>
      </c>
      <c r="C1568" s="37">
        <v>11.0</v>
      </c>
      <c r="D1568" s="34">
        <v>3.0</v>
      </c>
      <c r="E1568" s="34">
        <v>4.0</v>
      </c>
      <c r="F1568" s="35" t="s">
        <v>16</v>
      </c>
      <c r="G1568" s="49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>
      <c r="A1569" s="10">
        <v>1568.0</v>
      </c>
      <c r="B1569" s="34">
        <v>2017.0</v>
      </c>
      <c r="C1569" s="37">
        <v>11.0</v>
      </c>
      <c r="D1569" s="34">
        <v>3.0</v>
      </c>
      <c r="E1569" s="34">
        <v>4.0</v>
      </c>
      <c r="F1569" s="35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>
      <c r="A1570" s="34">
        <v>1569.0</v>
      </c>
      <c r="B1570" s="34">
        <v>2017.0</v>
      </c>
      <c r="C1570" s="37">
        <v>11.0</v>
      </c>
      <c r="D1570" s="34">
        <v>3.0</v>
      </c>
      <c r="E1570" s="34">
        <v>5.0</v>
      </c>
      <c r="F1570" s="35" t="s">
        <v>16</v>
      </c>
      <c r="G1570" s="49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>
      <c r="A1571" s="10">
        <v>1570.0</v>
      </c>
      <c r="B1571" s="34">
        <v>2017.0</v>
      </c>
      <c r="C1571" s="37">
        <v>11.0</v>
      </c>
      <c r="D1571" s="34">
        <v>3.0</v>
      </c>
      <c r="E1571" s="34">
        <v>5.0</v>
      </c>
      <c r="F1571" s="35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>
      <c r="A1572" s="34">
        <v>1571.0</v>
      </c>
      <c r="B1572" s="34">
        <v>2017.0</v>
      </c>
      <c r="C1572" s="37">
        <v>11.0</v>
      </c>
      <c r="D1572" s="34">
        <v>3.0</v>
      </c>
      <c r="E1572" s="34">
        <v>6.0</v>
      </c>
      <c r="F1572" s="35" t="s">
        <v>16</v>
      </c>
      <c r="G1572" s="49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>
      <c r="A1573" s="10">
        <v>1572.0</v>
      </c>
      <c r="B1573" s="34">
        <v>2017.0</v>
      </c>
      <c r="C1573" s="37">
        <v>11.0</v>
      </c>
      <c r="D1573" s="34">
        <v>3.0</v>
      </c>
      <c r="E1573" s="34">
        <v>6.0</v>
      </c>
      <c r="F1573" s="35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>
      <c r="A1574" s="34">
        <v>1573.0</v>
      </c>
      <c r="B1574" s="34">
        <v>2017.0</v>
      </c>
      <c r="C1574" s="37">
        <v>11.0</v>
      </c>
      <c r="D1574" s="34">
        <v>3.0</v>
      </c>
      <c r="E1574" s="34">
        <v>7.0</v>
      </c>
      <c r="F1574" s="35" t="s">
        <v>16</v>
      </c>
      <c r="G1574" s="49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>
      <c r="A1575" s="10">
        <v>1574.0</v>
      </c>
      <c r="B1575" s="34">
        <v>2017.0</v>
      </c>
      <c r="C1575" s="37">
        <v>11.0</v>
      </c>
      <c r="D1575" s="34">
        <v>3.0</v>
      </c>
      <c r="E1575" s="34">
        <v>7.0</v>
      </c>
      <c r="F1575" s="35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>
      <c r="A1576" s="34">
        <v>1575.0</v>
      </c>
      <c r="B1576" s="34">
        <v>2017.0</v>
      </c>
      <c r="C1576" s="37">
        <v>11.0</v>
      </c>
      <c r="D1576" s="34">
        <v>3.0</v>
      </c>
      <c r="E1576" s="34">
        <v>8.0</v>
      </c>
      <c r="F1576" s="35" t="s">
        <v>16</v>
      </c>
      <c r="G1576" s="49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>
      <c r="A1577" s="10">
        <v>1576.0</v>
      </c>
      <c r="B1577" s="34">
        <v>2017.0</v>
      </c>
      <c r="C1577" s="37">
        <v>11.0</v>
      </c>
      <c r="D1577" s="34">
        <v>3.0</v>
      </c>
      <c r="E1577" s="34">
        <v>8.0</v>
      </c>
      <c r="F1577" s="35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>
      <c r="A1578" s="34">
        <v>1577.0</v>
      </c>
      <c r="B1578" s="34">
        <v>2017.0</v>
      </c>
      <c r="C1578" s="37">
        <v>11.0</v>
      </c>
      <c r="D1578" s="34">
        <v>3.0</v>
      </c>
      <c r="E1578" s="34">
        <v>9.0</v>
      </c>
      <c r="F1578" s="35" t="s">
        <v>16</v>
      </c>
      <c r="G1578" s="49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>
      <c r="A1579" s="10">
        <v>1578.0</v>
      </c>
      <c r="B1579" s="34">
        <v>2017.0</v>
      </c>
      <c r="C1579" s="37">
        <v>11.0</v>
      </c>
      <c r="D1579" s="34">
        <v>3.0</v>
      </c>
      <c r="E1579" s="34">
        <v>9.0</v>
      </c>
      <c r="F1579" s="35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>
      <c r="A1580" s="34">
        <v>1579.0</v>
      </c>
      <c r="B1580" s="34">
        <v>2017.0</v>
      </c>
      <c r="C1580" s="37">
        <v>11.0</v>
      </c>
      <c r="D1580" s="34">
        <v>3.0</v>
      </c>
      <c r="E1580" s="34">
        <v>10.0</v>
      </c>
      <c r="F1580" s="35" t="s">
        <v>16</v>
      </c>
      <c r="G1580" s="49" t="s">
        <v>141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>
      <c r="A1581" s="10">
        <v>1580.0</v>
      </c>
      <c r="B1581" s="34">
        <v>2017.0</v>
      </c>
      <c r="C1581" s="37">
        <v>11.0</v>
      </c>
      <c r="D1581" s="34">
        <v>3.0</v>
      </c>
      <c r="E1581" s="34">
        <v>10.0</v>
      </c>
      <c r="F1581" s="35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>
      <c r="A1582" s="34">
        <v>1581.0</v>
      </c>
      <c r="B1582" s="34">
        <v>2017.0</v>
      </c>
      <c r="C1582" s="37">
        <v>11.0</v>
      </c>
      <c r="D1582" s="34">
        <v>3.0</v>
      </c>
      <c r="E1582" s="34">
        <v>11.0</v>
      </c>
      <c r="F1582" s="35" t="s">
        <v>16</v>
      </c>
      <c r="G1582" s="49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>
      <c r="A1583" s="10">
        <v>1582.0</v>
      </c>
      <c r="B1583" s="34">
        <v>2017.0</v>
      </c>
      <c r="C1583" s="37">
        <v>11.0</v>
      </c>
      <c r="D1583" s="34">
        <v>3.0</v>
      </c>
      <c r="E1583" s="34">
        <v>11.0</v>
      </c>
      <c r="F1583" s="35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>
      <c r="A1584" s="34">
        <v>1583.0</v>
      </c>
      <c r="B1584" s="34">
        <v>2017.0</v>
      </c>
      <c r="C1584" s="37">
        <v>11.0</v>
      </c>
      <c r="D1584" s="34">
        <v>3.0</v>
      </c>
      <c r="E1584" s="34">
        <v>12.0</v>
      </c>
      <c r="F1584" s="35" t="s">
        <v>16</v>
      </c>
      <c r="G1584" s="49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>
      <c r="A1585" s="10">
        <v>1584.0</v>
      </c>
      <c r="B1585" s="34">
        <v>2017.0</v>
      </c>
      <c r="C1585" s="37">
        <v>11.0</v>
      </c>
      <c r="D1585" s="34">
        <v>3.0</v>
      </c>
      <c r="E1585" s="34">
        <v>12.0</v>
      </c>
      <c r="F1585" s="35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>
      <c r="A1586" s="34">
        <v>1585.0</v>
      </c>
      <c r="B1586" s="34">
        <v>2017.0</v>
      </c>
      <c r="C1586" s="37">
        <v>11.0</v>
      </c>
      <c r="D1586" s="34">
        <v>4.0</v>
      </c>
      <c r="E1586" s="34">
        <v>1.0</v>
      </c>
      <c r="F1586" s="35" t="s">
        <v>16</v>
      </c>
      <c r="G1586" s="49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>
      <c r="A1587" s="10">
        <v>1586.0</v>
      </c>
      <c r="B1587" s="34">
        <v>2017.0</v>
      </c>
      <c r="C1587" s="37">
        <v>11.0</v>
      </c>
      <c r="D1587" s="34">
        <v>4.0</v>
      </c>
      <c r="E1587" s="34">
        <v>1.0</v>
      </c>
      <c r="F1587" s="35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>
      <c r="A1588" s="34">
        <v>1587.0</v>
      </c>
      <c r="B1588" s="34">
        <v>2017.0</v>
      </c>
      <c r="C1588" s="37">
        <v>11.0</v>
      </c>
      <c r="D1588" s="34">
        <v>4.0</v>
      </c>
      <c r="E1588" s="34">
        <v>1.0</v>
      </c>
      <c r="F1588" s="35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>
      <c r="A1589" s="10">
        <v>1588.0</v>
      </c>
      <c r="B1589" s="34">
        <v>2017.0</v>
      </c>
      <c r="C1589" s="37">
        <v>11.0</v>
      </c>
      <c r="D1589" s="34">
        <v>4.0</v>
      </c>
      <c r="E1589" s="34">
        <v>2.0</v>
      </c>
      <c r="F1589" s="35" t="s">
        <v>16</v>
      </c>
      <c r="G1589" s="49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>
      <c r="A1590" s="34">
        <v>1589.0</v>
      </c>
      <c r="B1590" s="34">
        <v>2017.0</v>
      </c>
      <c r="C1590" s="37">
        <v>11.0</v>
      </c>
      <c r="D1590" s="34">
        <v>4.0</v>
      </c>
      <c r="E1590" s="34">
        <v>2.0</v>
      </c>
      <c r="F1590" s="35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>
      <c r="A1591" s="10">
        <v>1590.0</v>
      </c>
      <c r="B1591" s="34">
        <v>2017.0</v>
      </c>
      <c r="C1591" s="37">
        <v>11.0</v>
      </c>
      <c r="D1591" s="34">
        <v>4.0</v>
      </c>
      <c r="E1591" s="34">
        <v>2.0</v>
      </c>
      <c r="F1591" s="35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>
      <c r="A1592" s="34">
        <v>1591.0</v>
      </c>
      <c r="B1592" s="34">
        <v>2017.0</v>
      </c>
      <c r="C1592" s="37">
        <v>11.0</v>
      </c>
      <c r="D1592" s="34">
        <v>4.0</v>
      </c>
      <c r="E1592" s="34">
        <v>3.0</v>
      </c>
      <c r="F1592" s="35" t="s">
        <v>16</v>
      </c>
      <c r="G1592" s="49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>
      <c r="A1593" s="10">
        <v>1592.0</v>
      </c>
      <c r="B1593" s="34">
        <v>2017.0</v>
      </c>
      <c r="C1593" s="37">
        <v>11.0</v>
      </c>
      <c r="D1593" s="34">
        <v>4.0</v>
      </c>
      <c r="E1593" s="34">
        <v>3.0</v>
      </c>
      <c r="F1593" s="35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>
      <c r="A1594" s="34">
        <v>1593.0</v>
      </c>
      <c r="B1594" s="34">
        <v>2017.0</v>
      </c>
      <c r="C1594" s="37">
        <v>11.0</v>
      </c>
      <c r="D1594" s="34">
        <v>4.0</v>
      </c>
      <c r="E1594" s="34">
        <v>3.0</v>
      </c>
      <c r="F1594" s="35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>
      <c r="A1595" s="10">
        <v>1594.0</v>
      </c>
      <c r="B1595" s="34">
        <v>2017.0</v>
      </c>
      <c r="C1595" s="37">
        <v>11.0</v>
      </c>
      <c r="D1595" s="34">
        <v>4.0</v>
      </c>
      <c r="E1595" s="34">
        <v>4.0</v>
      </c>
      <c r="F1595" s="35" t="s">
        <v>16</v>
      </c>
      <c r="G1595" s="49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>
      <c r="A1596" s="34">
        <v>1595.0</v>
      </c>
      <c r="B1596" s="34">
        <v>2017.0</v>
      </c>
      <c r="C1596" s="37">
        <v>11.0</v>
      </c>
      <c r="D1596" s="34">
        <v>4.0</v>
      </c>
      <c r="E1596" s="34">
        <v>4.0</v>
      </c>
      <c r="F1596" s="35" t="s">
        <v>16</v>
      </c>
      <c r="G1596" s="10" t="s">
        <v>141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>
      <c r="A1597" s="10">
        <v>1596.0</v>
      </c>
      <c r="B1597" s="34">
        <v>2017.0</v>
      </c>
      <c r="C1597" s="37">
        <v>11.0</v>
      </c>
      <c r="D1597" s="34">
        <v>4.0</v>
      </c>
      <c r="E1597" s="34">
        <v>4.0</v>
      </c>
      <c r="F1597" s="35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>
      <c r="A1598" s="34">
        <v>1597.0</v>
      </c>
      <c r="B1598" s="34">
        <v>2017.0</v>
      </c>
      <c r="C1598" s="37">
        <v>11.0</v>
      </c>
      <c r="D1598" s="34">
        <v>5.0</v>
      </c>
      <c r="E1598" s="34">
        <v>1.0</v>
      </c>
      <c r="F1598" s="35" t="s">
        <v>16</v>
      </c>
      <c r="G1598" s="49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>
      <c r="A1599" s="10">
        <v>1598.0</v>
      </c>
      <c r="B1599" s="34">
        <v>2017.0</v>
      </c>
      <c r="C1599" s="37">
        <v>11.0</v>
      </c>
      <c r="D1599" s="34">
        <v>5.0</v>
      </c>
      <c r="E1599" s="34">
        <v>1.0</v>
      </c>
      <c r="F1599" s="35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>
      <c r="A1600" s="34">
        <v>1599.0</v>
      </c>
      <c r="B1600" s="34">
        <v>2017.0</v>
      </c>
      <c r="C1600" s="37">
        <v>11.0</v>
      </c>
      <c r="D1600" s="34">
        <v>5.0</v>
      </c>
      <c r="E1600" s="34">
        <v>2.0</v>
      </c>
      <c r="F1600" s="35" t="s">
        <v>16</v>
      </c>
      <c r="G1600" s="49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>
      <c r="A1601" s="10">
        <v>1600.0</v>
      </c>
      <c r="B1601" s="34">
        <v>2017.0</v>
      </c>
      <c r="C1601" s="37">
        <v>11.0</v>
      </c>
      <c r="D1601" s="34">
        <v>5.0</v>
      </c>
      <c r="E1601" s="34">
        <v>2.0</v>
      </c>
      <c r="F1601" s="35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>
      <c r="A1602" s="34">
        <v>1601.0</v>
      </c>
      <c r="B1602" s="34">
        <v>2017.0</v>
      </c>
      <c r="C1602" s="37">
        <v>11.0</v>
      </c>
      <c r="D1602" s="34">
        <v>5.0</v>
      </c>
      <c r="E1602" s="34">
        <v>3.0</v>
      </c>
      <c r="F1602" s="35" t="s">
        <v>16</v>
      </c>
      <c r="G1602" s="49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>
      <c r="A1603" s="10">
        <v>1602.0</v>
      </c>
      <c r="B1603" s="34">
        <v>2017.0</v>
      </c>
      <c r="C1603" s="37">
        <v>11.0</v>
      </c>
      <c r="D1603" s="34">
        <v>5.0</v>
      </c>
      <c r="E1603" s="34">
        <v>3.0</v>
      </c>
      <c r="F1603" s="35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>
      <c r="A1604" s="34">
        <v>1603.0</v>
      </c>
      <c r="B1604" s="34">
        <v>2017.0</v>
      </c>
      <c r="C1604" s="37">
        <v>11.0</v>
      </c>
      <c r="D1604" s="34">
        <v>5.0</v>
      </c>
      <c r="E1604" s="34">
        <v>4.0</v>
      </c>
      <c r="F1604" s="35" t="s">
        <v>16</v>
      </c>
      <c r="G1604" s="49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>
      <c r="A1605" s="10">
        <v>1604.0</v>
      </c>
      <c r="B1605" s="34">
        <v>2017.0</v>
      </c>
      <c r="C1605" s="37">
        <v>11.0</v>
      </c>
      <c r="D1605" s="34">
        <v>5.0</v>
      </c>
      <c r="E1605" s="34">
        <v>4.0</v>
      </c>
      <c r="F1605" s="35" t="s">
        <v>16</v>
      </c>
      <c r="G1605" s="10" t="s">
        <v>141</v>
      </c>
      <c r="H1605" s="10">
        <v>0.9</v>
      </c>
      <c r="I1605" s="10"/>
      <c r="J1605" s="10">
        <v>0.9</v>
      </c>
      <c r="L1605" s="3">
        <f t="shared" si="11"/>
        <v>0</v>
      </c>
    </row>
    <row r="1606">
      <c r="A1606" s="34">
        <v>1605.0</v>
      </c>
      <c r="B1606" s="34">
        <v>2017.0</v>
      </c>
      <c r="C1606" s="37">
        <v>11.0</v>
      </c>
      <c r="D1606" s="34">
        <v>6.0</v>
      </c>
      <c r="E1606" s="34">
        <v>1.0</v>
      </c>
      <c r="F1606" s="35" t="s">
        <v>16</v>
      </c>
      <c r="G1606" s="49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>
      <c r="A1607" s="10">
        <v>1606.0</v>
      </c>
      <c r="B1607" s="34">
        <v>2017.0</v>
      </c>
      <c r="C1607" s="37">
        <v>11.0</v>
      </c>
      <c r="D1607" s="34">
        <v>6.0</v>
      </c>
      <c r="E1607" s="34">
        <v>1.0</v>
      </c>
      <c r="F1607" s="35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>
      <c r="A1608" s="34">
        <v>1607.0</v>
      </c>
      <c r="B1608" s="34">
        <v>2017.0</v>
      </c>
      <c r="C1608" s="37">
        <v>11.0</v>
      </c>
      <c r="D1608" s="34">
        <v>6.0</v>
      </c>
      <c r="E1608" s="34">
        <v>2.0</v>
      </c>
      <c r="F1608" s="35" t="s">
        <v>16</v>
      </c>
      <c r="G1608" s="49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>
      <c r="A1609" s="10">
        <v>1608.0</v>
      </c>
      <c r="B1609" s="34">
        <v>2017.0</v>
      </c>
      <c r="C1609" s="37">
        <v>11.0</v>
      </c>
      <c r="D1609" s="34">
        <v>6.0</v>
      </c>
      <c r="E1609" s="34">
        <v>2.0</v>
      </c>
      <c r="F1609" s="35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>
      <c r="A1610" s="34">
        <v>1609.0</v>
      </c>
      <c r="B1610" s="34">
        <v>2017.0</v>
      </c>
      <c r="C1610" s="37">
        <v>11.0</v>
      </c>
      <c r="D1610" s="34">
        <v>6.0</v>
      </c>
      <c r="E1610" s="34">
        <v>3.0</v>
      </c>
      <c r="F1610" s="35" t="s">
        <v>16</v>
      </c>
      <c r="G1610" s="49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>
      <c r="A1611" s="10">
        <v>1610.0</v>
      </c>
      <c r="B1611" s="34">
        <v>2017.0</v>
      </c>
      <c r="C1611" s="37">
        <v>11.0</v>
      </c>
      <c r="D1611" s="34">
        <v>6.0</v>
      </c>
      <c r="E1611" s="34">
        <v>3.0</v>
      </c>
      <c r="F1611" s="35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>
      <c r="A1612" s="34">
        <v>1611.0</v>
      </c>
      <c r="B1612" s="34">
        <v>2017.0</v>
      </c>
      <c r="C1612" s="37">
        <v>11.0</v>
      </c>
      <c r="D1612" s="34">
        <v>6.0</v>
      </c>
      <c r="E1612" s="34">
        <v>4.0</v>
      </c>
      <c r="F1612" s="35" t="s">
        <v>16</v>
      </c>
      <c r="G1612" s="49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>
      <c r="A1613" s="10">
        <v>1612.0</v>
      </c>
      <c r="B1613" s="34">
        <v>2017.0</v>
      </c>
      <c r="C1613" s="37">
        <v>11.0</v>
      </c>
      <c r="D1613" s="34">
        <v>6.0</v>
      </c>
      <c r="E1613" s="34">
        <v>4.0</v>
      </c>
      <c r="F1613" s="35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>
      <c r="A1614" s="34">
        <v>1613.0</v>
      </c>
      <c r="B1614" s="34">
        <v>2017.0</v>
      </c>
      <c r="C1614" s="37">
        <v>11.0</v>
      </c>
      <c r="D1614" s="34">
        <v>7.0</v>
      </c>
      <c r="E1614" s="34">
        <v>1.0</v>
      </c>
      <c r="F1614" s="35" t="s">
        <v>16</v>
      </c>
      <c r="G1614" s="49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>
      <c r="A1615" s="10">
        <v>1614.0</v>
      </c>
      <c r="B1615" s="34">
        <v>2017.0</v>
      </c>
      <c r="C1615" s="37">
        <v>11.0</v>
      </c>
      <c r="D1615" s="34">
        <v>7.0</v>
      </c>
      <c r="E1615" s="34">
        <v>1.0</v>
      </c>
      <c r="F1615" s="35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>
      <c r="A1616" s="34">
        <v>1615.0</v>
      </c>
      <c r="B1616" s="34">
        <v>2017.0</v>
      </c>
      <c r="C1616" s="37">
        <v>11.0</v>
      </c>
      <c r="D1616" s="34">
        <v>7.0</v>
      </c>
      <c r="E1616" s="34">
        <v>2.0</v>
      </c>
      <c r="F1616" s="35" t="s">
        <v>16</v>
      </c>
      <c r="G1616" s="49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>
      <c r="A1617" s="10">
        <v>1616.0</v>
      </c>
      <c r="B1617" s="34">
        <v>2017.0</v>
      </c>
      <c r="C1617" s="37">
        <v>11.0</v>
      </c>
      <c r="D1617" s="34">
        <v>7.0</v>
      </c>
      <c r="E1617" s="34">
        <v>2.0</v>
      </c>
      <c r="F1617" s="35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>
      <c r="A1618" s="34">
        <v>1617.0</v>
      </c>
      <c r="B1618" s="34">
        <v>2017.0</v>
      </c>
      <c r="C1618" s="37">
        <v>11.0</v>
      </c>
      <c r="D1618" s="34">
        <v>8.0</v>
      </c>
      <c r="E1618" s="34">
        <v>1.0</v>
      </c>
      <c r="F1618" s="35" t="s">
        <v>16</v>
      </c>
      <c r="G1618" s="49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>
      <c r="A1619" s="10">
        <v>1618.0</v>
      </c>
      <c r="B1619" s="34">
        <v>2017.0</v>
      </c>
      <c r="C1619" s="37">
        <v>11.0</v>
      </c>
      <c r="D1619" s="34">
        <v>8.0</v>
      </c>
      <c r="E1619" s="34">
        <v>1.0</v>
      </c>
      <c r="F1619" s="35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>
      <c r="A1620" s="34"/>
      <c r="B1620" s="34"/>
      <c r="C1620" s="37"/>
      <c r="D1620" s="34"/>
      <c r="E1620" s="34"/>
      <c r="F1620" s="35"/>
      <c r="G1620" s="10"/>
      <c r="H1620" s="10"/>
      <c r="I1620" s="10"/>
      <c r="J1620" s="10"/>
    </row>
    <row r="1621">
      <c r="A1621" s="34"/>
      <c r="B1621" s="34"/>
      <c r="C1621" s="37"/>
      <c r="D1621" s="34"/>
      <c r="E1621" s="34"/>
      <c r="F1621" s="35"/>
      <c r="G1621" s="10"/>
      <c r="H1621" s="10"/>
      <c r="I1621" s="10"/>
      <c r="J1621" s="10"/>
    </row>
    <row r="1622">
      <c r="A1622" s="34"/>
      <c r="B1622" s="34"/>
      <c r="C1622" s="37"/>
      <c r="D1622" s="34"/>
      <c r="E1622" s="34"/>
      <c r="F1622" s="35"/>
      <c r="G1622" s="10"/>
      <c r="H1622" s="10"/>
      <c r="I1622" s="10"/>
      <c r="J1622" s="10"/>
    </row>
    <row r="1623">
      <c r="A1623" s="34"/>
      <c r="B1623" s="34"/>
      <c r="C1623" s="37"/>
      <c r="D1623" s="34"/>
      <c r="E1623" s="34"/>
      <c r="F1623" s="35"/>
      <c r="G1623" s="10"/>
      <c r="H1623" s="10"/>
      <c r="I1623" s="10"/>
      <c r="J1623" s="10"/>
    </row>
    <row r="1624">
      <c r="A1624" s="34"/>
      <c r="B1624" s="34"/>
      <c r="C1624" s="37"/>
      <c r="D1624" s="34"/>
      <c r="E1624" s="34"/>
      <c r="F1624" s="35"/>
      <c r="G1624" s="10"/>
      <c r="H1624" s="10"/>
      <c r="I1624" s="10"/>
      <c r="J1624" s="10"/>
    </row>
    <row r="1625">
      <c r="A1625" s="34"/>
      <c r="B1625" s="34"/>
      <c r="C1625" s="37"/>
      <c r="D1625" s="34"/>
      <c r="E1625" s="34"/>
      <c r="F1625" s="35"/>
      <c r="G1625" s="10"/>
      <c r="H1625" s="10"/>
      <c r="I1625" s="10"/>
      <c r="J1625" s="10"/>
    </row>
    <row r="1626">
      <c r="A1626" s="34"/>
      <c r="B1626" s="34"/>
      <c r="C1626" s="37"/>
      <c r="D1626" s="34"/>
      <c r="E1626" s="34"/>
      <c r="F1626" s="35"/>
      <c r="G1626" s="10"/>
      <c r="H1626" s="10"/>
      <c r="I1626" s="10"/>
      <c r="J1626" s="10"/>
    </row>
    <row r="1627">
      <c r="A1627" s="34"/>
      <c r="B1627" s="34"/>
      <c r="C1627" s="37"/>
      <c r="D1627" s="34"/>
      <c r="E1627" s="34"/>
      <c r="F1627" s="35"/>
      <c r="G1627" s="10"/>
      <c r="H1627" s="10"/>
      <c r="I1627" s="10"/>
      <c r="J1627" s="10"/>
    </row>
    <row r="1628">
      <c r="A1628" s="34"/>
      <c r="B1628" s="34"/>
      <c r="C1628" s="37"/>
      <c r="D1628" s="34"/>
      <c r="E1628" s="34"/>
      <c r="F1628" s="35"/>
      <c r="G1628" s="10"/>
      <c r="H1628" s="10"/>
      <c r="I1628" s="10"/>
      <c r="J1628" s="10"/>
    </row>
    <row r="1629">
      <c r="A1629" s="34"/>
      <c r="B1629" s="34"/>
      <c r="C1629" s="37"/>
      <c r="D1629" s="34"/>
      <c r="E1629" s="34"/>
      <c r="F1629" s="35"/>
      <c r="G1629" s="10"/>
      <c r="H1629" s="10"/>
      <c r="I1629" s="10"/>
      <c r="J1629" s="10"/>
    </row>
    <row r="1630">
      <c r="A1630" s="34"/>
      <c r="B1630" s="34"/>
      <c r="C1630" s="37"/>
      <c r="D1630" s="34"/>
      <c r="E1630" s="34"/>
      <c r="F1630" s="35"/>
      <c r="G1630" s="10"/>
      <c r="H1630" s="10"/>
      <c r="I1630" s="10"/>
      <c r="J1630" s="10"/>
    </row>
    <row r="1631">
      <c r="A1631" s="34"/>
      <c r="B1631" s="34"/>
      <c r="C1631" s="37"/>
      <c r="D1631" s="34"/>
      <c r="E1631" s="34"/>
      <c r="F1631" s="35"/>
      <c r="G1631" s="10"/>
      <c r="H1631" s="10"/>
      <c r="I1631" s="10"/>
      <c r="J1631" s="10"/>
    </row>
    <row r="1632">
      <c r="A1632" s="34"/>
      <c r="B1632" s="34"/>
      <c r="C1632" s="37"/>
      <c r="D1632" s="34"/>
      <c r="E1632" s="34"/>
      <c r="F1632" s="35"/>
      <c r="G1632" s="10"/>
      <c r="H1632" s="10"/>
      <c r="I1632" s="10"/>
      <c r="J1632" s="10"/>
    </row>
    <row r="1633">
      <c r="A1633" s="34"/>
      <c r="B1633" s="34"/>
      <c r="C1633" s="37"/>
      <c r="D1633" s="34"/>
      <c r="E1633" s="34"/>
      <c r="F1633" s="35"/>
      <c r="G1633" s="10"/>
      <c r="H1633" s="10"/>
      <c r="I1633" s="10"/>
      <c r="J1633" s="10"/>
    </row>
    <row r="1634">
      <c r="A1634" s="34"/>
      <c r="B1634" s="34"/>
      <c r="C1634" s="37"/>
      <c r="D1634" s="34"/>
      <c r="E1634" s="34"/>
      <c r="F1634" s="35"/>
      <c r="G1634" s="10"/>
      <c r="H1634" s="10"/>
      <c r="I1634" s="10"/>
      <c r="J1634" s="10"/>
    </row>
    <row r="1635">
      <c r="A1635" s="34"/>
      <c r="B1635" s="34"/>
      <c r="C1635" s="37"/>
      <c r="D1635" s="34"/>
      <c r="E1635" s="34"/>
      <c r="F1635" s="35"/>
      <c r="G1635" s="10"/>
      <c r="H1635" s="10"/>
      <c r="I1635" s="10"/>
      <c r="J1635" s="10"/>
    </row>
    <row r="1636">
      <c r="A1636" s="34"/>
      <c r="B1636" s="34"/>
      <c r="C1636" s="37"/>
      <c r="D1636" s="34"/>
      <c r="E1636" s="34"/>
      <c r="F1636" s="35"/>
      <c r="G1636" s="10"/>
      <c r="H1636" s="10"/>
      <c r="I1636" s="10"/>
      <c r="J1636" s="10"/>
    </row>
    <row r="1637">
      <c r="A1637" s="34"/>
      <c r="B1637" s="34"/>
      <c r="C1637" s="37"/>
      <c r="D1637" s="34"/>
      <c r="E1637" s="34"/>
      <c r="F1637" s="35"/>
      <c r="G1637" s="10"/>
      <c r="H1637" s="10"/>
      <c r="I1637" s="10"/>
      <c r="J1637" s="10"/>
    </row>
    <row r="1638">
      <c r="A1638" s="34"/>
      <c r="B1638" s="34"/>
      <c r="C1638" s="37"/>
      <c r="D1638" s="34"/>
      <c r="E1638" s="34"/>
      <c r="F1638" s="35"/>
      <c r="G1638" s="10"/>
      <c r="H1638" s="10"/>
      <c r="I1638" s="10"/>
      <c r="J1638" s="10"/>
    </row>
    <row r="1639">
      <c r="A1639" s="34"/>
      <c r="B1639" s="34"/>
      <c r="C1639" s="37"/>
      <c r="D1639" s="34"/>
      <c r="E1639" s="34"/>
      <c r="F1639" s="35"/>
      <c r="G1639" s="10"/>
      <c r="H1639" s="10"/>
      <c r="I1639" s="10"/>
      <c r="J1639" s="10"/>
    </row>
    <row r="1640">
      <c r="A1640" s="34"/>
      <c r="B1640" s="34"/>
      <c r="C1640" s="37"/>
      <c r="D1640" s="34"/>
      <c r="E1640" s="34"/>
      <c r="F1640" s="35"/>
      <c r="G1640" s="10"/>
      <c r="H1640" s="10"/>
      <c r="I1640" s="10"/>
      <c r="J1640" s="10"/>
    </row>
    <row r="1641">
      <c r="A1641" s="34"/>
      <c r="B1641" s="34"/>
      <c r="C1641" s="37"/>
      <c r="D1641" s="34"/>
      <c r="E1641" s="34"/>
      <c r="F1641" s="35"/>
      <c r="G1641" s="10"/>
      <c r="H1641" s="10"/>
      <c r="I1641" s="10"/>
      <c r="J1641" s="10"/>
    </row>
    <row r="1642">
      <c r="A1642" s="34"/>
      <c r="B1642" s="34"/>
      <c r="C1642" s="37"/>
      <c r="D1642" s="34"/>
      <c r="E1642" s="34"/>
      <c r="F1642" s="35"/>
      <c r="G1642" s="10"/>
      <c r="H1642" s="10"/>
      <c r="I1642" s="10"/>
      <c r="J1642" s="10"/>
    </row>
    <row r="1643">
      <c r="A1643" s="34"/>
      <c r="B1643" s="34"/>
      <c r="C1643" s="37"/>
      <c r="D1643" s="34"/>
      <c r="E1643" s="34"/>
      <c r="F1643" s="35"/>
      <c r="G1643" s="10"/>
      <c r="H1643" s="10"/>
      <c r="I1643" s="10"/>
      <c r="J1643" s="10"/>
    </row>
    <row r="1644">
      <c r="A1644" s="34"/>
      <c r="B1644" s="34"/>
      <c r="C1644" s="37"/>
      <c r="D1644" s="34"/>
      <c r="E1644" s="34"/>
      <c r="F1644" s="35"/>
      <c r="G1644" s="10"/>
      <c r="H1644" s="10"/>
      <c r="I1644" s="10"/>
      <c r="J1644" s="10"/>
    </row>
    <row r="1645">
      <c r="A1645" s="34"/>
      <c r="B1645" s="34"/>
      <c r="C1645" s="37"/>
      <c r="D1645" s="34"/>
      <c r="E1645" s="34"/>
      <c r="F1645" s="35"/>
      <c r="G1645" s="10"/>
      <c r="H1645" s="10"/>
      <c r="I1645" s="10"/>
      <c r="J1645" s="10"/>
    </row>
    <row r="1646">
      <c r="A1646" s="34"/>
      <c r="B1646" s="34"/>
      <c r="C1646" s="37"/>
      <c r="D1646" s="34"/>
      <c r="E1646" s="34"/>
      <c r="F1646" s="35"/>
      <c r="G1646" s="10"/>
      <c r="H1646" s="10"/>
      <c r="I1646" s="10"/>
      <c r="J1646" s="10"/>
    </row>
    <row r="1647">
      <c r="A1647" s="34"/>
      <c r="B1647" s="34"/>
      <c r="C1647" s="37"/>
      <c r="D1647" s="34"/>
      <c r="E1647" s="34"/>
      <c r="F1647" s="35"/>
      <c r="G1647" s="10"/>
      <c r="H1647" s="10"/>
      <c r="I1647" s="10"/>
      <c r="J1647" s="10"/>
    </row>
    <row r="1648">
      <c r="A1648" s="34"/>
      <c r="B1648" s="34"/>
      <c r="C1648" s="37"/>
      <c r="D1648" s="34"/>
      <c r="E1648" s="34"/>
      <c r="F1648" s="35"/>
      <c r="G1648" s="10"/>
      <c r="H1648" s="10"/>
      <c r="I1648" s="10"/>
      <c r="J1648" s="10"/>
    </row>
    <row r="1649">
      <c r="A1649" s="34"/>
      <c r="B1649" s="34"/>
      <c r="C1649" s="37"/>
      <c r="D1649" s="34"/>
      <c r="E1649" s="34"/>
      <c r="F1649" s="35"/>
      <c r="G1649" s="10"/>
      <c r="H1649" s="10"/>
      <c r="I1649" s="10"/>
      <c r="J1649" s="10"/>
    </row>
    <row r="1650">
      <c r="A1650" s="34"/>
      <c r="B1650" s="34"/>
      <c r="C1650" s="37"/>
      <c r="D1650" s="34"/>
      <c r="E1650" s="34"/>
      <c r="F1650" s="35"/>
      <c r="G1650" s="10"/>
      <c r="H1650" s="10"/>
      <c r="I1650" s="10"/>
      <c r="J1650" s="10"/>
    </row>
    <row r="1651">
      <c r="A1651" s="34"/>
      <c r="B1651" s="34"/>
      <c r="C1651" s="37"/>
      <c r="D1651" s="34"/>
      <c r="E1651" s="34"/>
      <c r="F1651" s="35"/>
      <c r="G1651" s="10"/>
      <c r="H1651" s="10"/>
      <c r="I1651" s="10"/>
      <c r="J1651" s="10"/>
    </row>
    <row r="1652">
      <c r="A1652" s="34"/>
      <c r="B1652" s="34"/>
      <c r="C1652" s="37"/>
      <c r="D1652" s="34"/>
      <c r="E1652" s="34"/>
      <c r="F1652" s="35"/>
      <c r="G1652" s="10"/>
      <c r="H1652" s="10"/>
      <c r="I1652" s="10"/>
      <c r="J1652" s="10"/>
    </row>
    <row r="1653">
      <c r="A1653" s="34"/>
      <c r="B1653" s="34"/>
      <c r="C1653" s="37"/>
      <c r="D1653" s="34"/>
      <c r="E1653" s="34"/>
      <c r="F1653" s="35"/>
      <c r="G1653" s="10"/>
      <c r="H1653" s="10"/>
      <c r="I1653" s="10"/>
      <c r="J1653" s="10"/>
    </row>
    <row r="1654">
      <c r="A1654" s="34"/>
      <c r="B1654" s="34"/>
      <c r="C1654" s="37"/>
      <c r="D1654" s="34"/>
      <c r="E1654" s="34"/>
      <c r="F1654" s="35"/>
      <c r="G1654" s="10"/>
      <c r="H1654" s="10"/>
      <c r="I1654" s="10"/>
      <c r="J1654" s="10"/>
    </row>
    <row r="1655">
      <c r="A1655" s="34"/>
      <c r="B1655" s="34"/>
      <c r="C1655" s="37"/>
      <c r="D1655" s="34"/>
      <c r="E1655" s="34"/>
      <c r="F1655" s="35"/>
      <c r="G1655" s="10"/>
      <c r="H1655" s="10"/>
      <c r="I1655" s="10"/>
      <c r="J1655" s="10"/>
    </row>
    <row r="1656">
      <c r="A1656" s="34"/>
      <c r="B1656" s="34"/>
      <c r="C1656" s="37"/>
      <c r="D1656" s="34"/>
      <c r="E1656" s="34"/>
      <c r="F1656" s="35"/>
      <c r="G1656" s="10"/>
      <c r="H1656" s="10"/>
      <c r="I1656" s="10"/>
      <c r="J1656" s="10"/>
    </row>
    <row r="1657">
      <c r="A1657" s="34"/>
      <c r="B1657" s="34"/>
      <c r="C1657" s="37"/>
      <c r="D1657" s="34"/>
      <c r="E1657" s="34"/>
      <c r="F1657" s="35"/>
      <c r="G1657" s="10"/>
      <c r="H1657" s="10"/>
      <c r="I1657" s="10"/>
      <c r="J1657" s="10"/>
    </row>
    <row r="1658">
      <c r="A1658" s="34"/>
      <c r="B1658" s="34"/>
      <c r="C1658" s="37"/>
      <c r="D1658" s="34"/>
      <c r="E1658" s="34"/>
      <c r="F1658" s="35"/>
      <c r="G1658" s="10"/>
      <c r="H1658" s="10"/>
      <c r="I1658" s="10"/>
      <c r="J1658" s="10"/>
    </row>
    <row r="1659">
      <c r="A1659" s="34"/>
      <c r="B1659" s="34"/>
      <c r="C1659" s="37"/>
      <c r="D1659" s="34"/>
      <c r="E1659" s="34"/>
      <c r="F1659" s="35"/>
      <c r="G1659" s="10"/>
      <c r="H1659" s="10"/>
      <c r="I1659" s="10"/>
      <c r="J1659" s="10"/>
    </row>
    <row r="1660">
      <c r="A1660" s="34"/>
      <c r="B1660" s="34"/>
      <c r="C1660" s="37"/>
      <c r="D1660" s="34"/>
      <c r="E1660" s="34"/>
      <c r="F1660" s="35"/>
      <c r="G1660" s="10"/>
      <c r="H1660" s="10"/>
      <c r="I1660" s="10"/>
      <c r="J1660" s="10"/>
    </row>
    <row r="1661">
      <c r="A1661" s="34"/>
      <c r="B1661" s="34"/>
      <c r="C1661" s="37"/>
      <c r="D1661" s="34"/>
      <c r="E1661" s="34"/>
      <c r="F1661" s="35"/>
      <c r="G1661" s="10"/>
      <c r="H1661" s="10"/>
      <c r="I1661" s="10"/>
      <c r="J1661" s="10"/>
    </row>
    <row r="1662">
      <c r="A1662" s="34"/>
      <c r="B1662" s="34"/>
      <c r="C1662" s="37"/>
      <c r="D1662" s="34"/>
      <c r="E1662" s="34"/>
      <c r="F1662" s="35"/>
      <c r="G1662" s="10"/>
      <c r="H1662" s="10"/>
      <c r="I1662" s="10"/>
      <c r="J1662" s="10"/>
    </row>
    <row r="1663">
      <c r="A1663" s="34"/>
      <c r="B1663" s="34"/>
      <c r="C1663" s="37"/>
      <c r="D1663" s="34"/>
      <c r="E1663" s="34"/>
      <c r="F1663" s="35"/>
      <c r="G1663" s="10"/>
      <c r="H1663" s="10"/>
      <c r="I1663" s="10"/>
      <c r="J1663" s="10"/>
    </row>
    <row r="1664">
      <c r="A1664" s="34"/>
      <c r="B1664" s="34"/>
      <c r="C1664" s="37"/>
      <c r="D1664" s="34"/>
      <c r="E1664" s="34"/>
      <c r="F1664" s="35"/>
      <c r="G1664" s="10"/>
      <c r="H1664" s="10"/>
      <c r="I1664" s="10"/>
      <c r="J1664" s="10"/>
    </row>
    <row r="1665">
      <c r="A1665" s="34"/>
      <c r="B1665" s="34"/>
      <c r="C1665" s="37"/>
      <c r="D1665" s="34"/>
      <c r="E1665" s="34"/>
      <c r="F1665" s="35"/>
      <c r="G1665" s="10"/>
      <c r="H1665" s="10"/>
      <c r="I1665" s="10"/>
      <c r="J1665" s="10"/>
    </row>
    <row r="1666">
      <c r="A1666" s="34"/>
      <c r="B1666" s="34"/>
      <c r="C1666" s="37"/>
      <c r="D1666" s="34"/>
      <c r="E1666" s="34"/>
      <c r="F1666" s="35"/>
      <c r="G1666" s="10"/>
      <c r="H1666" s="10"/>
      <c r="I1666" s="10"/>
      <c r="J1666" s="10"/>
    </row>
    <row r="1667">
      <c r="A1667" s="34"/>
      <c r="B1667" s="34"/>
      <c r="C1667" s="37"/>
      <c r="D1667" s="34"/>
      <c r="E1667" s="34"/>
      <c r="F1667" s="35"/>
      <c r="G1667" s="10"/>
      <c r="H1667" s="10"/>
      <c r="I1667" s="10"/>
      <c r="J1667" s="10"/>
    </row>
    <row r="1668">
      <c r="A1668" s="34"/>
      <c r="B1668" s="34"/>
      <c r="C1668" s="37"/>
      <c r="D1668" s="34"/>
      <c r="E1668" s="34"/>
      <c r="F1668" s="35"/>
      <c r="G1668" s="10"/>
      <c r="H1668" s="10"/>
      <c r="I1668" s="10"/>
      <c r="J1668" s="10"/>
    </row>
    <row r="1669">
      <c r="A1669" s="34"/>
      <c r="B1669" s="34"/>
      <c r="C1669" s="37"/>
      <c r="D1669" s="34"/>
      <c r="E1669" s="34"/>
      <c r="F1669" s="35"/>
      <c r="G1669" s="10"/>
      <c r="H1669" s="10"/>
      <c r="I1669" s="10"/>
      <c r="J1669" s="10"/>
    </row>
    <row r="1670">
      <c r="A1670" s="34"/>
      <c r="B1670" s="34"/>
      <c r="C1670" s="37"/>
      <c r="D1670" s="34"/>
      <c r="E1670" s="34"/>
      <c r="F1670" s="35"/>
      <c r="G1670" s="10"/>
      <c r="H1670" s="10"/>
      <c r="I1670" s="10"/>
      <c r="J1670" s="10"/>
    </row>
    <row r="1671">
      <c r="A1671" s="34"/>
      <c r="B1671" s="34"/>
      <c r="C1671" s="37"/>
      <c r="D1671" s="34"/>
      <c r="E1671" s="34"/>
      <c r="F1671" s="35"/>
      <c r="G1671" s="10"/>
      <c r="H1671" s="10"/>
      <c r="I1671" s="10"/>
      <c r="J1671" s="10"/>
    </row>
    <row r="1672">
      <c r="A1672" s="34"/>
      <c r="B1672" s="34"/>
      <c r="C1672" s="37"/>
      <c r="D1672" s="34"/>
      <c r="E1672" s="34"/>
      <c r="F1672" s="35"/>
      <c r="G1672" s="10"/>
      <c r="H1672" s="10"/>
      <c r="I1672" s="10"/>
      <c r="J1672" s="10"/>
    </row>
    <row r="1673">
      <c r="A1673" s="34"/>
      <c r="B1673" s="34"/>
      <c r="C1673" s="37"/>
      <c r="D1673" s="34"/>
      <c r="E1673" s="34"/>
      <c r="F1673" s="35"/>
      <c r="G1673" s="10"/>
      <c r="H1673" s="10"/>
      <c r="I1673" s="10"/>
      <c r="J1673" s="10"/>
    </row>
    <row r="1674">
      <c r="A1674" s="34"/>
      <c r="B1674" s="34"/>
      <c r="C1674" s="37"/>
      <c r="D1674" s="34"/>
      <c r="E1674" s="34"/>
      <c r="F1674" s="35"/>
      <c r="G1674" s="10"/>
      <c r="H1674" s="10"/>
      <c r="I1674" s="10"/>
      <c r="J1674" s="10"/>
    </row>
    <row r="1675">
      <c r="A1675" s="34"/>
      <c r="B1675" s="34"/>
      <c r="C1675" s="37"/>
      <c r="D1675" s="34"/>
      <c r="E1675" s="34"/>
      <c r="F1675" s="35"/>
      <c r="G1675" s="10"/>
      <c r="H1675" s="10"/>
      <c r="I1675" s="10"/>
      <c r="J1675" s="10"/>
    </row>
    <row r="1676">
      <c r="A1676" s="34"/>
      <c r="B1676" s="34"/>
      <c r="C1676" s="37"/>
      <c r="D1676" s="34"/>
      <c r="E1676" s="34"/>
      <c r="F1676" s="35"/>
      <c r="G1676" s="10"/>
      <c r="H1676" s="10"/>
      <c r="I1676" s="10"/>
      <c r="J1676" s="10"/>
    </row>
    <row r="1677">
      <c r="A1677" s="34"/>
      <c r="B1677" s="34"/>
      <c r="C1677" s="37"/>
      <c r="D1677" s="34"/>
      <c r="E1677" s="34"/>
      <c r="F1677" s="35"/>
      <c r="G1677" s="10"/>
      <c r="H1677" s="10"/>
      <c r="I1677" s="10"/>
      <c r="J1677" s="10"/>
    </row>
    <row r="1678">
      <c r="A1678" s="34"/>
      <c r="B1678" s="34"/>
      <c r="C1678" s="37"/>
      <c r="D1678" s="34"/>
      <c r="E1678" s="34"/>
      <c r="F1678" s="35"/>
      <c r="G1678" s="10"/>
      <c r="H1678" s="10"/>
      <c r="I1678" s="10"/>
      <c r="J1678" s="10"/>
    </row>
    <row r="1679">
      <c r="A1679" s="34"/>
      <c r="B1679" s="34"/>
      <c r="C1679" s="37"/>
      <c r="D1679" s="34"/>
      <c r="E1679" s="34"/>
      <c r="F1679" s="35"/>
      <c r="G1679" s="10"/>
      <c r="H1679" s="10"/>
      <c r="I1679" s="10"/>
      <c r="J1679" s="10"/>
    </row>
    <row r="1680">
      <c r="A1680" s="34"/>
      <c r="B1680" s="34"/>
      <c r="C1680" s="37"/>
      <c r="D1680" s="34"/>
      <c r="E1680" s="34"/>
      <c r="F1680" s="35"/>
      <c r="G1680" s="10"/>
      <c r="H1680" s="10"/>
      <c r="I1680" s="10"/>
      <c r="J1680" s="10"/>
    </row>
    <row r="1681">
      <c r="A1681" s="34"/>
      <c r="B1681" s="34"/>
      <c r="C1681" s="37"/>
      <c r="D1681" s="34"/>
      <c r="E1681" s="34"/>
      <c r="F1681" s="35"/>
      <c r="G1681" s="10"/>
      <c r="H1681" s="10"/>
      <c r="I1681" s="10"/>
      <c r="J1681" s="10"/>
    </row>
    <row r="1682">
      <c r="A1682" s="34"/>
      <c r="B1682" s="34"/>
      <c r="C1682" s="37"/>
      <c r="D1682" s="34"/>
      <c r="E1682" s="34"/>
      <c r="F1682" s="35"/>
      <c r="G1682" s="10"/>
      <c r="H1682" s="10"/>
      <c r="I1682" s="10"/>
      <c r="J1682" s="10"/>
    </row>
    <row r="1683">
      <c r="A1683" s="34"/>
      <c r="B1683" s="34"/>
      <c r="C1683" s="37"/>
      <c r="D1683" s="34"/>
      <c r="E1683" s="34"/>
      <c r="F1683" s="35"/>
      <c r="G1683" s="10"/>
      <c r="H1683" s="10"/>
      <c r="I1683" s="10"/>
      <c r="J1683" s="10"/>
    </row>
    <row r="1684">
      <c r="A1684" s="34"/>
      <c r="B1684" s="34"/>
      <c r="C1684" s="37"/>
      <c r="D1684" s="34"/>
      <c r="E1684" s="34"/>
      <c r="F1684" s="35"/>
      <c r="G1684" s="10"/>
      <c r="H1684" s="10"/>
      <c r="I1684" s="10"/>
      <c r="J1684" s="10"/>
    </row>
    <row r="1685">
      <c r="A1685" s="34"/>
      <c r="B1685" s="34"/>
      <c r="C1685" s="37"/>
      <c r="D1685" s="34"/>
      <c r="E1685" s="34"/>
      <c r="F1685" s="35"/>
      <c r="G1685" s="10"/>
      <c r="H1685" s="10"/>
      <c r="I1685" s="10"/>
      <c r="J1685" s="10"/>
    </row>
    <row r="1686">
      <c r="A1686" s="34"/>
      <c r="B1686" s="34"/>
      <c r="C1686" s="37"/>
      <c r="D1686" s="34"/>
      <c r="E1686" s="34"/>
      <c r="F1686" s="35"/>
      <c r="G1686" s="10"/>
      <c r="H1686" s="10"/>
      <c r="I1686" s="10"/>
      <c r="J1686" s="10"/>
    </row>
    <row r="1687">
      <c r="A1687" s="34"/>
      <c r="B1687" s="34"/>
      <c r="C1687" s="37"/>
      <c r="D1687" s="34"/>
      <c r="E1687" s="34"/>
      <c r="F1687" s="35"/>
      <c r="G1687" s="10"/>
      <c r="H1687" s="10"/>
      <c r="I1687" s="10"/>
      <c r="J1687" s="10"/>
    </row>
    <row r="1688">
      <c r="A1688" s="34"/>
      <c r="B1688" s="34"/>
      <c r="C1688" s="37"/>
      <c r="D1688" s="34"/>
      <c r="E1688" s="34"/>
      <c r="F1688" s="35"/>
      <c r="G1688" s="10"/>
      <c r="H1688" s="10"/>
      <c r="I1688" s="10"/>
      <c r="J1688" s="10"/>
    </row>
    <row r="1689">
      <c r="A1689" s="34"/>
      <c r="B1689" s="34"/>
      <c r="C1689" s="37"/>
      <c r="D1689" s="34"/>
      <c r="E1689" s="34"/>
      <c r="F1689" s="35"/>
      <c r="G1689" s="10"/>
      <c r="H1689" s="10"/>
      <c r="I1689" s="10"/>
      <c r="J1689" s="10"/>
    </row>
    <row r="1690">
      <c r="A1690" s="34"/>
      <c r="B1690" s="34"/>
      <c r="C1690" s="37"/>
      <c r="D1690" s="34"/>
      <c r="E1690" s="34"/>
      <c r="F1690" s="35"/>
      <c r="G1690" s="10"/>
      <c r="H1690" s="10"/>
      <c r="I1690" s="10"/>
      <c r="J1690" s="10"/>
    </row>
    <row r="1691">
      <c r="A1691" s="34"/>
      <c r="B1691" s="34"/>
      <c r="C1691" s="37"/>
      <c r="D1691" s="34"/>
      <c r="E1691" s="34"/>
      <c r="F1691" s="35"/>
      <c r="G1691" s="10"/>
      <c r="H1691" s="10"/>
      <c r="I1691" s="10"/>
      <c r="J1691" s="10"/>
    </row>
    <row r="1692">
      <c r="A1692" s="34"/>
      <c r="B1692" s="34"/>
      <c r="C1692" s="37"/>
      <c r="D1692" s="34"/>
      <c r="E1692" s="34"/>
      <c r="F1692" s="35"/>
      <c r="G1692" s="10"/>
      <c r="H1692" s="10"/>
      <c r="I1692" s="10"/>
      <c r="J1692" s="10"/>
    </row>
    <row r="1693">
      <c r="A1693" s="34"/>
      <c r="B1693" s="34"/>
      <c r="C1693" s="37"/>
      <c r="D1693" s="34"/>
      <c r="E1693" s="34"/>
      <c r="F1693" s="35"/>
      <c r="G1693" s="10"/>
      <c r="H1693" s="10"/>
      <c r="I1693" s="10"/>
      <c r="J1693" s="10"/>
    </row>
    <row r="1694">
      <c r="A1694" s="34"/>
      <c r="B1694" s="34"/>
      <c r="C1694" s="37"/>
      <c r="D1694" s="34"/>
      <c r="E1694" s="34"/>
      <c r="F1694" s="35"/>
      <c r="G1694" s="10"/>
      <c r="H1694" s="10"/>
      <c r="I1694" s="10"/>
      <c r="J1694" s="10"/>
    </row>
    <row r="1695">
      <c r="A1695" s="34"/>
      <c r="B1695" s="34"/>
      <c r="C1695" s="37"/>
      <c r="D1695" s="34"/>
      <c r="E1695" s="34"/>
      <c r="F1695" s="35"/>
      <c r="G1695" s="10"/>
      <c r="H1695" s="10"/>
      <c r="I1695" s="10"/>
      <c r="J1695" s="10"/>
    </row>
    <row r="1696">
      <c r="A1696" s="34"/>
      <c r="B1696" s="34"/>
      <c r="C1696" s="37"/>
      <c r="D1696" s="34"/>
      <c r="E1696" s="34"/>
      <c r="F1696" s="35"/>
      <c r="G1696" s="10"/>
      <c r="H1696" s="10"/>
      <c r="I1696" s="10"/>
      <c r="J1696" s="10"/>
    </row>
    <row r="1697">
      <c r="A1697" s="34"/>
      <c r="B1697" s="34"/>
      <c r="C1697" s="37"/>
      <c r="D1697" s="34"/>
      <c r="E1697" s="34"/>
      <c r="F1697" s="35"/>
      <c r="G1697" s="10"/>
      <c r="H1697" s="10"/>
      <c r="I1697" s="10"/>
      <c r="J1697" s="10"/>
    </row>
    <row r="1698">
      <c r="A1698" s="34"/>
      <c r="B1698" s="34"/>
      <c r="C1698" s="37"/>
      <c r="D1698" s="34"/>
      <c r="E1698" s="34"/>
      <c r="F1698" s="35"/>
      <c r="G1698" s="10"/>
      <c r="H1698" s="10"/>
      <c r="I1698" s="10"/>
      <c r="J1698" s="10"/>
    </row>
    <row r="1699">
      <c r="A1699" s="34"/>
      <c r="B1699" s="34"/>
      <c r="C1699" s="37"/>
      <c r="D1699" s="34"/>
      <c r="E1699" s="34"/>
      <c r="F1699" s="35"/>
      <c r="G1699" s="10"/>
      <c r="H1699" s="10"/>
      <c r="I1699" s="10"/>
      <c r="J1699" s="10"/>
    </row>
    <row r="1700">
      <c r="A1700" s="34"/>
      <c r="B1700" s="34"/>
      <c r="C1700" s="37"/>
      <c r="D1700" s="34"/>
      <c r="E1700" s="34"/>
      <c r="F1700" s="35"/>
      <c r="G1700" s="10"/>
      <c r="H1700" s="10"/>
      <c r="I1700" s="10"/>
      <c r="J1700" s="10"/>
    </row>
    <row r="1701">
      <c r="A1701" s="34"/>
      <c r="B1701" s="34"/>
      <c r="C1701" s="37"/>
      <c r="D1701" s="34"/>
      <c r="E1701" s="34"/>
      <c r="F1701" s="35"/>
      <c r="G1701" s="10"/>
      <c r="H1701" s="10"/>
      <c r="I1701" s="10"/>
      <c r="J1701" s="10"/>
    </row>
    <row r="1702">
      <c r="A1702" s="34"/>
      <c r="B1702" s="34"/>
      <c r="C1702" s="37"/>
      <c r="D1702" s="34"/>
      <c r="E1702" s="34"/>
      <c r="F1702" s="35"/>
      <c r="G1702" s="10"/>
      <c r="H1702" s="10"/>
      <c r="I1702" s="10"/>
      <c r="J1702" s="10"/>
    </row>
    <row r="1703">
      <c r="A1703" s="34"/>
      <c r="B1703" s="34"/>
      <c r="C1703" s="37"/>
      <c r="D1703" s="34"/>
      <c r="E1703" s="34"/>
      <c r="F1703" s="35"/>
      <c r="G1703" s="10"/>
      <c r="H1703" s="10"/>
      <c r="I1703" s="10"/>
      <c r="J1703" s="10"/>
    </row>
    <row r="1704">
      <c r="A1704" s="34"/>
      <c r="B1704" s="34"/>
      <c r="C1704" s="37"/>
      <c r="D1704" s="34"/>
      <c r="E1704" s="34"/>
      <c r="F1704" s="35"/>
      <c r="G1704" s="10"/>
      <c r="H1704" s="10"/>
      <c r="I1704" s="10"/>
      <c r="J1704" s="10"/>
    </row>
    <row r="1705">
      <c r="A1705" s="34"/>
      <c r="B1705" s="34"/>
      <c r="C1705" s="37"/>
      <c r="D1705" s="34"/>
      <c r="E1705" s="34"/>
      <c r="F1705" s="35"/>
      <c r="G1705" s="10"/>
      <c r="H1705" s="10"/>
      <c r="I1705" s="10"/>
      <c r="J1705" s="10"/>
    </row>
    <row r="1706">
      <c r="A1706" s="34"/>
      <c r="B1706" s="34"/>
      <c r="C1706" s="37"/>
      <c r="D1706" s="34"/>
      <c r="E1706" s="34"/>
      <c r="F1706" s="35"/>
      <c r="G1706" s="10"/>
      <c r="H1706" s="10"/>
      <c r="I1706" s="10"/>
      <c r="J1706" s="10"/>
    </row>
    <row r="1707">
      <c r="A1707" s="34"/>
      <c r="B1707" s="34"/>
      <c r="C1707" s="37"/>
      <c r="D1707" s="34"/>
      <c r="E1707" s="34"/>
      <c r="F1707" s="35"/>
      <c r="G1707" s="10"/>
      <c r="H1707" s="10"/>
      <c r="I1707" s="10"/>
      <c r="J1707" s="10"/>
    </row>
    <row r="1708">
      <c r="A1708" s="34"/>
      <c r="B1708" s="34"/>
      <c r="C1708" s="37"/>
      <c r="D1708" s="34"/>
      <c r="E1708" s="34"/>
      <c r="F1708" s="35"/>
      <c r="G1708" s="10"/>
      <c r="H1708" s="10"/>
      <c r="I1708" s="10"/>
      <c r="J1708" s="10"/>
    </row>
    <row r="1709">
      <c r="A1709" s="34"/>
      <c r="B1709" s="34"/>
      <c r="C1709" s="37"/>
      <c r="D1709" s="34"/>
      <c r="E1709" s="34"/>
      <c r="F1709" s="35"/>
      <c r="G1709" s="10"/>
      <c r="H1709" s="10"/>
      <c r="I1709" s="10"/>
      <c r="J1709" s="10"/>
    </row>
    <row r="1710">
      <c r="A1710" s="34"/>
      <c r="B1710" s="34"/>
      <c r="C1710" s="37"/>
      <c r="D1710" s="34"/>
      <c r="E1710" s="34"/>
      <c r="F1710" s="35"/>
      <c r="G1710" s="10"/>
      <c r="H1710" s="10"/>
      <c r="I1710" s="10"/>
      <c r="J1710" s="10"/>
    </row>
    <row r="1711">
      <c r="A1711" s="34"/>
      <c r="B1711" s="34"/>
      <c r="C1711" s="37"/>
      <c r="D1711" s="34"/>
      <c r="E1711" s="34"/>
      <c r="F1711" s="35"/>
      <c r="G1711" s="10"/>
      <c r="H1711" s="10"/>
      <c r="I1711" s="10"/>
      <c r="J1711" s="10"/>
    </row>
    <row r="1712">
      <c r="A1712" s="34"/>
      <c r="B1712" s="34"/>
      <c r="C1712" s="37"/>
      <c r="D1712" s="34"/>
      <c r="E1712" s="34"/>
      <c r="F1712" s="35"/>
      <c r="G1712" s="10"/>
      <c r="H1712" s="10"/>
      <c r="I1712" s="10"/>
      <c r="J1712" s="10"/>
    </row>
    <row r="1713">
      <c r="A1713" s="34"/>
      <c r="B1713" s="34"/>
      <c r="C1713" s="37"/>
      <c r="D1713" s="34"/>
      <c r="E1713" s="34"/>
      <c r="F1713" s="35"/>
      <c r="G1713" s="10"/>
      <c r="H1713" s="10"/>
      <c r="I1713" s="10"/>
      <c r="J1713" s="10"/>
    </row>
    <row r="1714">
      <c r="A1714" s="34"/>
      <c r="B1714" s="34"/>
      <c r="C1714" s="37"/>
      <c r="D1714" s="34"/>
      <c r="E1714" s="34"/>
      <c r="F1714" s="35"/>
      <c r="G1714" s="10"/>
      <c r="H1714" s="10"/>
      <c r="I1714" s="10"/>
      <c r="J1714" s="10"/>
    </row>
    <row r="1715">
      <c r="A1715" s="34"/>
      <c r="B1715" s="34"/>
      <c r="C1715" s="37"/>
      <c r="D1715" s="34"/>
      <c r="E1715" s="34"/>
      <c r="F1715" s="35"/>
      <c r="G1715" s="10"/>
      <c r="H1715" s="10"/>
      <c r="I1715" s="10"/>
      <c r="J1715" s="10"/>
    </row>
    <row r="1716">
      <c r="A1716" s="34"/>
      <c r="B1716" s="34"/>
      <c r="C1716" s="37"/>
      <c r="D1716" s="34"/>
      <c r="E1716" s="34"/>
      <c r="F1716" s="35"/>
      <c r="G1716" s="10"/>
      <c r="H1716" s="10"/>
      <c r="I1716" s="10"/>
      <c r="J1716" s="10"/>
    </row>
    <row r="1717">
      <c r="A1717" s="34"/>
      <c r="B1717" s="34"/>
      <c r="C1717" s="37"/>
      <c r="D1717" s="34"/>
      <c r="E1717" s="34"/>
      <c r="F1717" s="35"/>
      <c r="G1717" s="10"/>
      <c r="H1717" s="10"/>
      <c r="I1717" s="10"/>
      <c r="J1717" s="10"/>
    </row>
    <row r="1718">
      <c r="A1718" s="34"/>
      <c r="B1718" s="34"/>
      <c r="C1718" s="37"/>
      <c r="D1718" s="34"/>
      <c r="E1718" s="34"/>
      <c r="F1718" s="35"/>
      <c r="G1718" s="10"/>
      <c r="H1718" s="10"/>
      <c r="I1718" s="10"/>
      <c r="J1718" s="10"/>
    </row>
    <row r="1719">
      <c r="A1719" s="34"/>
      <c r="B1719" s="34"/>
      <c r="C1719" s="37"/>
      <c r="D1719" s="34"/>
      <c r="E1719" s="34"/>
      <c r="F1719" s="35"/>
      <c r="G1719" s="10"/>
      <c r="H1719" s="10"/>
      <c r="I1719" s="10"/>
      <c r="J1719" s="10"/>
    </row>
    <row r="1720">
      <c r="A1720" s="34"/>
      <c r="B1720" s="34"/>
      <c r="C1720" s="37"/>
      <c r="D1720" s="34"/>
      <c r="E1720" s="34"/>
      <c r="F1720" s="35"/>
      <c r="G1720" s="10"/>
      <c r="H1720" s="10"/>
      <c r="I1720" s="10"/>
      <c r="J1720" s="10"/>
    </row>
    <row r="1721">
      <c r="A1721" s="34"/>
      <c r="B1721" s="34"/>
      <c r="C1721" s="37"/>
      <c r="D1721" s="34"/>
      <c r="E1721" s="34"/>
      <c r="F1721" s="35"/>
      <c r="G1721" s="10"/>
      <c r="H1721" s="10"/>
      <c r="I1721" s="10"/>
      <c r="J1721" s="10"/>
    </row>
    <row r="1722">
      <c r="A1722" s="34"/>
      <c r="B1722" s="34"/>
      <c r="C1722" s="37"/>
      <c r="D1722" s="34"/>
      <c r="E1722" s="34"/>
      <c r="F1722" s="35"/>
      <c r="G1722" s="10"/>
      <c r="H1722" s="10"/>
      <c r="I1722" s="10"/>
      <c r="J1722" s="10"/>
    </row>
    <row r="1723">
      <c r="A1723" s="34"/>
      <c r="B1723" s="34"/>
      <c r="C1723" s="37"/>
      <c r="D1723" s="34"/>
      <c r="E1723" s="34"/>
      <c r="F1723" s="35"/>
      <c r="G1723" s="10"/>
      <c r="H1723" s="10"/>
      <c r="I1723" s="10"/>
      <c r="J1723" s="10"/>
    </row>
    <row r="1724">
      <c r="A1724" s="34"/>
      <c r="B1724" s="34"/>
      <c r="C1724" s="37"/>
      <c r="D1724" s="34"/>
      <c r="E1724" s="34"/>
      <c r="F1724" s="35"/>
      <c r="G1724" s="10"/>
      <c r="H1724" s="10"/>
      <c r="I1724" s="10"/>
      <c r="J1724" s="10"/>
    </row>
    <row r="1725">
      <c r="A1725" s="34"/>
      <c r="B1725" s="34"/>
      <c r="C1725" s="37"/>
      <c r="D1725" s="34"/>
      <c r="E1725" s="34"/>
      <c r="F1725" s="35"/>
      <c r="G1725" s="10"/>
      <c r="H1725" s="10"/>
      <c r="I1725" s="10"/>
      <c r="J1725" s="10"/>
    </row>
    <row r="1726">
      <c r="A1726" s="34"/>
      <c r="B1726" s="34"/>
      <c r="C1726" s="37"/>
      <c r="D1726" s="34"/>
      <c r="E1726" s="34"/>
      <c r="F1726" s="35"/>
      <c r="G1726" s="10"/>
      <c r="H1726" s="10"/>
      <c r="I1726" s="10"/>
      <c r="J1726" s="10"/>
    </row>
    <row r="1727">
      <c r="A1727" s="34"/>
      <c r="B1727" s="34"/>
      <c r="C1727" s="37"/>
      <c r="D1727" s="34"/>
      <c r="E1727" s="34"/>
      <c r="F1727" s="35"/>
      <c r="G1727" s="10"/>
      <c r="H1727" s="10"/>
      <c r="I1727" s="10"/>
      <c r="J1727" s="10"/>
    </row>
    <row r="1728">
      <c r="A1728" s="34"/>
      <c r="B1728" s="34"/>
      <c r="C1728" s="37"/>
      <c r="D1728" s="34"/>
      <c r="E1728" s="34"/>
      <c r="F1728" s="35"/>
      <c r="G1728" s="10"/>
      <c r="H1728" s="10"/>
      <c r="I1728" s="10"/>
      <c r="J1728" s="10"/>
    </row>
    <row r="1729">
      <c r="A1729" s="34"/>
      <c r="B1729" s="34"/>
      <c r="C1729" s="37"/>
      <c r="D1729" s="34"/>
      <c r="E1729" s="34"/>
      <c r="F1729" s="35"/>
      <c r="G1729" s="10"/>
      <c r="H1729" s="10"/>
      <c r="I1729" s="10"/>
      <c r="J1729" s="10"/>
    </row>
    <row r="1730">
      <c r="A1730" s="34"/>
      <c r="B1730" s="34"/>
      <c r="C1730" s="37"/>
      <c r="D1730" s="34"/>
      <c r="E1730" s="34"/>
      <c r="F1730" s="35"/>
      <c r="G1730" s="10"/>
      <c r="H1730" s="10"/>
      <c r="I1730" s="10"/>
      <c r="J1730" s="10"/>
    </row>
    <row r="1731">
      <c r="A1731" s="34"/>
      <c r="B1731" s="34"/>
      <c r="C1731" s="37"/>
      <c r="D1731" s="34"/>
      <c r="E1731" s="34"/>
      <c r="F1731" s="35"/>
      <c r="G1731" s="10"/>
      <c r="H1731" s="10"/>
      <c r="I1731" s="10"/>
      <c r="J1731" s="10"/>
    </row>
    <row r="1732">
      <c r="A1732" s="34"/>
      <c r="B1732" s="34"/>
      <c r="C1732" s="37"/>
      <c r="D1732" s="34"/>
      <c r="E1732" s="34"/>
      <c r="F1732" s="35"/>
      <c r="G1732" s="10"/>
      <c r="H1732" s="10"/>
      <c r="I1732" s="10"/>
      <c r="J1732" s="10"/>
    </row>
    <row r="1733">
      <c r="A1733" s="34"/>
      <c r="B1733" s="34"/>
      <c r="C1733" s="37"/>
      <c r="D1733" s="34"/>
      <c r="E1733" s="34"/>
      <c r="F1733" s="35"/>
      <c r="G1733" s="10"/>
      <c r="H1733" s="10"/>
      <c r="I1733" s="10"/>
      <c r="J1733" s="10"/>
    </row>
    <row r="1734">
      <c r="A1734" s="34"/>
      <c r="B1734" s="34"/>
      <c r="C1734" s="37"/>
      <c r="D1734" s="34"/>
      <c r="E1734" s="34"/>
      <c r="F1734" s="35"/>
      <c r="G1734" s="10"/>
      <c r="H1734" s="10"/>
      <c r="I1734" s="10"/>
      <c r="J1734" s="10"/>
    </row>
    <row r="1735">
      <c r="A1735" s="34"/>
      <c r="B1735" s="34"/>
      <c r="C1735" s="37"/>
      <c r="D1735" s="34"/>
      <c r="E1735" s="34"/>
      <c r="F1735" s="35"/>
      <c r="G1735" s="10"/>
      <c r="H1735" s="10"/>
      <c r="I1735" s="10"/>
      <c r="J1735" s="10"/>
    </row>
    <row r="1736">
      <c r="A1736" s="34"/>
      <c r="B1736" s="34"/>
      <c r="C1736" s="37"/>
      <c r="D1736" s="34"/>
      <c r="E1736" s="34"/>
      <c r="F1736" s="35"/>
      <c r="G1736" s="10"/>
      <c r="H1736" s="10"/>
      <c r="I1736" s="10"/>
      <c r="J1736" s="10"/>
    </row>
    <row r="1737">
      <c r="A1737" s="34"/>
      <c r="B1737" s="34"/>
      <c r="C1737" s="37"/>
      <c r="D1737" s="34"/>
      <c r="E1737" s="34"/>
      <c r="F1737" s="35"/>
      <c r="G1737" s="10"/>
      <c r="H1737" s="10"/>
      <c r="I1737" s="10"/>
      <c r="J1737" s="10"/>
    </row>
    <row r="1738">
      <c r="A1738" s="34"/>
      <c r="B1738" s="34"/>
      <c r="C1738" s="37"/>
      <c r="D1738" s="34"/>
      <c r="E1738" s="34"/>
      <c r="F1738" s="35"/>
      <c r="G1738" s="10"/>
      <c r="H1738" s="10"/>
      <c r="I1738" s="10"/>
      <c r="J1738" s="10"/>
    </row>
    <row r="1739">
      <c r="A1739" s="34"/>
      <c r="B1739" s="34"/>
      <c r="C1739" s="37"/>
      <c r="D1739" s="34"/>
      <c r="E1739" s="34"/>
      <c r="F1739" s="35"/>
      <c r="G1739" s="10"/>
      <c r="H1739" s="10"/>
      <c r="I1739" s="10"/>
      <c r="J1739" s="10"/>
    </row>
    <row r="1740">
      <c r="A1740" s="34"/>
      <c r="B1740" s="34"/>
      <c r="C1740" s="37"/>
      <c r="D1740" s="34"/>
      <c r="E1740" s="34"/>
      <c r="F1740" s="35"/>
      <c r="G1740" s="10"/>
      <c r="H1740" s="10"/>
      <c r="I1740" s="10"/>
      <c r="J1740" s="10"/>
    </row>
    <row r="1741">
      <c r="A1741" s="34"/>
      <c r="B1741" s="34"/>
      <c r="C1741" s="37"/>
      <c r="D1741" s="34"/>
      <c r="E1741" s="34"/>
      <c r="F1741" s="35"/>
      <c r="G1741" s="10"/>
      <c r="H1741" s="10"/>
      <c r="I1741" s="10"/>
      <c r="J1741" s="10"/>
    </row>
    <row r="1742">
      <c r="A1742" s="34"/>
      <c r="B1742" s="34"/>
      <c r="C1742" s="37"/>
      <c r="D1742" s="34"/>
      <c r="E1742" s="34"/>
      <c r="F1742" s="35"/>
      <c r="G1742" s="10"/>
      <c r="H1742" s="10"/>
      <c r="I1742" s="10"/>
      <c r="J1742" s="10"/>
    </row>
    <row r="1743">
      <c r="A1743" s="34"/>
      <c r="B1743" s="34"/>
      <c r="C1743" s="37"/>
      <c r="D1743" s="34"/>
      <c r="E1743" s="34"/>
      <c r="F1743" s="35"/>
      <c r="G1743" s="10"/>
      <c r="H1743" s="10"/>
      <c r="I1743" s="10"/>
      <c r="J1743" s="10"/>
    </row>
    <row r="1744">
      <c r="A1744" s="34"/>
      <c r="B1744" s="34"/>
      <c r="C1744" s="37"/>
      <c r="D1744" s="34"/>
      <c r="E1744" s="34"/>
      <c r="F1744" s="35"/>
      <c r="G1744" s="10"/>
      <c r="H1744" s="10"/>
      <c r="I1744" s="10"/>
      <c r="J1744" s="10"/>
    </row>
    <row r="1745">
      <c r="A1745" s="34"/>
      <c r="B1745" s="34"/>
      <c r="C1745" s="37"/>
      <c r="D1745" s="34"/>
      <c r="E1745" s="34"/>
      <c r="F1745" s="35"/>
      <c r="G1745" s="10"/>
      <c r="H1745" s="10"/>
      <c r="I1745" s="10"/>
      <c r="J1745" s="10"/>
    </row>
    <row r="1746">
      <c r="A1746" s="34"/>
      <c r="B1746" s="34"/>
      <c r="C1746" s="37"/>
      <c r="D1746" s="34"/>
      <c r="E1746" s="34"/>
      <c r="F1746" s="35"/>
      <c r="G1746" s="10"/>
      <c r="H1746" s="10"/>
      <c r="I1746" s="10"/>
      <c r="J1746" s="10"/>
    </row>
    <row r="1747">
      <c r="A1747" s="34"/>
      <c r="B1747" s="34"/>
      <c r="C1747" s="37"/>
      <c r="D1747" s="34"/>
      <c r="E1747" s="34"/>
      <c r="F1747" s="35"/>
      <c r="G1747" s="10"/>
      <c r="H1747" s="10"/>
      <c r="I1747" s="10"/>
      <c r="J1747" s="10"/>
    </row>
    <row r="1748">
      <c r="A1748" s="34"/>
      <c r="B1748" s="34"/>
      <c r="C1748" s="37"/>
      <c r="D1748" s="34"/>
      <c r="E1748" s="34"/>
      <c r="F1748" s="35"/>
      <c r="G1748" s="10"/>
      <c r="H1748" s="10"/>
      <c r="I1748" s="10"/>
      <c r="J1748" s="10"/>
    </row>
    <row r="1749">
      <c r="A1749" s="34"/>
      <c r="B1749" s="34"/>
      <c r="C1749" s="37"/>
      <c r="D1749" s="34"/>
      <c r="E1749" s="34"/>
      <c r="F1749" s="35"/>
      <c r="G1749" s="10"/>
      <c r="H1749" s="10"/>
      <c r="I1749" s="10"/>
      <c r="J1749" s="10"/>
    </row>
    <row r="1750">
      <c r="A1750" s="34"/>
      <c r="B1750" s="34"/>
      <c r="C1750" s="37"/>
      <c r="D1750" s="34"/>
      <c r="E1750" s="34"/>
      <c r="F1750" s="35"/>
      <c r="G1750" s="10"/>
      <c r="H1750" s="10"/>
      <c r="I1750" s="10"/>
      <c r="J1750" s="10"/>
    </row>
    <row r="1751">
      <c r="A1751" s="34"/>
      <c r="B1751" s="34"/>
      <c r="C1751" s="37"/>
      <c r="D1751" s="34"/>
      <c r="E1751" s="34"/>
      <c r="F1751" s="35"/>
      <c r="G1751" s="10"/>
      <c r="H1751" s="10"/>
      <c r="I1751" s="10"/>
      <c r="J1751" s="10"/>
    </row>
    <row r="1752">
      <c r="A1752" s="34"/>
      <c r="B1752" s="34"/>
      <c r="C1752" s="37"/>
      <c r="D1752" s="34"/>
      <c r="E1752" s="34"/>
      <c r="F1752" s="35"/>
      <c r="G1752" s="10"/>
      <c r="H1752" s="10"/>
      <c r="I1752" s="10"/>
      <c r="J1752" s="10"/>
    </row>
    <row r="1753">
      <c r="A1753" s="34"/>
      <c r="B1753" s="34"/>
      <c r="C1753" s="37"/>
      <c r="D1753" s="34"/>
      <c r="E1753" s="34"/>
      <c r="F1753" s="35"/>
      <c r="G1753" s="10"/>
      <c r="H1753" s="10"/>
      <c r="I1753" s="10"/>
      <c r="J1753" s="10"/>
    </row>
    <row r="1754">
      <c r="A1754" s="34"/>
      <c r="B1754" s="34"/>
      <c r="C1754" s="37"/>
      <c r="D1754" s="34"/>
      <c r="E1754" s="34"/>
      <c r="F1754" s="35"/>
      <c r="G1754" s="10"/>
      <c r="H1754" s="10"/>
      <c r="I1754" s="10"/>
      <c r="J1754" s="10"/>
    </row>
    <row r="1755">
      <c r="A1755" s="34"/>
      <c r="B1755" s="34"/>
      <c r="C1755" s="37"/>
      <c r="D1755" s="34"/>
      <c r="E1755" s="34"/>
      <c r="F1755" s="35"/>
      <c r="G1755" s="10"/>
      <c r="H1755" s="10"/>
      <c r="I1755" s="10"/>
      <c r="J1755" s="10"/>
    </row>
    <row r="1756">
      <c r="A1756" s="34"/>
      <c r="B1756" s="34"/>
      <c r="C1756" s="37"/>
      <c r="D1756" s="34"/>
      <c r="E1756" s="34"/>
      <c r="F1756" s="35"/>
      <c r="G1756" s="10"/>
      <c r="H1756" s="10"/>
      <c r="I1756" s="10"/>
      <c r="J1756" s="10"/>
    </row>
    <row r="1757">
      <c r="A1757" s="34"/>
      <c r="B1757" s="34"/>
      <c r="C1757" s="37"/>
      <c r="D1757" s="34"/>
      <c r="E1757" s="34"/>
      <c r="F1757" s="35"/>
      <c r="G1757" s="10"/>
      <c r="H1757" s="10"/>
      <c r="I1757" s="10"/>
      <c r="J1757" s="10"/>
    </row>
    <row r="1758">
      <c r="A1758" s="34"/>
      <c r="B1758" s="34"/>
      <c r="C1758" s="37"/>
      <c r="D1758" s="34"/>
      <c r="E1758" s="34"/>
      <c r="F1758" s="35"/>
      <c r="G1758" s="10"/>
      <c r="H1758" s="10"/>
      <c r="I1758" s="10"/>
      <c r="J1758" s="10"/>
    </row>
    <row r="1759">
      <c r="A1759" s="34"/>
      <c r="B1759" s="34"/>
      <c r="C1759" s="37"/>
      <c r="D1759" s="34"/>
      <c r="E1759" s="34"/>
      <c r="F1759" s="35"/>
      <c r="G1759" s="10"/>
      <c r="H1759" s="10"/>
      <c r="I1759" s="10"/>
      <c r="J1759" s="10"/>
    </row>
    <row r="1760">
      <c r="A1760" s="34"/>
      <c r="B1760" s="34"/>
      <c r="C1760" s="37"/>
      <c r="D1760" s="34"/>
      <c r="E1760" s="34"/>
      <c r="F1760" s="35"/>
      <c r="G1760" s="10"/>
      <c r="H1760" s="10"/>
      <c r="I1760" s="10"/>
      <c r="J1760" s="10"/>
    </row>
    <row r="1761">
      <c r="A1761" s="34"/>
      <c r="B1761" s="34"/>
      <c r="C1761" s="37"/>
      <c r="D1761" s="34"/>
      <c r="E1761" s="34"/>
      <c r="F1761" s="35"/>
      <c r="G1761" s="10"/>
      <c r="H1761" s="10"/>
      <c r="I1761" s="10"/>
      <c r="J1761" s="10"/>
    </row>
    <row r="1762">
      <c r="A1762" s="34"/>
      <c r="B1762" s="34"/>
      <c r="C1762" s="37"/>
      <c r="D1762" s="34"/>
      <c r="E1762" s="34"/>
      <c r="F1762" s="35"/>
      <c r="G1762" s="10"/>
      <c r="H1762" s="10"/>
      <c r="I1762" s="10"/>
      <c r="J1762" s="10"/>
    </row>
    <row r="1763">
      <c r="A1763" s="34"/>
      <c r="B1763" s="34"/>
      <c r="C1763" s="37"/>
      <c r="D1763" s="34"/>
      <c r="E1763" s="34"/>
      <c r="F1763" s="35"/>
      <c r="G1763" s="10"/>
      <c r="H1763" s="10"/>
      <c r="I1763" s="10"/>
      <c r="J1763" s="10"/>
    </row>
    <row r="1764">
      <c r="A1764" s="34"/>
      <c r="B1764" s="34"/>
      <c r="C1764" s="37"/>
      <c r="D1764" s="34"/>
      <c r="E1764" s="34"/>
      <c r="F1764" s="35"/>
      <c r="G1764" s="10"/>
      <c r="H1764" s="10"/>
      <c r="I1764" s="10"/>
      <c r="J1764" s="10"/>
    </row>
    <row r="1765">
      <c r="A1765" s="34"/>
      <c r="B1765" s="34"/>
      <c r="C1765" s="37"/>
      <c r="D1765" s="34"/>
      <c r="E1765" s="34"/>
      <c r="F1765" s="35"/>
      <c r="G1765" s="10"/>
      <c r="H1765" s="10"/>
      <c r="I1765" s="10"/>
      <c r="J1765" s="10"/>
    </row>
    <row r="1766">
      <c r="A1766" s="34"/>
      <c r="B1766" s="34"/>
      <c r="C1766" s="37"/>
      <c r="D1766" s="34"/>
      <c r="E1766" s="34"/>
      <c r="F1766" s="35"/>
      <c r="G1766" s="10"/>
      <c r="H1766" s="10"/>
      <c r="I1766" s="10"/>
      <c r="J1766" s="10"/>
    </row>
    <row r="1767">
      <c r="A1767" s="34"/>
      <c r="B1767" s="34"/>
      <c r="C1767" s="37"/>
      <c r="D1767" s="34"/>
      <c r="E1767" s="34"/>
      <c r="F1767" s="35"/>
      <c r="G1767" s="10"/>
      <c r="H1767" s="10"/>
      <c r="I1767" s="10"/>
      <c r="J1767" s="10"/>
    </row>
    <row r="1768">
      <c r="A1768" s="34"/>
      <c r="B1768" s="34"/>
      <c r="C1768" s="37"/>
      <c r="D1768" s="34"/>
      <c r="E1768" s="34"/>
      <c r="F1768" s="35"/>
      <c r="G1768" s="10"/>
      <c r="H1768" s="10"/>
      <c r="I1768" s="10"/>
      <c r="J1768" s="10"/>
    </row>
    <row r="1769">
      <c r="A1769" s="34"/>
      <c r="B1769" s="34"/>
      <c r="C1769" s="37"/>
      <c r="D1769" s="34"/>
      <c r="E1769" s="34"/>
      <c r="F1769" s="35"/>
      <c r="G1769" s="10"/>
      <c r="H1769" s="10"/>
      <c r="I1769" s="10"/>
      <c r="J1769" s="10"/>
    </row>
    <row r="1770">
      <c r="A1770" s="34"/>
      <c r="B1770" s="34"/>
      <c r="C1770" s="37"/>
      <c r="D1770" s="34"/>
      <c r="E1770" s="34"/>
      <c r="F1770" s="35"/>
      <c r="G1770" s="10"/>
      <c r="H1770" s="10"/>
      <c r="I1770" s="10"/>
      <c r="J1770" s="10"/>
    </row>
    <row r="1771">
      <c r="A1771" s="34"/>
      <c r="B1771" s="34"/>
      <c r="C1771" s="37"/>
      <c r="D1771" s="34"/>
      <c r="E1771" s="34"/>
      <c r="F1771" s="35"/>
      <c r="G1771" s="10"/>
      <c r="H1771" s="10"/>
      <c r="I1771" s="10"/>
      <c r="J1771" s="10"/>
    </row>
    <row r="1772">
      <c r="A1772" s="34"/>
      <c r="B1772" s="34"/>
      <c r="C1772" s="37"/>
      <c r="D1772" s="34"/>
      <c r="E1772" s="34"/>
      <c r="F1772" s="35"/>
      <c r="G1772" s="10"/>
      <c r="H1772" s="10"/>
      <c r="I1772" s="10"/>
      <c r="J1772" s="10"/>
    </row>
    <row r="1773">
      <c r="A1773" s="34"/>
      <c r="B1773" s="34"/>
      <c r="C1773" s="37"/>
      <c r="D1773" s="34"/>
      <c r="E1773" s="34"/>
      <c r="F1773" s="35"/>
      <c r="G1773" s="10"/>
      <c r="H1773" s="10"/>
      <c r="I1773" s="10"/>
      <c r="J1773" s="10"/>
    </row>
    <row r="1774">
      <c r="A1774" s="34"/>
      <c r="B1774" s="34"/>
      <c r="C1774" s="37"/>
      <c r="D1774" s="34"/>
      <c r="E1774" s="34"/>
      <c r="F1774" s="35"/>
      <c r="G1774" s="10"/>
      <c r="H1774" s="10"/>
      <c r="I1774" s="10"/>
      <c r="J1774" s="10"/>
    </row>
    <row r="1775">
      <c r="A1775" s="34"/>
      <c r="B1775" s="34"/>
      <c r="C1775" s="37"/>
      <c r="D1775" s="34"/>
      <c r="E1775" s="34"/>
      <c r="F1775" s="35"/>
      <c r="G1775" s="10"/>
      <c r="H1775" s="10"/>
      <c r="I1775" s="10"/>
      <c r="J1775" s="10"/>
    </row>
    <row r="1776">
      <c r="A1776" s="34"/>
      <c r="B1776" s="34"/>
      <c r="C1776" s="37"/>
      <c r="D1776" s="34"/>
      <c r="E1776" s="34"/>
      <c r="F1776" s="35"/>
      <c r="G1776" s="10"/>
      <c r="H1776" s="10"/>
      <c r="I1776" s="10"/>
      <c r="J1776" s="10"/>
    </row>
    <row r="1777">
      <c r="A1777" s="34"/>
      <c r="B1777" s="34"/>
      <c r="C1777" s="37"/>
      <c r="D1777" s="34"/>
      <c r="E1777" s="34"/>
      <c r="F1777" s="35"/>
      <c r="G1777" s="10"/>
      <c r="H1777" s="10"/>
      <c r="I1777" s="10"/>
      <c r="J1777" s="10"/>
    </row>
    <row r="1778">
      <c r="A1778" s="34"/>
      <c r="B1778" s="34"/>
      <c r="C1778" s="37"/>
      <c r="D1778" s="34"/>
      <c r="E1778" s="34"/>
      <c r="F1778" s="35"/>
      <c r="G1778" s="10"/>
      <c r="H1778" s="10"/>
      <c r="I1778" s="10"/>
      <c r="J1778" s="10"/>
    </row>
    <row r="1779">
      <c r="A1779" s="34"/>
      <c r="B1779" s="34"/>
      <c r="C1779" s="37"/>
      <c r="D1779" s="34"/>
      <c r="E1779" s="34"/>
      <c r="F1779" s="35"/>
      <c r="G1779" s="10"/>
      <c r="H1779" s="10"/>
      <c r="I1779" s="10"/>
      <c r="J1779" s="10"/>
    </row>
    <row r="1780">
      <c r="A1780" s="34"/>
      <c r="B1780" s="34"/>
      <c r="C1780" s="37"/>
      <c r="D1780" s="34"/>
      <c r="E1780" s="34"/>
      <c r="F1780" s="35"/>
      <c r="G1780" s="10"/>
      <c r="H1780" s="10"/>
      <c r="I1780" s="10"/>
      <c r="J1780" s="10"/>
    </row>
    <row r="1781">
      <c r="A1781" s="34"/>
      <c r="B1781" s="34"/>
      <c r="C1781" s="37"/>
      <c r="D1781" s="34"/>
      <c r="E1781" s="34"/>
      <c r="F1781" s="35"/>
      <c r="G1781" s="10"/>
      <c r="H1781" s="10"/>
      <c r="I1781" s="10"/>
      <c r="J1781" s="10"/>
    </row>
    <row r="1782">
      <c r="A1782" s="34"/>
      <c r="B1782" s="34"/>
      <c r="C1782" s="37"/>
      <c r="D1782" s="34"/>
      <c r="E1782" s="34"/>
      <c r="F1782" s="35"/>
      <c r="G1782" s="10"/>
      <c r="H1782" s="10"/>
      <c r="I1782" s="10"/>
      <c r="J1782" s="10"/>
    </row>
    <row r="1783">
      <c r="A1783" s="34"/>
      <c r="B1783" s="34"/>
      <c r="C1783" s="37"/>
      <c r="D1783" s="34"/>
      <c r="E1783" s="34"/>
      <c r="F1783" s="35"/>
      <c r="G1783" s="10"/>
      <c r="H1783" s="10"/>
      <c r="I1783" s="10"/>
      <c r="J1783" s="10"/>
    </row>
    <row r="1784">
      <c r="A1784" s="34"/>
      <c r="B1784" s="34"/>
      <c r="C1784" s="37"/>
      <c r="D1784" s="34"/>
      <c r="E1784" s="34"/>
      <c r="F1784" s="35"/>
      <c r="G1784" s="10"/>
      <c r="H1784" s="10"/>
      <c r="I1784" s="10"/>
      <c r="J1784" s="10"/>
    </row>
    <row r="1785">
      <c r="A1785" s="34"/>
      <c r="B1785" s="34"/>
      <c r="C1785" s="37"/>
      <c r="D1785" s="34"/>
      <c r="E1785" s="34"/>
      <c r="F1785" s="35"/>
      <c r="G1785" s="10"/>
      <c r="H1785" s="10"/>
      <c r="I1785" s="10"/>
      <c r="J1785" s="10"/>
    </row>
    <row r="1786">
      <c r="A1786" s="34"/>
      <c r="B1786" s="34"/>
      <c r="C1786" s="37"/>
      <c r="D1786" s="34"/>
      <c r="E1786" s="34"/>
      <c r="F1786" s="35"/>
      <c r="G1786" s="10"/>
      <c r="H1786" s="10"/>
      <c r="I1786" s="10"/>
      <c r="J1786" s="10"/>
    </row>
    <row r="1787">
      <c r="A1787" s="34"/>
      <c r="B1787" s="34"/>
      <c r="C1787" s="37"/>
      <c r="D1787" s="34"/>
      <c r="E1787" s="34"/>
      <c r="F1787" s="35"/>
      <c r="G1787" s="10"/>
      <c r="H1787" s="10"/>
      <c r="I1787" s="10"/>
      <c r="J1787" s="10"/>
    </row>
    <row r="1788">
      <c r="A1788" s="34"/>
      <c r="B1788" s="34"/>
      <c r="C1788" s="37"/>
      <c r="D1788" s="34"/>
      <c r="E1788" s="34"/>
      <c r="F1788" s="35"/>
      <c r="G1788" s="10"/>
      <c r="H1788" s="10"/>
      <c r="I1788" s="10"/>
      <c r="J1788" s="10"/>
    </row>
    <row r="1789">
      <c r="A1789" s="34"/>
      <c r="B1789" s="34"/>
      <c r="C1789" s="37"/>
      <c r="D1789" s="34"/>
      <c r="E1789" s="34"/>
      <c r="F1789" s="35"/>
      <c r="G1789" s="10"/>
      <c r="H1789" s="10"/>
      <c r="I1789" s="10"/>
      <c r="J1789" s="10"/>
    </row>
    <row r="1790">
      <c r="A1790" s="34"/>
      <c r="B1790" s="34"/>
      <c r="C1790" s="37"/>
      <c r="D1790" s="34"/>
      <c r="E1790" s="34"/>
      <c r="F1790" s="35"/>
      <c r="G1790" s="10"/>
      <c r="H1790" s="10"/>
      <c r="I1790" s="10"/>
      <c r="J1790" s="10"/>
    </row>
    <row r="1791">
      <c r="A1791" s="34"/>
      <c r="B1791" s="34"/>
      <c r="C1791" s="37"/>
      <c r="D1791" s="34"/>
      <c r="E1791" s="34"/>
      <c r="F1791" s="35"/>
      <c r="G1791" s="10"/>
      <c r="H1791" s="10"/>
      <c r="I1791" s="10"/>
      <c r="J1791" s="10"/>
    </row>
    <row r="1792">
      <c r="A1792" s="34"/>
      <c r="B1792" s="34"/>
      <c r="C1792" s="37"/>
      <c r="D1792" s="34"/>
      <c r="E1792" s="34"/>
      <c r="F1792" s="35"/>
      <c r="G1792" s="10"/>
      <c r="H1792" s="10"/>
      <c r="I1792" s="10"/>
      <c r="J1792" s="10"/>
    </row>
    <row r="1793">
      <c r="A1793" s="34"/>
      <c r="B1793" s="34"/>
      <c r="C1793" s="37"/>
      <c r="D1793" s="34"/>
      <c r="E1793" s="34"/>
      <c r="F1793" s="35"/>
      <c r="G1793" s="10"/>
      <c r="H1793" s="10"/>
      <c r="I1793" s="10"/>
      <c r="J1793" s="10"/>
    </row>
    <row r="1794">
      <c r="A1794" s="34"/>
      <c r="B1794" s="34"/>
      <c r="C1794" s="37"/>
      <c r="D1794" s="34"/>
      <c r="E1794" s="34"/>
      <c r="F1794" s="35"/>
      <c r="G1794" s="10"/>
      <c r="H1794" s="10"/>
      <c r="I1794" s="10"/>
      <c r="J1794" s="10"/>
    </row>
    <row r="1795">
      <c r="A1795" s="34"/>
      <c r="B1795" s="34"/>
      <c r="C1795" s="37"/>
      <c r="D1795" s="34"/>
      <c r="E1795" s="34"/>
      <c r="F1795" s="35"/>
      <c r="G1795" s="10"/>
      <c r="H1795" s="10"/>
      <c r="I1795" s="10"/>
      <c r="J1795" s="10"/>
    </row>
    <row r="1796">
      <c r="A1796" s="34"/>
      <c r="B1796" s="34"/>
      <c r="C1796" s="37"/>
      <c r="D1796" s="34"/>
      <c r="E1796" s="34"/>
      <c r="F1796" s="35"/>
      <c r="G1796" s="10"/>
      <c r="H1796" s="10"/>
      <c r="I1796" s="10"/>
      <c r="J1796" s="10"/>
    </row>
    <row r="1797">
      <c r="A1797" s="34"/>
      <c r="B1797" s="34"/>
      <c r="C1797" s="37"/>
      <c r="D1797" s="34"/>
      <c r="E1797" s="34"/>
      <c r="F1797" s="35"/>
      <c r="G1797" s="10"/>
      <c r="H1797" s="10"/>
      <c r="I1797" s="10"/>
      <c r="J1797" s="10"/>
    </row>
    <row r="1798">
      <c r="A1798" s="34"/>
      <c r="B1798" s="34"/>
      <c r="C1798" s="37"/>
      <c r="D1798" s="34"/>
      <c r="E1798" s="34"/>
      <c r="F1798" s="35"/>
      <c r="G1798" s="10"/>
      <c r="H1798" s="10"/>
      <c r="I1798" s="10"/>
      <c r="J1798" s="10"/>
    </row>
    <row r="1799">
      <c r="A1799" s="34"/>
      <c r="B1799" s="34"/>
      <c r="C1799" s="37"/>
      <c r="D1799" s="34"/>
      <c r="E1799" s="34"/>
      <c r="F1799" s="35"/>
      <c r="G1799" s="10"/>
      <c r="H1799" s="10"/>
      <c r="I1799" s="10"/>
      <c r="J1799" s="10"/>
    </row>
    <row r="1800">
      <c r="A1800" s="34"/>
      <c r="B1800" s="34"/>
      <c r="C1800" s="37"/>
      <c r="D1800" s="34"/>
      <c r="E1800" s="34"/>
      <c r="F1800" s="35"/>
      <c r="G1800" s="10"/>
      <c r="H1800" s="10"/>
      <c r="I1800" s="10"/>
      <c r="J1800" s="10"/>
    </row>
    <row r="1801">
      <c r="A1801" s="34"/>
      <c r="B1801" s="34"/>
      <c r="C1801" s="37"/>
      <c r="D1801" s="34"/>
      <c r="E1801" s="34"/>
      <c r="F1801" s="35"/>
      <c r="G1801" s="10"/>
      <c r="H1801" s="10"/>
      <c r="I1801" s="10"/>
      <c r="J1801" s="10"/>
    </row>
    <row r="1802">
      <c r="A1802" s="34"/>
      <c r="B1802" s="34"/>
      <c r="C1802" s="37"/>
      <c r="D1802" s="34"/>
      <c r="E1802" s="34"/>
      <c r="F1802" s="35"/>
      <c r="G1802" s="10"/>
      <c r="H1802" s="10"/>
      <c r="I1802" s="10"/>
      <c r="J1802" s="10"/>
    </row>
    <row r="1803">
      <c r="A1803" s="34"/>
      <c r="B1803" s="34"/>
      <c r="C1803" s="37"/>
      <c r="D1803" s="34"/>
      <c r="E1803" s="34"/>
      <c r="F1803" s="35"/>
      <c r="G1803" s="10"/>
      <c r="H1803" s="10"/>
      <c r="I1803" s="10"/>
      <c r="J1803" s="10"/>
    </row>
    <row r="1804">
      <c r="A1804" s="34"/>
      <c r="B1804" s="34"/>
      <c r="C1804" s="37"/>
      <c r="D1804" s="34"/>
      <c r="E1804" s="34"/>
      <c r="F1804" s="35"/>
      <c r="G1804" s="10"/>
      <c r="H1804" s="10"/>
      <c r="I1804" s="10"/>
      <c r="J1804" s="10"/>
    </row>
    <row r="1805">
      <c r="A1805" s="34"/>
      <c r="B1805" s="34"/>
      <c r="C1805" s="37"/>
      <c r="D1805" s="34"/>
      <c r="E1805" s="34"/>
      <c r="F1805" s="35"/>
      <c r="G1805" s="10"/>
      <c r="H1805" s="10"/>
      <c r="I1805" s="10"/>
      <c r="J1805" s="10"/>
    </row>
    <row r="1806">
      <c r="A1806" s="34"/>
      <c r="B1806" s="34"/>
      <c r="C1806" s="37"/>
      <c r="D1806" s="34"/>
      <c r="E1806" s="34"/>
      <c r="F1806" s="35"/>
      <c r="G1806" s="10"/>
      <c r="H1806" s="10"/>
      <c r="I1806" s="10"/>
      <c r="J1806" s="10"/>
    </row>
    <row r="1807">
      <c r="A1807" s="34"/>
      <c r="B1807" s="34"/>
      <c r="C1807" s="37"/>
      <c r="D1807" s="34"/>
      <c r="E1807" s="34"/>
      <c r="F1807" s="35"/>
      <c r="G1807" s="10"/>
      <c r="H1807" s="10"/>
      <c r="I1807" s="10"/>
      <c r="J1807" s="10"/>
    </row>
    <row r="1808">
      <c r="A1808" s="34"/>
      <c r="B1808" s="34"/>
      <c r="C1808" s="37"/>
      <c r="D1808" s="34"/>
      <c r="E1808" s="34"/>
      <c r="F1808" s="35"/>
      <c r="G1808" s="10"/>
      <c r="H1808" s="10"/>
      <c r="I1808" s="10"/>
      <c r="J1808" s="10"/>
    </row>
    <row r="1809">
      <c r="A1809" s="34"/>
      <c r="B1809" s="34"/>
      <c r="C1809" s="37"/>
      <c r="D1809" s="34"/>
      <c r="E1809" s="34"/>
      <c r="F1809" s="35"/>
      <c r="G1809" s="10"/>
      <c r="H1809" s="10"/>
      <c r="I1809" s="10"/>
      <c r="J1809" s="10"/>
    </row>
    <row r="1810">
      <c r="A1810" s="34"/>
      <c r="B1810" s="34"/>
      <c r="C1810" s="37"/>
      <c r="D1810" s="34"/>
      <c r="E1810" s="34"/>
      <c r="F1810" s="35"/>
      <c r="G1810" s="10"/>
      <c r="H1810" s="10"/>
      <c r="I1810" s="10"/>
      <c r="J1810" s="10"/>
    </row>
    <row r="1811">
      <c r="A1811" s="34"/>
      <c r="B1811" s="34"/>
      <c r="C1811" s="37"/>
      <c r="D1811" s="34"/>
      <c r="E1811" s="34"/>
      <c r="F1811" s="35"/>
      <c r="G1811" s="10"/>
      <c r="H1811" s="10"/>
      <c r="I1811" s="10"/>
      <c r="J1811" s="10"/>
    </row>
    <row r="1812">
      <c r="A1812" s="34"/>
      <c r="B1812" s="34"/>
      <c r="C1812" s="37"/>
      <c r="D1812" s="34"/>
      <c r="E1812" s="34"/>
      <c r="F1812" s="35"/>
      <c r="G1812" s="10"/>
      <c r="H1812" s="10"/>
      <c r="I1812" s="10"/>
      <c r="J1812" s="10"/>
    </row>
    <row r="1813">
      <c r="A1813" s="34"/>
      <c r="B1813" s="34"/>
      <c r="C1813" s="37"/>
      <c r="D1813" s="34"/>
      <c r="E1813" s="34"/>
      <c r="F1813" s="35"/>
      <c r="G1813" s="10"/>
      <c r="H1813" s="10"/>
      <c r="I1813" s="10"/>
      <c r="J1813" s="10"/>
    </row>
    <row r="1814">
      <c r="A1814" s="34"/>
      <c r="B1814" s="34"/>
      <c r="C1814" s="37"/>
      <c r="D1814" s="34"/>
      <c r="E1814" s="34"/>
      <c r="F1814" s="35"/>
      <c r="G1814" s="10"/>
      <c r="H1814" s="10"/>
      <c r="I1814" s="10"/>
      <c r="J1814" s="10"/>
    </row>
    <row r="1815">
      <c r="A1815" s="34"/>
      <c r="B1815" s="34"/>
      <c r="C1815" s="37"/>
      <c r="D1815" s="34"/>
      <c r="E1815" s="34"/>
      <c r="F1815" s="35"/>
      <c r="G1815" s="10"/>
      <c r="H1815" s="10"/>
      <c r="I1815" s="10"/>
      <c r="J1815" s="10"/>
    </row>
    <row r="1816">
      <c r="A1816" s="34"/>
      <c r="B1816" s="34"/>
      <c r="C1816" s="37"/>
      <c r="D1816" s="34"/>
      <c r="E1816" s="34"/>
      <c r="F1816" s="35"/>
      <c r="G1816" s="10"/>
      <c r="H1816" s="10"/>
      <c r="I1816" s="10"/>
      <c r="J1816" s="10"/>
    </row>
    <row r="1817">
      <c r="A1817" s="34"/>
      <c r="B1817" s="34"/>
      <c r="C1817" s="37"/>
      <c r="D1817" s="34"/>
      <c r="E1817" s="34"/>
      <c r="F1817" s="35"/>
      <c r="G1817" s="10"/>
      <c r="H1817" s="10"/>
      <c r="I1817" s="10"/>
      <c r="J1817" s="10"/>
    </row>
    <row r="1818">
      <c r="A1818" s="34"/>
      <c r="B1818" s="34"/>
      <c r="C1818" s="37"/>
      <c r="D1818" s="34"/>
      <c r="E1818" s="34"/>
      <c r="F1818" s="35"/>
      <c r="G1818" s="10"/>
      <c r="H1818" s="10"/>
      <c r="I1818" s="10"/>
      <c r="J1818" s="10"/>
    </row>
    <row r="1819">
      <c r="A1819" s="34"/>
      <c r="B1819" s="34"/>
      <c r="C1819" s="37"/>
      <c r="D1819" s="34"/>
      <c r="E1819" s="34"/>
      <c r="F1819" s="35"/>
      <c r="G1819" s="10"/>
      <c r="H1819" s="10"/>
      <c r="I1819" s="10"/>
      <c r="J1819" s="10"/>
    </row>
    <row r="1820">
      <c r="A1820" s="34"/>
      <c r="B1820" s="34"/>
      <c r="C1820" s="37"/>
      <c r="D1820" s="34"/>
      <c r="E1820" s="34"/>
      <c r="F1820" s="35"/>
      <c r="G1820" s="10"/>
      <c r="H1820" s="10"/>
      <c r="I1820" s="10"/>
      <c r="J1820" s="10"/>
    </row>
    <row r="1821">
      <c r="A1821" s="34"/>
      <c r="B1821" s="34"/>
      <c r="C1821" s="37"/>
      <c r="D1821" s="34"/>
      <c r="E1821" s="34"/>
      <c r="F1821" s="35"/>
      <c r="G1821" s="10"/>
      <c r="H1821" s="10"/>
      <c r="I1821" s="10"/>
      <c r="J1821" s="10"/>
    </row>
    <row r="1822">
      <c r="A1822" s="34"/>
      <c r="B1822" s="34"/>
      <c r="C1822" s="37"/>
      <c r="D1822" s="34"/>
      <c r="E1822" s="34"/>
      <c r="F1822" s="35"/>
      <c r="G1822" s="10"/>
      <c r="H1822" s="10"/>
      <c r="I1822" s="10"/>
      <c r="J1822" s="10"/>
    </row>
    <row r="1823">
      <c r="A1823" s="34"/>
      <c r="B1823" s="34"/>
      <c r="C1823" s="37"/>
      <c r="D1823" s="34"/>
      <c r="E1823" s="34"/>
      <c r="F1823" s="35"/>
      <c r="G1823" s="10"/>
      <c r="H1823" s="10"/>
      <c r="I1823" s="10"/>
      <c r="J1823" s="10"/>
    </row>
    <row r="1824">
      <c r="A1824" s="34"/>
      <c r="B1824" s="34"/>
      <c r="C1824" s="37"/>
      <c r="D1824" s="34"/>
      <c r="E1824" s="34"/>
      <c r="F1824" s="35"/>
      <c r="G1824" s="10"/>
      <c r="H1824" s="10"/>
      <c r="I1824" s="10"/>
      <c r="J1824" s="10"/>
    </row>
    <row r="1825">
      <c r="A1825" s="34"/>
      <c r="B1825" s="34"/>
      <c r="C1825" s="37"/>
      <c r="D1825" s="34"/>
      <c r="E1825" s="34"/>
      <c r="F1825" s="35"/>
      <c r="G1825" s="10"/>
      <c r="H1825" s="10"/>
      <c r="I1825" s="10"/>
      <c r="J1825" s="10"/>
    </row>
    <row r="1826">
      <c r="A1826" s="34"/>
      <c r="B1826" s="34"/>
      <c r="C1826" s="37"/>
      <c r="D1826" s="34"/>
      <c r="E1826" s="34"/>
      <c r="F1826" s="35"/>
      <c r="G1826" s="10"/>
      <c r="H1826" s="10"/>
      <c r="I1826" s="10"/>
      <c r="J1826" s="10"/>
    </row>
    <row r="1827">
      <c r="A1827" s="34"/>
      <c r="B1827" s="34"/>
      <c r="C1827" s="37"/>
      <c r="D1827" s="34"/>
      <c r="E1827" s="34"/>
      <c r="F1827" s="35"/>
      <c r="G1827" s="10"/>
      <c r="H1827" s="10"/>
      <c r="I1827" s="10"/>
      <c r="J1827" s="10"/>
    </row>
    <row r="1828">
      <c r="A1828" s="34"/>
      <c r="B1828" s="34"/>
      <c r="C1828" s="37"/>
      <c r="D1828" s="34"/>
      <c r="E1828" s="34"/>
      <c r="F1828" s="35"/>
      <c r="G1828" s="10"/>
      <c r="H1828" s="10"/>
      <c r="I1828" s="10"/>
      <c r="J1828" s="10"/>
    </row>
    <row r="1829">
      <c r="A1829" s="34"/>
      <c r="B1829" s="34"/>
      <c r="C1829" s="37"/>
      <c r="D1829" s="34"/>
      <c r="E1829" s="34"/>
      <c r="F1829" s="35"/>
      <c r="G1829" s="10"/>
      <c r="H1829" s="10"/>
      <c r="I1829" s="10"/>
      <c r="J1829" s="10"/>
    </row>
    <row r="1830">
      <c r="A1830" s="34"/>
      <c r="B1830" s="34"/>
      <c r="C1830" s="37"/>
      <c r="D1830" s="34"/>
      <c r="E1830" s="34"/>
      <c r="F1830" s="35"/>
      <c r="G1830" s="10"/>
      <c r="H1830" s="10"/>
      <c r="I1830" s="10"/>
      <c r="J1830" s="10"/>
    </row>
    <row r="1831">
      <c r="A1831" s="34"/>
      <c r="B1831" s="34"/>
      <c r="C1831" s="37"/>
      <c r="D1831" s="34"/>
      <c r="E1831" s="34"/>
      <c r="F1831" s="35"/>
      <c r="G1831" s="10"/>
      <c r="H1831" s="10"/>
      <c r="I1831" s="10"/>
      <c r="J1831" s="10"/>
    </row>
    <row r="1832">
      <c r="A1832" s="34"/>
      <c r="B1832" s="34"/>
      <c r="C1832" s="37"/>
      <c r="D1832" s="34"/>
      <c r="E1832" s="34"/>
      <c r="F1832" s="35"/>
      <c r="G1832" s="10"/>
      <c r="H1832" s="10"/>
      <c r="I1832" s="10"/>
      <c r="J1832" s="10"/>
    </row>
    <row r="1833">
      <c r="A1833" s="34"/>
      <c r="B1833" s="34"/>
      <c r="C1833" s="37"/>
      <c r="D1833" s="34"/>
      <c r="E1833" s="34"/>
      <c r="F1833" s="35"/>
      <c r="G1833" s="10"/>
      <c r="H1833" s="10"/>
      <c r="I1833" s="10"/>
      <c r="J1833" s="10"/>
    </row>
    <row r="1834">
      <c r="A1834" s="34"/>
      <c r="B1834" s="34"/>
      <c r="C1834" s="37"/>
      <c r="D1834" s="34"/>
      <c r="E1834" s="34"/>
      <c r="F1834" s="35"/>
      <c r="G1834" s="10"/>
      <c r="H1834" s="10"/>
      <c r="I1834" s="10"/>
      <c r="J1834" s="10"/>
    </row>
    <row r="1835">
      <c r="A1835" s="34"/>
      <c r="B1835" s="34"/>
      <c r="C1835" s="37"/>
      <c r="D1835" s="34"/>
      <c r="E1835" s="34"/>
      <c r="F1835" s="35"/>
      <c r="G1835" s="10"/>
      <c r="H1835" s="10"/>
      <c r="I1835" s="10"/>
      <c r="J1835" s="10"/>
    </row>
    <row r="1836">
      <c r="A1836" s="34"/>
      <c r="B1836" s="34"/>
      <c r="C1836" s="37"/>
      <c r="D1836" s="34"/>
      <c r="E1836" s="34"/>
      <c r="F1836" s="35"/>
      <c r="G1836" s="10"/>
      <c r="H1836" s="10"/>
      <c r="I1836" s="10"/>
      <c r="J1836" s="10"/>
    </row>
    <row r="1837">
      <c r="A1837" s="34"/>
      <c r="B1837" s="34"/>
      <c r="C1837" s="37"/>
      <c r="D1837" s="34"/>
      <c r="E1837" s="34"/>
      <c r="F1837" s="35"/>
      <c r="G1837" s="10"/>
      <c r="H1837" s="10"/>
      <c r="I1837" s="10"/>
      <c r="J1837" s="10"/>
    </row>
    <row r="1838">
      <c r="A1838" s="34"/>
      <c r="B1838" s="34"/>
      <c r="C1838" s="37"/>
      <c r="D1838" s="34"/>
      <c r="E1838" s="34"/>
      <c r="F1838" s="35"/>
      <c r="G1838" s="10"/>
      <c r="H1838" s="10"/>
      <c r="I1838" s="10"/>
      <c r="J1838" s="10"/>
    </row>
    <row r="1839">
      <c r="A1839" s="34"/>
      <c r="B1839" s="34"/>
      <c r="C1839" s="37"/>
      <c r="D1839" s="34"/>
      <c r="E1839" s="34"/>
      <c r="F1839" s="35"/>
      <c r="G1839" s="10"/>
      <c r="H1839" s="10"/>
      <c r="I1839" s="10"/>
      <c r="J1839" s="10"/>
    </row>
    <row r="1840">
      <c r="A1840" s="34"/>
      <c r="B1840" s="34"/>
      <c r="C1840" s="37"/>
      <c r="D1840" s="34"/>
      <c r="E1840" s="34"/>
      <c r="F1840" s="35"/>
      <c r="G1840" s="10"/>
      <c r="H1840" s="10"/>
      <c r="I1840" s="10"/>
      <c r="J1840" s="10"/>
    </row>
    <row r="1841">
      <c r="A1841" s="34"/>
      <c r="B1841" s="34"/>
      <c r="C1841" s="37"/>
      <c r="D1841" s="34"/>
      <c r="E1841" s="34"/>
      <c r="F1841" s="35"/>
      <c r="G1841" s="10"/>
      <c r="H1841" s="10"/>
      <c r="I1841" s="10"/>
      <c r="J1841" s="10"/>
    </row>
    <row r="1842">
      <c r="A1842" s="34"/>
      <c r="B1842" s="34"/>
      <c r="C1842" s="37"/>
      <c r="D1842" s="34"/>
      <c r="E1842" s="34"/>
      <c r="F1842" s="35"/>
      <c r="G1842" s="10"/>
      <c r="H1842" s="10"/>
      <c r="I1842" s="10"/>
      <c r="J1842" s="10"/>
    </row>
    <row r="1843">
      <c r="A1843" s="34"/>
      <c r="B1843" s="34"/>
      <c r="C1843" s="37"/>
      <c r="D1843" s="34"/>
      <c r="E1843" s="34"/>
      <c r="F1843" s="35"/>
      <c r="G1843" s="10"/>
      <c r="H1843" s="10"/>
      <c r="I1843" s="10"/>
      <c r="J1843" s="10"/>
    </row>
    <row r="1844">
      <c r="A1844" s="34"/>
      <c r="B1844" s="34"/>
      <c r="C1844" s="37"/>
      <c r="D1844" s="34"/>
      <c r="E1844" s="34"/>
      <c r="F1844" s="35"/>
      <c r="G1844" s="10"/>
      <c r="H1844" s="10"/>
      <c r="I1844" s="10"/>
      <c r="J1844" s="10"/>
    </row>
    <row r="1845">
      <c r="A1845" s="34"/>
      <c r="B1845" s="34"/>
      <c r="C1845" s="37"/>
      <c r="D1845" s="34"/>
      <c r="E1845" s="34"/>
      <c r="F1845" s="35"/>
      <c r="G1845" s="10"/>
      <c r="H1845" s="10"/>
      <c r="I1845" s="10"/>
      <c r="J1845" s="10"/>
    </row>
    <row r="1846">
      <c r="A1846" s="34"/>
      <c r="B1846" s="34"/>
      <c r="C1846" s="37"/>
      <c r="D1846" s="34"/>
      <c r="E1846" s="34"/>
      <c r="F1846" s="35"/>
      <c r="G1846" s="10"/>
      <c r="H1846" s="10"/>
      <c r="I1846" s="10"/>
      <c r="J1846" s="10"/>
    </row>
    <row r="1847">
      <c r="A1847" s="34"/>
      <c r="B1847" s="34"/>
      <c r="C1847" s="37"/>
      <c r="D1847" s="34"/>
      <c r="E1847" s="34"/>
      <c r="F1847" s="35"/>
      <c r="G1847" s="10"/>
      <c r="H1847" s="10"/>
      <c r="I1847" s="10"/>
      <c r="J1847" s="10"/>
    </row>
    <row r="1848">
      <c r="A1848" s="34"/>
      <c r="B1848" s="34"/>
      <c r="C1848" s="37"/>
      <c r="D1848" s="34"/>
      <c r="E1848" s="34"/>
      <c r="F1848" s="35"/>
      <c r="G1848" s="10"/>
      <c r="H1848" s="10"/>
      <c r="I1848" s="10"/>
      <c r="J1848" s="10"/>
    </row>
    <row r="1849">
      <c r="A1849" s="34"/>
      <c r="B1849" s="34"/>
      <c r="C1849" s="37"/>
      <c r="D1849" s="34"/>
      <c r="E1849" s="34"/>
      <c r="F1849" s="35"/>
      <c r="G1849" s="10"/>
      <c r="H1849" s="10"/>
      <c r="I1849" s="10"/>
      <c r="J1849" s="10"/>
    </row>
    <row r="1850">
      <c r="A1850" s="34"/>
      <c r="B1850" s="34"/>
      <c r="C1850" s="37"/>
      <c r="D1850" s="34"/>
      <c r="E1850" s="34"/>
      <c r="F1850" s="35"/>
      <c r="G1850" s="10"/>
      <c r="H1850" s="10"/>
      <c r="I1850" s="10"/>
      <c r="J1850" s="10"/>
    </row>
    <row r="1851">
      <c r="A1851" s="34"/>
      <c r="B1851" s="34"/>
      <c r="C1851" s="37"/>
      <c r="D1851" s="34"/>
      <c r="E1851" s="34"/>
      <c r="F1851" s="35"/>
      <c r="G1851" s="10"/>
      <c r="H1851" s="10"/>
      <c r="I1851" s="10"/>
      <c r="J1851" s="10"/>
    </row>
    <row r="1852">
      <c r="A1852" s="34"/>
      <c r="B1852" s="34"/>
      <c r="C1852" s="37"/>
      <c r="D1852" s="34"/>
      <c r="E1852" s="34"/>
      <c r="F1852" s="35"/>
      <c r="G1852" s="10"/>
      <c r="H1852" s="10"/>
      <c r="I1852" s="10"/>
      <c r="J1852" s="10"/>
    </row>
    <row r="1853">
      <c r="A1853" s="34"/>
      <c r="B1853" s="34"/>
      <c r="C1853" s="37"/>
      <c r="D1853" s="34"/>
      <c r="E1853" s="34"/>
      <c r="F1853" s="35"/>
      <c r="G1853" s="10"/>
      <c r="H1853" s="10"/>
      <c r="I1853" s="10"/>
      <c r="J1853" s="10"/>
    </row>
    <row r="1854">
      <c r="A1854" s="34"/>
      <c r="B1854" s="34"/>
      <c r="C1854" s="37"/>
      <c r="D1854" s="34"/>
      <c r="E1854" s="34"/>
      <c r="F1854" s="35"/>
      <c r="G1854" s="10"/>
      <c r="H1854" s="10"/>
      <c r="I1854" s="10"/>
      <c r="J1854" s="10"/>
    </row>
    <row r="1855">
      <c r="A1855" s="34"/>
      <c r="B1855" s="34"/>
      <c r="C1855" s="37"/>
      <c r="D1855" s="34"/>
      <c r="E1855" s="34"/>
      <c r="F1855" s="35"/>
      <c r="G1855" s="10"/>
      <c r="H1855" s="10"/>
      <c r="I1855" s="10"/>
      <c r="J1855" s="10"/>
    </row>
    <row r="1856">
      <c r="A1856" s="34"/>
      <c r="B1856" s="34"/>
      <c r="C1856" s="37"/>
      <c r="D1856" s="34"/>
      <c r="E1856" s="34"/>
      <c r="F1856" s="35"/>
      <c r="G1856" s="10"/>
      <c r="H1856" s="10"/>
      <c r="I1856" s="10"/>
      <c r="J1856" s="10"/>
    </row>
    <row r="1857">
      <c r="A1857" s="34"/>
      <c r="B1857" s="34"/>
      <c r="C1857" s="37"/>
      <c r="D1857" s="34"/>
      <c r="E1857" s="34"/>
      <c r="F1857" s="35"/>
      <c r="G1857" s="10"/>
      <c r="H1857" s="10"/>
      <c r="I1857" s="10"/>
      <c r="J1857" s="10"/>
    </row>
    <row r="1858">
      <c r="A1858" s="34"/>
      <c r="B1858" s="34"/>
      <c r="C1858" s="37"/>
      <c r="D1858" s="34"/>
      <c r="E1858" s="34"/>
      <c r="F1858" s="35"/>
      <c r="G1858" s="10"/>
      <c r="H1858" s="10"/>
      <c r="I1858" s="10"/>
      <c r="J1858" s="10"/>
    </row>
    <row r="1859">
      <c r="A1859" s="34"/>
      <c r="B1859" s="34"/>
      <c r="C1859" s="37"/>
      <c r="D1859" s="34"/>
      <c r="E1859" s="34"/>
      <c r="F1859" s="35"/>
      <c r="G1859" s="10"/>
      <c r="H1859" s="10"/>
      <c r="I1859" s="10"/>
      <c r="J1859" s="10"/>
    </row>
    <row r="1860">
      <c r="A1860" s="34"/>
      <c r="B1860" s="34"/>
      <c r="C1860" s="37"/>
      <c r="D1860" s="34"/>
      <c r="E1860" s="34"/>
      <c r="F1860" s="35"/>
      <c r="G1860" s="10"/>
      <c r="H1860" s="10"/>
      <c r="I1860" s="10"/>
      <c r="J1860" s="10"/>
    </row>
    <row r="1861">
      <c r="A1861" s="34"/>
      <c r="B1861" s="34"/>
      <c r="C1861" s="37"/>
      <c r="D1861" s="34"/>
      <c r="E1861" s="34"/>
      <c r="F1861" s="35"/>
      <c r="G1861" s="10"/>
      <c r="H1861" s="10"/>
      <c r="I1861" s="10"/>
      <c r="J1861" s="10"/>
    </row>
    <row r="1862">
      <c r="A1862" s="34"/>
      <c r="B1862" s="34"/>
      <c r="C1862" s="37"/>
      <c r="D1862" s="34"/>
      <c r="E1862" s="34"/>
      <c r="F1862" s="35"/>
      <c r="G1862" s="10"/>
      <c r="H1862" s="10"/>
      <c r="I1862" s="10"/>
      <c r="J1862" s="10"/>
    </row>
    <row r="1863">
      <c r="A1863" s="34"/>
      <c r="B1863" s="34"/>
      <c r="C1863" s="37"/>
      <c r="D1863" s="34"/>
      <c r="E1863" s="34"/>
      <c r="F1863" s="35"/>
      <c r="G1863" s="10"/>
      <c r="H1863" s="10"/>
      <c r="I1863" s="10"/>
      <c r="J1863" s="10"/>
    </row>
    <row r="1864">
      <c r="A1864" s="34"/>
      <c r="B1864" s="34"/>
      <c r="C1864" s="37"/>
      <c r="D1864" s="34"/>
      <c r="E1864" s="34"/>
      <c r="F1864" s="35"/>
      <c r="G1864" s="10"/>
      <c r="H1864" s="10"/>
      <c r="I1864" s="10"/>
      <c r="J1864" s="10"/>
    </row>
    <row r="1865">
      <c r="A1865" s="34"/>
      <c r="B1865" s="34"/>
      <c r="C1865" s="37"/>
      <c r="D1865" s="34"/>
      <c r="E1865" s="34"/>
      <c r="F1865" s="35"/>
      <c r="G1865" s="10"/>
      <c r="H1865" s="10"/>
      <c r="I1865" s="10"/>
      <c r="J1865" s="10"/>
    </row>
    <row r="1866">
      <c r="A1866" s="34"/>
      <c r="B1866" s="34"/>
      <c r="C1866" s="37"/>
      <c r="D1866" s="34"/>
      <c r="E1866" s="34"/>
      <c r="F1866" s="35"/>
      <c r="G1866" s="10"/>
      <c r="H1866" s="10"/>
      <c r="I1866" s="10"/>
      <c r="J1866" s="10"/>
    </row>
    <row r="1867">
      <c r="A1867" s="34"/>
      <c r="B1867" s="34"/>
      <c r="C1867" s="37"/>
      <c r="D1867" s="34"/>
      <c r="E1867" s="34"/>
      <c r="F1867" s="35"/>
      <c r="G1867" s="10"/>
      <c r="H1867" s="10"/>
      <c r="I1867" s="10"/>
      <c r="J1867" s="10"/>
    </row>
    <row r="1868">
      <c r="A1868" s="34"/>
      <c r="B1868" s="34"/>
      <c r="C1868" s="37"/>
      <c r="D1868" s="34"/>
      <c r="E1868" s="34"/>
      <c r="F1868" s="35"/>
      <c r="G1868" s="10"/>
      <c r="H1868" s="10"/>
      <c r="I1868" s="10"/>
      <c r="J1868" s="10"/>
    </row>
    <row r="1869">
      <c r="A1869" s="34"/>
      <c r="B1869" s="34"/>
      <c r="C1869" s="37"/>
      <c r="D1869" s="34"/>
      <c r="E1869" s="34"/>
      <c r="F1869" s="35"/>
      <c r="G1869" s="10"/>
      <c r="H1869" s="10"/>
      <c r="I1869" s="10"/>
      <c r="J1869" s="10"/>
    </row>
    <row r="1870">
      <c r="A1870" s="34"/>
      <c r="B1870" s="34"/>
      <c r="C1870" s="37"/>
      <c r="D1870" s="34"/>
      <c r="E1870" s="34"/>
      <c r="F1870" s="35"/>
      <c r="G1870" s="10"/>
      <c r="H1870" s="10"/>
      <c r="I1870" s="10"/>
      <c r="J1870" s="10"/>
    </row>
    <row r="1871">
      <c r="A1871" s="34"/>
      <c r="B1871" s="34"/>
      <c r="C1871" s="37"/>
      <c r="D1871" s="34"/>
      <c r="E1871" s="34"/>
      <c r="F1871" s="35"/>
      <c r="G1871" s="10"/>
      <c r="H1871" s="10"/>
      <c r="I1871" s="10"/>
      <c r="J1871" s="10"/>
    </row>
    <row r="1872">
      <c r="A1872" s="34"/>
      <c r="B1872" s="34"/>
      <c r="C1872" s="37"/>
      <c r="D1872" s="34"/>
      <c r="E1872" s="34"/>
      <c r="F1872" s="35"/>
      <c r="G1872" s="10"/>
      <c r="H1872" s="10"/>
      <c r="I1872" s="10"/>
      <c r="J1872" s="10"/>
    </row>
    <row r="1873">
      <c r="A1873" s="34"/>
      <c r="B1873" s="34"/>
      <c r="C1873" s="37"/>
      <c r="D1873" s="34"/>
      <c r="E1873" s="34"/>
      <c r="F1873" s="35"/>
      <c r="G1873" s="10"/>
      <c r="H1873" s="10"/>
      <c r="I1873" s="10"/>
      <c r="J1873" s="10"/>
    </row>
    <row r="1874">
      <c r="A1874" s="34"/>
      <c r="B1874" s="34"/>
      <c r="C1874" s="37"/>
      <c r="D1874" s="34"/>
      <c r="E1874" s="34"/>
      <c r="F1874" s="35"/>
      <c r="G1874" s="10"/>
      <c r="H1874" s="10"/>
      <c r="I1874" s="10"/>
      <c r="J1874" s="10"/>
    </row>
    <row r="1875">
      <c r="A1875" s="34"/>
      <c r="B1875" s="34"/>
      <c r="C1875" s="37"/>
      <c r="D1875" s="34"/>
      <c r="E1875" s="34"/>
      <c r="F1875" s="35"/>
      <c r="G1875" s="10"/>
      <c r="H1875" s="10"/>
      <c r="I1875" s="10"/>
      <c r="J1875" s="10"/>
    </row>
    <row r="1876">
      <c r="A1876" s="34"/>
      <c r="B1876" s="34"/>
      <c r="C1876" s="37"/>
      <c r="D1876" s="34"/>
      <c r="E1876" s="34"/>
      <c r="F1876" s="35"/>
      <c r="G1876" s="10"/>
      <c r="H1876" s="10"/>
      <c r="I1876" s="10"/>
      <c r="J1876" s="10"/>
    </row>
    <row r="1877">
      <c r="A1877" s="34"/>
      <c r="B1877" s="34"/>
      <c r="C1877" s="37"/>
      <c r="D1877" s="34"/>
      <c r="E1877" s="34"/>
      <c r="F1877" s="35"/>
      <c r="G1877" s="10"/>
      <c r="H1877" s="10"/>
      <c r="I1877" s="10"/>
      <c r="J1877" s="10"/>
    </row>
    <row r="1878">
      <c r="A1878" s="34"/>
      <c r="B1878" s="34"/>
      <c r="C1878" s="37"/>
      <c r="D1878" s="34"/>
      <c r="E1878" s="34"/>
      <c r="F1878" s="35"/>
      <c r="G1878" s="10"/>
      <c r="H1878" s="10"/>
      <c r="I1878" s="10"/>
      <c r="J1878" s="10"/>
    </row>
    <row r="1879">
      <c r="A1879" s="34"/>
      <c r="B1879" s="34"/>
      <c r="C1879" s="37"/>
      <c r="D1879" s="34"/>
      <c r="E1879" s="34"/>
      <c r="F1879" s="35"/>
      <c r="G1879" s="10"/>
      <c r="H1879" s="10"/>
      <c r="I1879" s="10"/>
      <c r="J1879" s="10"/>
    </row>
    <row r="1880">
      <c r="A1880" s="34"/>
      <c r="B1880" s="34"/>
      <c r="C1880" s="37"/>
      <c r="D1880" s="34"/>
      <c r="E1880" s="34"/>
      <c r="F1880" s="35"/>
      <c r="G1880" s="10"/>
      <c r="H1880" s="10"/>
      <c r="I1880" s="10"/>
      <c r="J1880" s="10"/>
    </row>
    <row r="1881">
      <c r="A1881" s="34"/>
      <c r="B1881" s="34"/>
      <c r="C1881" s="37"/>
      <c r="D1881" s="34"/>
      <c r="E1881" s="34"/>
      <c r="F1881" s="35"/>
      <c r="G1881" s="10"/>
      <c r="H1881" s="10"/>
      <c r="I1881" s="10"/>
      <c r="J1881" s="10"/>
    </row>
    <row r="1882">
      <c r="A1882" s="34"/>
      <c r="B1882" s="34"/>
      <c r="C1882" s="37"/>
      <c r="D1882" s="34"/>
      <c r="E1882" s="34"/>
      <c r="F1882" s="35"/>
      <c r="G1882" s="10"/>
      <c r="H1882" s="10"/>
      <c r="I1882" s="10"/>
      <c r="J1882" s="10"/>
    </row>
    <row r="1883">
      <c r="A1883" s="34"/>
      <c r="B1883" s="34"/>
      <c r="C1883" s="37"/>
      <c r="D1883" s="34"/>
      <c r="E1883" s="34"/>
      <c r="F1883" s="35"/>
      <c r="G1883" s="10"/>
      <c r="H1883" s="10"/>
      <c r="I1883" s="10"/>
      <c r="J1883" s="10"/>
    </row>
    <row r="1884">
      <c r="A1884" s="34"/>
      <c r="B1884" s="34"/>
      <c r="C1884" s="37"/>
      <c r="D1884" s="34"/>
      <c r="E1884" s="34"/>
      <c r="F1884" s="35"/>
      <c r="G1884" s="10"/>
      <c r="H1884" s="10"/>
      <c r="I1884" s="10"/>
      <c r="J1884" s="10"/>
    </row>
    <row r="1885">
      <c r="A1885" s="34"/>
      <c r="B1885" s="34"/>
      <c r="C1885" s="37"/>
      <c r="D1885" s="34"/>
      <c r="E1885" s="34"/>
      <c r="F1885" s="35"/>
      <c r="G1885" s="10"/>
      <c r="H1885" s="10"/>
      <c r="I1885" s="10"/>
      <c r="J1885" s="10"/>
    </row>
    <row r="1886">
      <c r="A1886" s="34"/>
      <c r="B1886" s="34"/>
      <c r="C1886" s="37"/>
      <c r="D1886" s="34"/>
      <c r="E1886" s="34"/>
      <c r="F1886" s="35"/>
      <c r="G1886" s="10"/>
      <c r="H1886" s="10"/>
      <c r="I1886" s="10"/>
      <c r="J1886" s="10"/>
    </row>
    <row r="1887">
      <c r="A1887" s="34"/>
      <c r="B1887" s="34"/>
      <c r="C1887" s="37"/>
      <c r="D1887" s="34"/>
      <c r="E1887" s="34"/>
      <c r="F1887" s="35"/>
      <c r="G1887" s="10"/>
      <c r="H1887" s="10"/>
      <c r="I1887" s="10"/>
      <c r="J1887" s="10"/>
    </row>
    <row r="1888">
      <c r="A1888" s="34"/>
      <c r="B1888" s="34"/>
      <c r="C1888" s="37"/>
      <c r="D1888" s="34"/>
      <c r="E1888" s="34"/>
      <c r="F1888" s="35"/>
      <c r="G1888" s="10"/>
      <c r="H1888" s="10"/>
      <c r="I1888" s="10"/>
      <c r="J1888" s="10"/>
    </row>
    <row r="1889">
      <c r="A1889" s="34"/>
      <c r="B1889" s="34"/>
      <c r="C1889" s="37"/>
      <c r="D1889" s="34"/>
      <c r="E1889" s="34"/>
      <c r="F1889" s="35"/>
      <c r="G1889" s="10"/>
      <c r="H1889" s="10"/>
      <c r="I1889" s="10"/>
      <c r="J1889" s="10"/>
    </row>
    <row r="1890">
      <c r="A1890" s="34"/>
      <c r="B1890" s="34"/>
      <c r="C1890" s="37"/>
      <c r="D1890" s="34"/>
      <c r="E1890" s="34"/>
      <c r="F1890" s="35"/>
      <c r="G1890" s="10"/>
      <c r="H1890" s="10"/>
      <c r="I1890" s="10"/>
      <c r="J1890" s="10"/>
    </row>
    <row r="1891">
      <c r="A1891" s="34"/>
      <c r="B1891" s="34"/>
      <c r="C1891" s="37"/>
      <c r="D1891" s="34"/>
      <c r="E1891" s="34"/>
      <c r="F1891" s="35"/>
      <c r="G1891" s="10"/>
      <c r="H1891" s="10"/>
      <c r="I1891" s="10"/>
      <c r="J1891" s="10"/>
    </row>
    <row r="1892">
      <c r="A1892" s="34"/>
      <c r="B1892" s="34"/>
      <c r="C1892" s="37"/>
      <c r="D1892" s="34"/>
      <c r="E1892" s="34"/>
      <c r="F1892" s="35"/>
      <c r="G1892" s="10"/>
      <c r="H1892" s="10"/>
      <c r="I1892" s="10"/>
      <c r="J1892" s="10"/>
    </row>
    <row r="1893">
      <c r="A1893" s="34"/>
      <c r="B1893" s="34"/>
      <c r="C1893" s="37"/>
      <c r="D1893" s="34"/>
      <c r="E1893" s="34"/>
      <c r="F1893" s="35"/>
      <c r="G1893" s="10"/>
      <c r="H1893" s="10"/>
      <c r="I1893" s="10"/>
      <c r="J1893" s="10"/>
    </row>
    <row r="1894">
      <c r="A1894" s="34"/>
      <c r="B1894" s="34"/>
      <c r="C1894" s="37"/>
      <c r="D1894" s="34"/>
      <c r="E1894" s="34"/>
      <c r="F1894" s="35"/>
      <c r="G1894" s="10"/>
      <c r="H1894" s="10"/>
      <c r="I1894" s="10"/>
      <c r="J1894" s="10"/>
    </row>
    <row r="1895">
      <c r="A1895" s="34"/>
      <c r="B1895" s="34"/>
      <c r="C1895" s="37"/>
      <c r="D1895" s="34"/>
      <c r="E1895" s="34"/>
      <c r="F1895" s="35"/>
      <c r="G1895" s="10"/>
      <c r="H1895" s="10"/>
      <c r="I1895" s="10"/>
      <c r="J1895" s="10"/>
    </row>
    <row r="1896">
      <c r="A1896" s="34"/>
      <c r="B1896" s="34"/>
      <c r="C1896" s="37"/>
      <c r="D1896" s="34"/>
      <c r="E1896" s="34"/>
      <c r="F1896" s="35"/>
      <c r="G1896" s="10"/>
      <c r="H1896" s="10"/>
      <c r="I1896" s="10"/>
      <c r="J1896" s="10"/>
    </row>
    <row r="1897">
      <c r="A1897" s="34"/>
      <c r="B1897" s="34"/>
      <c r="C1897" s="37"/>
      <c r="D1897" s="34"/>
      <c r="E1897" s="34"/>
      <c r="F1897" s="35"/>
      <c r="G1897" s="10"/>
      <c r="H1897" s="10"/>
      <c r="I1897" s="10"/>
      <c r="J1897" s="10"/>
    </row>
    <row r="1898">
      <c r="A1898" s="34"/>
      <c r="B1898" s="34"/>
      <c r="C1898" s="37"/>
      <c r="D1898" s="34"/>
      <c r="E1898" s="34"/>
      <c r="F1898" s="35"/>
      <c r="G1898" s="10"/>
      <c r="H1898" s="10"/>
      <c r="I1898" s="10"/>
      <c r="J1898" s="10"/>
    </row>
    <row r="1899">
      <c r="A1899" s="34"/>
      <c r="B1899" s="34"/>
      <c r="C1899" s="37"/>
      <c r="D1899" s="34"/>
      <c r="E1899" s="34"/>
      <c r="F1899" s="35"/>
      <c r="G1899" s="10"/>
      <c r="H1899" s="10"/>
      <c r="I1899" s="10"/>
      <c r="J1899" s="10"/>
    </row>
    <row r="1900">
      <c r="A1900" s="34"/>
      <c r="B1900" s="34"/>
      <c r="C1900" s="37"/>
      <c r="D1900" s="34"/>
      <c r="E1900" s="34"/>
      <c r="F1900" s="35"/>
      <c r="G1900" s="10"/>
      <c r="H1900" s="10"/>
      <c r="I1900" s="10"/>
      <c r="J1900" s="10"/>
    </row>
    <row r="1901">
      <c r="A1901" s="34"/>
      <c r="B1901" s="34"/>
      <c r="C1901" s="37"/>
      <c r="D1901" s="34"/>
      <c r="E1901" s="34"/>
      <c r="F1901" s="35"/>
      <c r="G1901" s="10"/>
      <c r="H1901" s="10"/>
      <c r="I1901" s="10"/>
      <c r="J1901" s="10"/>
    </row>
    <row r="1902">
      <c r="A1902" s="34"/>
      <c r="B1902" s="34"/>
      <c r="C1902" s="37"/>
      <c r="D1902" s="34"/>
      <c r="E1902" s="34"/>
      <c r="F1902" s="35"/>
      <c r="G1902" s="10"/>
      <c r="H1902" s="10"/>
      <c r="I1902" s="10"/>
      <c r="J1902" s="10"/>
    </row>
    <row r="1903">
      <c r="A1903" s="34"/>
      <c r="B1903" s="34"/>
      <c r="C1903" s="37"/>
      <c r="D1903" s="34"/>
      <c r="E1903" s="34"/>
      <c r="F1903" s="35"/>
      <c r="G1903" s="10"/>
      <c r="H1903" s="10"/>
      <c r="I1903" s="10"/>
      <c r="J1903" s="10"/>
    </row>
    <row r="1904">
      <c r="A1904" s="34"/>
      <c r="B1904" s="34"/>
      <c r="C1904" s="37"/>
      <c r="D1904" s="34"/>
      <c r="E1904" s="34"/>
      <c r="F1904" s="35"/>
      <c r="G1904" s="10"/>
      <c r="H1904" s="10"/>
      <c r="I1904" s="10"/>
      <c r="J1904" s="10"/>
    </row>
    <row r="1905">
      <c r="A1905" s="34"/>
      <c r="B1905" s="34"/>
      <c r="C1905" s="37"/>
      <c r="D1905" s="34"/>
      <c r="E1905" s="34"/>
      <c r="F1905" s="35"/>
      <c r="G1905" s="10"/>
      <c r="H1905" s="10"/>
      <c r="I1905" s="10"/>
      <c r="J1905" s="10"/>
    </row>
    <row r="1906">
      <c r="A1906" s="34"/>
      <c r="B1906" s="34"/>
      <c r="C1906" s="37"/>
      <c r="D1906" s="34"/>
      <c r="E1906" s="34"/>
      <c r="F1906" s="35"/>
      <c r="G1906" s="10"/>
      <c r="H1906" s="10"/>
      <c r="I1906" s="10"/>
      <c r="J1906" s="10"/>
    </row>
    <row r="1907">
      <c r="A1907" s="34"/>
      <c r="B1907" s="34"/>
      <c r="C1907" s="37"/>
      <c r="D1907" s="34"/>
      <c r="E1907" s="34"/>
      <c r="F1907" s="35"/>
      <c r="G1907" s="10"/>
      <c r="H1907" s="10"/>
      <c r="I1907" s="10"/>
      <c r="J1907" s="10"/>
    </row>
    <row r="1908">
      <c r="A1908" s="34"/>
      <c r="B1908" s="34"/>
      <c r="C1908" s="37"/>
      <c r="D1908" s="34"/>
      <c r="E1908" s="34"/>
      <c r="F1908" s="35"/>
      <c r="G1908" s="10"/>
      <c r="H1908" s="10"/>
      <c r="I1908" s="10"/>
      <c r="J1908" s="10"/>
    </row>
    <row r="1909">
      <c r="A1909" s="34"/>
      <c r="B1909" s="34"/>
      <c r="C1909" s="37"/>
      <c r="D1909" s="34"/>
      <c r="E1909" s="34"/>
      <c r="F1909" s="35"/>
      <c r="G1909" s="10"/>
      <c r="H1909" s="10"/>
      <c r="I1909" s="10"/>
      <c r="J1909" s="10"/>
    </row>
    <row r="1910">
      <c r="A1910" s="34"/>
      <c r="B1910" s="34"/>
      <c r="C1910" s="37"/>
      <c r="D1910" s="34"/>
      <c r="E1910" s="34"/>
      <c r="F1910" s="35"/>
      <c r="G1910" s="10"/>
      <c r="H1910" s="10"/>
      <c r="I1910" s="10"/>
      <c r="J1910" s="10"/>
    </row>
    <row r="1911">
      <c r="A1911" s="34"/>
      <c r="B1911" s="34"/>
      <c r="C1911" s="37"/>
      <c r="D1911" s="34"/>
      <c r="E1911" s="34"/>
      <c r="F1911" s="35"/>
      <c r="G1911" s="10"/>
      <c r="H1911" s="10"/>
      <c r="I1911" s="10"/>
      <c r="J1911" s="10"/>
    </row>
    <row r="1912">
      <c r="A1912" s="34"/>
      <c r="B1912" s="34"/>
      <c r="C1912" s="37"/>
      <c r="D1912" s="34"/>
      <c r="E1912" s="34"/>
      <c r="F1912" s="35"/>
      <c r="G1912" s="10"/>
      <c r="H1912" s="10"/>
      <c r="I1912" s="10"/>
      <c r="J1912" s="10"/>
    </row>
    <row r="1913">
      <c r="A1913" s="34"/>
      <c r="B1913" s="34"/>
      <c r="C1913" s="37"/>
      <c r="D1913" s="34"/>
      <c r="E1913" s="34"/>
      <c r="F1913" s="35"/>
      <c r="G1913" s="10"/>
      <c r="H1913" s="10"/>
      <c r="I1913" s="10"/>
      <c r="J1913" s="10"/>
    </row>
    <row r="1914">
      <c r="A1914" s="34"/>
      <c r="B1914" s="34"/>
      <c r="C1914" s="37"/>
      <c r="D1914" s="34"/>
      <c r="E1914" s="34"/>
      <c r="F1914" s="35"/>
      <c r="G1914" s="10"/>
      <c r="H1914" s="10"/>
      <c r="I1914" s="10"/>
      <c r="J1914" s="10"/>
    </row>
    <row r="1915">
      <c r="A1915" s="34"/>
      <c r="B1915" s="34"/>
      <c r="C1915" s="37"/>
      <c r="D1915" s="34"/>
      <c r="E1915" s="34"/>
      <c r="F1915" s="35"/>
      <c r="G1915" s="10"/>
      <c r="H1915" s="10"/>
      <c r="I1915" s="10"/>
      <c r="J1915" s="10"/>
    </row>
    <row r="1916">
      <c r="A1916" s="34"/>
      <c r="B1916" s="34"/>
      <c r="C1916" s="37"/>
      <c r="D1916" s="34"/>
      <c r="E1916" s="34"/>
      <c r="F1916" s="35"/>
      <c r="G1916" s="10"/>
      <c r="H1916" s="10"/>
      <c r="I1916" s="10"/>
      <c r="J1916" s="10"/>
    </row>
    <row r="1917">
      <c r="A1917" s="34"/>
      <c r="B1917" s="34"/>
      <c r="C1917" s="37"/>
      <c r="D1917" s="34"/>
      <c r="E1917" s="34"/>
      <c r="F1917" s="35"/>
      <c r="G1917" s="10"/>
      <c r="H1917" s="10"/>
      <c r="I1917" s="10"/>
      <c r="J1917" s="10"/>
    </row>
    <row r="1918">
      <c r="A1918" s="34"/>
      <c r="B1918" s="34"/>
      <c r="C1918" s="37"/>
      <c r="D1918" s="34"/>
      <c r="E1918" s="34"/>
      <c r="F1918" s="35"/>
      <c r="G1918" s="10"/>
      <c r="H1918" s="10"/>
      <c r="I1918" s="10"/>
      <c r="J1918" s="10"/>
    </row>
    <row r="1919">
      <c r="A1919" s="34"/>
      <c r="B1919" s="34"/>
      <c r="C1919" s="37"/>
      <c r="D1919" s="34"/>
      <c r="E1919" s="34"/>
      <c r="F1919" s="35"/>
      <c r="G1919" s="10"/>
      <c r="H1919" s="10"/>
      <c r="I1919" s="10"/>
      <c r="J1919" s="10"/>
    </row>
    <row r="1920">
      <c r="A1920" s="34"/>
      <c r="B1920" s="34"/>
      <c r="C1920" s="37"/>
      <c r="D1920" s="34"/>
      <c r="E1920" s="34"/>
      <c r="F1920" s="35"/>
      <c r="G1920" s="10"/>
      <c r="H1920" s="10"/>
      <c r="I1920" s="10"/>
      <c r="J1920" s="10"/>
    </row>
    <row r="1921">
      <c r="A1921" s="34"/>
      <c r="B1921" s="34"/>
      <c r="C1921" s="37"/>
      <c r="D1921" s="34"/>
      <c r="E1921" s="34"/>
      <c r="F1921" s="35"/>
      <c r="G1921" s="10"/>
      <c r="H1921" s="10"/>
      <c r="I1921" s="10"/>
      <c r="J1921" s="10"/>
    </row>
    <row r="1922">
      <c r="A1922" s="34"/>
      <c r="B1922" s="34"/>
      <c r="C1922" s="37"/>
      <c r="D1922" s="34"/>
      <c r="E1922" s="34"/>
      <c r="F1922" s="35"/>
      <c r="G1922" s="10"/>
      <c r="H1922" s="10"/>
      <c r="I1922" s="10"/>
      <c r="J1922" s="10"/>
    </row>
    <row r="1923">
      <c r="A1923" s="34"/>
      <c r="B1923" s="34"/>
      <c r="C1923" s="37"/>
      <c r="D1923" s="34"/>
      <c r="E1923" s="34"/>
      <c r="F1923" s="35"/>
      <c r="G1923" s="10"/>
      <c r="H1923" s="10"/>
      <c r="I1923" s="10"/>
      <c r="J1923" s="10"/>
    </row>
    <row r="1924">
      <c r="A1924" s="34"/>
      <c r="B1924" s="34"/>
      <c r="C1924" s="37"/>
      <c r="D1924" s="34"/>
      <c r="E1924" s="34"/>
      <c r="F1924" s="35"/>
      <c r="G1924" s="10"/>
      <c r="H1924" s="10"/>
      <c r="I1924" s="10"/>
      <c r="J1924" s="10"/>
    </row>
    <row r="1925">
      <c r="A1925" s="34"/>
      <c r="B1925" s="34"/>
      <c r="C1925" s="37"/>
      <c r="D1925" s="34"/>
      <c r="E1925" s="34"/>
      <c r="F1925" s="35"/>
      <c r="G1925" s="10"/>
      <c r="H1925" s="10"/>
      <c r="I1925" s="10"/>
      <c r="J1925" s="10"/>
    </row>
    <row r="1926">
      <c r="A1926" s="34"/>
      <c r="B1926" s="34"/>
      <c r="C1926" s="37"/>
      <c r="D1926" s="34"/>
      <c r="E1926" s="34"/>
      <c r="F1926" s="35"/>
      <c r="G1926" s="10"/>
      <c r="H1926" s="10"/>
      <c r="I1926" s="10"/>
      <c r="J1926" s="10"/>
    </row>
    <row r="1927">
      <c r="A1927" s="34"/>
      <c r="B1927" s="34"/>
      <c r="C1927" s="37"/>
      <c r="D1927" s="34"/>
      <c r="E1927" s="34"/>
      <c r="F1927" s="35"/>
      <c r="G1927" s="10"/>
      <c r="H1927" s="10"/>
      <c r="I1927" s="10"/>
      <c r="J1927" s="10"/>
    </row>
    <row r="1928">
      <c r="A1928" s="34"/>
      <c r="B1928" s="34"/>
      <c r="C1928" s="37"/>
      <c r="D1928" s="34"/>
      <c r="E1928" s="34"/>
      <c r="F1928" s="35"/>
      <c r="G1928" s="10"/>
      <c r="H1928" s="10"/>
      <c r="I1928" s="10"/>
      <c r="J1928" s="10"/>
    </row>
    <row r="1929">
      <c r="A1929" s="34"/>
      <c r="B1929" s="34"/>
      <c r="C1929" s="37"/>
      <c r="D1929" s="34"/>
      <c r="E1929" s="34"/>
      <c r="F1929" s="35"/>
      <c r="G1929" s="10"/>
      <c r="H1929" s="10"/>
      <c r="I1929" s="10"/>
      <c r="J1929" s="10"/>
    </row>
    <row r="1930">
      <c r="A1930" s="34"/>
      <c r="B1930" s="34"/>
      <c r="C1930" s="37"/>
      <c r="D1930" s="34"/>
      <c r="E1930" s="34"/>
      <c r="F1930" s="35"/>
      <c r="G1930" s="10"/>
      <c r="H1930" s="10"/>
      <c r="I1930" s="10"/>
      <c r="J1930" s="10"/>
    </row>
    <row r="1931">
      <c r="A1931" s="34"/>
      <c r="B1931" s="34"/>
      <c r="C1931" s="37"/>
      <c r="D1931" s="34"/>
      <c r="E1931" s="34"/>
      <c r="F1931" s="35"/>
      <c r="G1931" s="10"/>
      <c r="H1931" s="10"/>
      <c r="I1931" s="10"/>
      <c r="J1931" s="10"/>
    </row>
    <row r="1932">
      <c r="A1932" s="34"/>
      <c r="B1932" s="34"/>
      <c r="C1932" s="37"/>
      <c r="D1932" s="34"/>
      <c r="E1932" s="34"/>
      <c r="F1932" s="35"/>
      <c r="G1932" s="10"/>
      <c r="H1932" s="10"/>
      <c r="I1932" s="10"/>
      <c r="J1932" s="10"/>
    </row>
    <row r="1933">
      <c r="A1933" s="34"/>
      <c r="B1933" s="34"/>
      <c r="C1933" s="37"/>
      <c r="D1933" s="34"/>
      <c r="E1933" s="34"/>
      <c r="F1933" s="35"/>
      <c r="G1933" s="10"/>
      <c r="H1933" s="10"/>
      <c r="I1933" s="10"/>
      <c r="J1933" s="10"/>
    </row>
    <row r="1934">
      <c r="A1934" s="34"/>
      <c r="B1934" s="34"/>
      <c r="C1934" s="37"/>
      <c r="D1934" s="34"/>
      <c r="E1934" s="34"/>
      <c r="F1934" s="35"/>
      <c r="G1934" s="10"/>
      <c r="H1934" s="10"/>
      <c r="I1934" s="10"/>
      <c r="J1934" s="10"/>
    </row>
    <row r="1935">
      <c r="A1935" s="34"/>
      <c r="B1935" s="34"/>
      <c r="C1935" s="37"/>
      <c r="D1935" s="34"/>
      <c r="E1935" s="34"/>
      <c r="F1935" s="35"/>
      <c r="G1935" s="10"/>
      <c r="H1935" s="10"/>
      <c r="I1935" s="10"/>
      <c r="J1935" s="10"/>
    </row>
    <row r="1936">
      <c r="A1936" s="34"/>
      <c r="B1936" s="34"/>
      <c r="C1936" s="37"/>
      <c r="D1936" s="34"/>
      <c r="E1936" s="34"/>
      <c r="F1936" s="35"/>
      <c r="G1936" s="10"/>
      <c r="H1936" s="10"/>
      <c r="I1936" s="10"/>
      <c r="J1936" s="10"/>
    </row>
    <row r="1937">
      <c r="A1937" s="34"/>
      <c r="B1937" s="34"/>
      <c r="C1937" s="37"/>
      <c r="D1937" s="34"/>
      <c r="E1937" s="34"/>
      <c r="F1937" s="35"/>
      <c r="G1937" s="10"/>
      <c r="H1937" s="10"/>
      <c r="I1937" s="10"/>
      <c r="J1937" s="10"/>
    </row>
    <row r="1938">
      <c r="A1938" s="34"/>
      <c r="B1938" s="34"/>
      <c r="C1938" s="37"/>
      <c r="D1938" s="34"/>
      <c r="E1938" s="34"/>
      <c r="F1938" s="35"/>
      <c r="G1938" s="10"/>
      <c r="H1938" s="10"/>
      <c r="I1938" s="10"/>
      <c r="J1938" s="10"/>
    </row>
    <row r="1939">
      <c r="A1939" s="34"/>
      <c r="B1939" s="34"/>
      <c r="C1939" s="37"/>
      <c r="D1939" s="34"/>
      <c r="E1939" s="34"/>
      <c r="F1939" s="35"/>
      <c r="G1939" s="10"/>
      <c r="H1939" s="10"/>
      <c r="I1939" s="10"/>
      <c r="J1939" s="10"/>
    </row>
    <row r="1940">
      <c r="A1940" s="34"/>
      <c r="B1940" s="34"/>
      <c r="C1940" s="37"/>
      <c r="D1940" s="34"/>
      <c r="E1940" s="34"/>
      <c r="F1940" s="35"/>
      <c r="G1940" s="10"/>
      <c r="H1940" s="10"/>
      <c r="I1940" s="10"/>
      <c r="J1940" s="10"/>
    </row>
    <row r="1941">
      <c r="A1941" s="34"/>
      <c r="B1941" s="34"/>
      <c r="C1941" s="37"/>
      <c r="D1941" s="34"/>
      <c r="E1941" s="34"/>
      <c r="F1941" s="35"/>
      <c r="G1941" s="10"/>
      <c r="H1941" s="10"/>
      <c r="I1941" s="10"/>
      <c r="J1941" s="10"/>
    </row>
    <row r="1942">
      <c r="A1942" s="34"/>
      <c r="B1942" s="34"/>
      <c r="C1942" s="37"/>
      <c r="D1942" s="34"/>
      <c r="E1942" s="34"/>
      <c r="F1942" s="35"/>
      <c r="G1942" s="10"/>
      <c r="H1942" s="10"/>
      <c r="I1942" s="10"/>
      <c r="J1942" s="10"/>
    </row>
    <row r="1943">
      <c r="A1943" s="34"/>
      <c r="B1943" s="34"/>
      <c r="C1943" s="37"/>
      <c r="D1943" s="34"/>
      <c r="E1943" s="34"/>
      <c r="F1943" s="35"/>
      <c r="G1943" s="10"/>
      <c r="H1943" s="10"/>
      <c r="I1943" s="10"/>
      <c r="J1943" s="10"/>
    </row>
    <row r="1944">
      <c r="A1944" s="34"/>
      <c r="B1944" s="34"/>
      <c r="C1944" s="37"/>
      <c r="D1944" s="34"/>
      <c r="E1944" s="34"/>
      <c r="F1944" s="35"/>
      <c r="G1944" s="10"/>
      <c r="H1944" s="10"/>
      <c r="I1944" s="10"/>
      <c r="J1944" s="10"/>
    </row>
    <row r="1945">
      <c r="A1945" s="34"/>
      <c r="B1945" s="34"/>
      <c r="C1945" s="37"/>
      <c r="D1945" s="34"/>
      <c r="E1945" s="34"/>
      <c r="F1945" s="35"/>
      <c r="G1945" s="10"/>
      <c r="H1945" s="10"/>
      <c r="I1945" s="10"/>
      <c r="J1945" s="10"/>
    </row>
    <row r="1946">
      <c r="A1946" s="34"/>
      <c r="B1946" s="34"/>
      <c r="C1946" s="37"/>
      <c r="D1946" s="34"/>
      <c r="E1946" s="34"/>
      <c r="F1946" s="35"/>
      <c r="G1946" s="10"/>
      <c r="H1946" s="10"/>
      <c r="I1946" s="10"/>
      <c r="J1946" s="10"/>
    </row>
    <row r="1947">
      <c r="A1947" s="34"/>
      <c r="B1947" s="34"/>
      <c r="C1947" s="37"/>
      <c r="D1947" s="34"/>
      <c r="E1947" s="34"/>
      <c r="F1947" s="35"/>
      <c r="G1947" s="10"/>
      <c r="H1947" s="10"/>
      <c r="I1947" s="10"/>
      <c r="J1947" s="10"/>
    </row>
    <row r="1948">
      <c r="A1948" s="34"/>
      <c r="B1948" s="34"/>
      <c r="C1948" s="37"/>
      <c r="D1948" s="34"/>
      <c r="E1948" s="34"/>
      <c r="F1948" s="35"/>
      <c r="G1948" s="10"/>
      <c r="H1948" s="10"/>
      <c r="I1948" s="10"/>
      <c r="J1948" s="10"/>
    </row>
    <row r="1949">
      <c r="A1949" s="34"/>
      <c r="B1949" s="34"/>
      <c r="C1949" s="37"/>
      <c r="D1949" s="34"/>
      <c r="E1949" s="34"/>
      <c r="F1949" s="35"/>
      <c r="G1949" s="10"/>
      <c r="H1949" s="10"/>
      <c r="I1949" s="10"/>
      <c r="J1949" s="10"/>
    </row>
    <row r="1950">
      <c r="A1950" s="34"/>
      <c r="B1950" s="34"/>
      <c r="C1950" s="37"/>
      <c r="D1950" s="34"/>
      <c r="E1950" s="34"/>
      <c r="F1950" s="35"/>
      <c r="G1950" s="10"/>
      <c r="H1950" s="10"/>
      <c r="I1950" s="10"/>
      <c r="J1950" s="10"/>
    </row>
    <row r="1951">
      <c r="A1951" s="34"/>
      <c r="B1951" s="34"/>
      <c r="C1951" s="37"/>
      <c r="D1951" s="34"/>
      <c r="E1951" s="34"/>
      <c r="F1951" s="35"/>
      <c r="G1951" s="10"/>
      <c r="H1951" s="10"/>
      <c r="I1951" s="10"/>
      <c r="J1951" s="10"/>
    </row>
    <row r="1952">
      <c r="A1952" s="34"/>
      <c r="B1952" s="34"/>
      <c r="C1952" s="37"/>
      <c r="D1952" s="34"/>
      <c r="E1952" s="34"/>
      <c r="F1952" s="35"/>
      <c r="G1952" s="10"/>
      <c r="H1952" s="10"/>
      <c r="I1952" s="10"/>
      <c r="J1952" s="10"/>
    </row>
    <row r="1953">
      <c r="A1953" s="34"/>
      <c r="B1953" s="34"/>
      <c r="C1953" s="37"/>
      <c r="D1953" s="34"/>
      <c r="E1953" s="34"/>
      <c r="F1953" s="35"/>
      <c r="G1953" s="10"/>
      <c r="H1953" s="10"/>
      <c r="I1953" s="10"/>
      <c r="J1953" s="10"/>
    </row>
    <row r="1954">
      <c r="A1954" s="34"/>
      <c r="B1954" s="34"/>
      <c r="C1954" s="37"/>
      <c r="D1954" s="34"/>
      <c r="E1954" s="34"/>
      <c r="F1954" s="35"/>
      <c r="G1954" s="10"/>
      <c r="H1954" s="10"/>
      <c r="I1954" s="10"/>
      <c r="J1954" s="10"/>
    </row>
    <row r="1955">
      <c r="A1955" s="34"/>
      <c r="B1955" s="34"/>
      <c r="C1955" s="37"/>
      <c r="D1955" s="34"/>
      <c r="E1955" s="34"/>
      <c r="F1955" s="35"/>
      <c r="G1955" s="10"/>
      <c r="H1955" s="10"/>
      <c r="I1955" s="10"/>
      <c r="J1955" s="10"/>
    </row>
    <row r="1956">
      <c r="A1956" s="34"/>
      <c r="B1956" s="34"/>
      <c r="C1956" s="37"/>
      <c r="D1956" s="34"/>
      <c r="E1956" s="34"/>
      <c r="F1956" s="35"/>
      <c r="G1956" s="10"/>
      <c r="H1956" s="10"/>
      <c r="I1956" s="10"/>
      <c r="J1956" s="10"/>
    </row>
    <row r="1957">
      <c r="A1957" s="34"/>
      <c r="B1957" s="34"/>
      <c r="C1957" s="37"/>
      <c r="D1957" s="34"/>
      <c r="E1957" s="34"/>
      <c r="F1957" s="35"/>
      <c r="G1957" s="10"/>
      <c r="H1957" s="10"/>
      <c r="I1957" s="10"/>
      <c r="J1957" s="10"/>
    </row>
    <row r="1958">
      <c r="A1958" s="34"/>
      <c r="B1958" s="34"/>
      <c r="C1958" s="37"/>
      <c r="D1958" s="34"/>
      <c r="E1958" s="34"/>
      <c r="F1958" s="35"/>
      <c r="G1958" s="10"/>
      <c r="H1958" s="10"/>
      <c r="I1958" s="10"/>
      <c r="J1958" s="10"/>
    </row>
    <row r="1959">
      <c r="A1959" s="34"/>
      <c r="B1959" s="34"/>
      <c r="C1959" s="37"/>
      <c r="D1959" s="34"/>
      <c r="E1959" s="34"/>
      <c r="F1959" s="35"/>
      <c r="G1959" s="10"/>
      <c r="H1959" s="10"/>
      <c r="I1959" s="10"/>
      <c r="J1959" s="10"/>
    </row>
    <row r="1960">
      <c r="A1960" s="34"/>
      <c r="B1960" s="34"/>
      <c r="C1960" s="37"/>
      <c r="D1960" s="34"/>
      <c r="E1960" s="34"/>
      <c r="F1960" s="35"/>
      <c r="G1960" s="10"/>
      <c r="H1960" s="10"/>
      <c r="I1960" s="10"/>
      <c r="J1960" s="10"/>
    </row>
    <row r="1961">
      <c r="A1961" s="34"/>
      <c r="B1961" s="34"/>
      <c r="C1961" s="37"/>
      <c r="D1961" s="34"/>
      <c r="E1961" s="34"/>
      <c r="F1961" s="35"/>
      <c r="G1961" s="10"/>
      <c r="H1961" s="10"/>
      <c r="I1961" s="10"/>
      <c r="J1961" s="10"/>
    </row>
    <row r="1962">
      <c r="A1962" s="34"/>
      <c r="B1962" s="34"/>
      <c r="C1962" s="37"/>
      <c r="D1962" s="34"/>
      <c r="E1962" s="34"/>
      <c r="F1962" s="35"/>
      <c r="G1962" s="10"/>
      <c r="H1962" s="10"/>
      <c r="I1962" s="10"/>
      <c r="J1962" s="10"/>
    </row>
    <row r="1963">
      <c r="A1963" s="34"/>
      <c r="B1963" s="34"/>
      <c r="C1963" s="37"/>
      <c r="D1963" s="34"/>
      <c r="E1963" s="34"/>
      <c r="F1963" s="35"/>
      <c r="G1963" s="10"/>
      <c r="H1963" s="10"/>
      <c r="I1963" s="10"/>
      <c r="J1963" s="10"/>
    </row>
    <row r="1964">
      <c r="A1964" s="34"/>
      <c r="B1964" s="34"/>
      <c r="C1964" s="37"/>
      <c r="D1964" s="34"/>
      <c r="E1964" s="34"/>
      <c r="F1964" s="35"/>
      <c r="G1964" s="10"/>
      <c r="H1964" s="10"/>
      <c r="I1964" s="10"/>
      <c r="J1964" s="10"/>
    </row>
    <row r="1965">
      <c r="A1965" s="34"/>
      <c r="B1965" s="34"/>
      <c r="C1965" s="37"/>
      <c r="D1965" s="34"/>
      <c r="E1965" s="34"/>
      <c r="F1965" s="35"/>
      <c r="G1965" s="10"/>
      <c r="H1965" s="10"/>
      <c r="I1965" s="10"/>
      <c r="J1965" s="10"/>
    </row>
    <row r="1966">
      <c r="A1966" s="34"/>
      <c r="B1966" s="34"/>
      <c r="C1966" s="37"/>
      <c r="D1966" s="34"/>
      <c r="E1966" s="34"/>
      <c r="F1966" s="35"/>
      <c r="G1966" s="10"/>
      <c r="H1966" s="10"/>
      <c r="I1966" s="10"/>
      <c r="J1966" s="10"/>
    </row>
    <row r="1967">
      <c r="A1967" s="34"/>
      <c r="B1967" s="34"/>
      <c r="C1967" s="37"/>
      <c r="D1967" s="34"/>
      <c r="E1967" s="34"/>
      <c r="F1967" s="35"/>
      <c r="G1967" s="10"/>
      <c r="H1967" s="10"/>
      <c r="I1967" s="10"/>
      <c r="J1967" s="10"/>
    </row>
    <row r="1968">
      <c r="A1968" s="34"/>
      <c r="B1968" s="34"/>
      <c r="C1968" s="37"/>
      <c r="D1968" s="34"/>
      <c r="E1968" s="34"/>
      <c r="F1968" s="35"/>
      <c r="G1968" s="10"/>
      <c r="H1968" s="10"/>
      <c r="I1968" s="10"/>
      <c r="J1968" s="10"/>
    </row>
    <row r="1969">
      <c r="A1969" s="34"/>
      <c r="B1969" s="34"/>
      <c r="C1969" s="37"/>
      <c r="D1969" s="34"/>
      <c r="E1969" s="34"/>
      <c r="F1969" s="35"/>
      <c r="G1969" s="10"/>
      <c r="H1969" s="10"/>
      <c r="I1969" s="10"/>
      <c r="J1969" s="10"/>
    </row>
    <row r="1970">
      <c r="A1970" s="34"/>
      <c r="B1970" s="34"/>
      <c r="C1970" s="37"/>
      <c r="D1970" s="34"/>
      <c r="E1970" s="34"/>
      <c r="F1970" s="35"/>
      <c r="G1970" s="10"/>
      <c r="H1970" s="10"/>
      <c r="I1970" s="10"/>
      <c r="J1970" s="10"/>
    </row>
    <row r="1971">
      <c r="A1971" s="34"/>
      <c r="B1971" s="34"/>
      <c r="C1971" s="37"/>
      <c r="D1971" s="34"/>
      <c r="E1971" s="34"/>
      <c r="F1971" s="35"/>
      <c r="G1971" s="10"/>
      <c r="H1971" s="10"/>
      <c r="I1971" s="10"/>
      <c r="J1971" s="10"/>
    </row>
    <row r="1972">
      <c r="A1972" s="34"/>
      <c r="B1972" s="34"/>
      <c r="C1972" s="37"/>
      <c r="D1972" s="34"/>
      <c r="E1972" s="34"/>
      <c r="F1972" s="35"/>
      <c r="G1972" s="10"/>
      <c r="H1972" s="10"/>
      <c r="I1972" s="10"/>
      <c r="J1972" s="10"/>
    </row>
    <row r="1973">
      <c r="A1973" s="34"/>
      <c r="B1973" s="34"/>
      <c r="C1973" s="37"/>
      <c r="D1973" s="34"/>
      <c r="E1973" s="34"/>
      <c r="F1973" s="35"/>
      <c r="G1973" s="10"/>
      <c r="H1973" s="10"/>
      <c r="I1973" s="10"/>
      <c r="J1973" s="10"/>
    </row>
    <row r="1974">
      <c r="A1974" s="34"/>
      <c r="B1974" s="34"/>
      <c r="C1974" s="37"/>
      <c r="D1974" s="34"/>
      <c r="E1974" s="34"/>
      <c r="F1974" s="35"/>
      <c r="G1974" s="10"/>
      <c r="H1974" s="10"/>
      <c r="I1974" s="10"/>
      <c r="J1974" s="10"/>
    </row>
    <row r="1975">
      <c r="A1975" s="34"/>
      <c r="B1975" s="34"/>
      <c r="C1975" s="37"/>
      <c r="D1975" s="34"/>
      <c r="E1975" s="34"/>
      <c r="F1975" s="35"/>
      <c r="G1975" s="10"/>
      <c r="H1975" s="10"/>
      <c r="I1975" s="10"/>
      <c r="J1975" s="10"/>
    </row>
    <row r="1976">
      <c r="A1976" s="34"/>
      <c r="B1976" s="34"/>
      <c r="C1976" s="37"/>
      <c r="D1976" s="34"/>
      <c r="E1976" s="34"/>
      <c r="F1976" s="35"/>
      <c r="G1976" s="10"/>
      <c r="H1976" s="10"/>
      <c r="I1976" s="10"/>
      <c r="J1976" s="10"/>
    </row>
    <row r="1977">
      <c r="A1977" s="34"/>
      <c r="B1977" s="34"/>
      <c r="C1977" s="37"/>
      <c r="D1977" s="34"/>
      <c r="E1977" s="34"/>
      <c r="F1977" s="35"/>
      <c r="G1977" s="10"/>
      <c r="H1977" s="10"/>
      <c r="I1977" s="10"/>
      <c r="J1977" s="10"/>
    </row>
    <row r="1978">
      <c r="A1978" s="34"/>
      <c r="B1978" s="34"/>
      <c r="C1978" s="37"/>
      <c r="D1978" s="34"/>
      <c r="E1978" s="34"/>
      <c r="F1978" s="35"/>
      <c r="G1978" s="10"/>
      <c r="H1978" s="10"/>
      <c r="I1978" s="10"/>
      <c r="J1978" s="10"/>
    </row>
    <row r="1979">
      <c r="A1979" s="34"/>
      <c r="B1979" s="34"/>
      <c r="C1979" s="37"/>
      <c r="D1979" s="34"/>
      <c r="E1979" s="34"/>
      <c r="F1979" s="35"/>
      <c r="G1979" s="10"/>
      <c r="H1979" s="10"/>
      <c r="I1979" s="10"/>
      <c r="J1979" s="10"/>
    </row>
    <row r="1980">
      <c r="A1980" s="34"/>
      <c r="B1980" s="34"/>
      <c r="C1980" s="37"/>
      <c r="D1980" s="34"/>
      <c r="E1980" s="34"/>
      <c r="F1980" s="35"/>
      <c r="G1980" s="10"/>
      <c r="H1980" s="10"/>
      <c r="I1980" s="10"/>
      <c r="J1980" s="10"/>
    </row>
    <row r="1981">
      <c r="A1981" s="34"/>
      <c r="B1981" s="34"/>
      <c r="C1981" s="37"/>
      <c r="D1981" s="34"/>
      <c r="E1981" s="34"/>
      <c r="F1981" s="35"/>
      <c r="G1981" s="10"/>
      <c r="H1981" s="10"/>
      <c r="I1981" s="10"/>
      <c r="J1981" s="10"/>
    </row>
    <row r="1982">
      <c r="A1982" s="34"/>
      <c r="B1982" s="34"/>
      <c r="C1982" s="37"/>
      <c r="D1982" s="34"/>
      <c r="E1982" s="34"/>
      <c r="F1982" s="35"/>
      <c r="G1982" s="10"/>
      <c r="H1982" s="10"/>
      <c r="I1982" s="10"/>
      <c r="J1982" s="10"/>
    </row>
    <row r="1983">
      <c r="A1983" s="34"/>
      <c r="B1983" s="34"/>
      <c r="C1983" s="37"/>
      <c r="D1983" s="34"/>
      <c r="E1983" s="34"/>
      <c r="F1983" s="35"/>
      <c r="G1983" s="10"/>
      <c r="H1983" s="10"/>
      <c r="I1983" s="10"/>
      <c r="J1983" s="10"/>
    </row>
    <row r="1984">
      <c r="A1984" s="34"/>
      <c r="B1984" s="34"/>
      <c r="C1984" s="37"/>
      <c r="D1984" s="34"/>
      <c r="E1984" s="34"/>
      <c r="F1984" s="35"/>
      <c r="G1984" s="10"/>
      <c r="H1984" s="10"/>
      <c r="I1984" s="10"/>
      <c r="J1984" s="10"/>
    </row>
    <row r="1985">
      <c r="A1985" s="34"/>
      <c r="B1985" s="34"/>
      <c r="C1985" s="37"/>
      <c r="D1985" s="34"/>
      <c r="E1985" s="34"/>
      <c r="F1985" s="35"/>
      <c r="G1985" s="10"/>
      <c r="H1985" s="10"/>
      <c r="I1985" s="10"/>
      <c r="J1985" s="10"/>
    </row>
    <row r="1986">
      <c r="A1986" s="34"/>
      <c r="B1986" s="34"/>
      <c r="C1986" s="37"/>
      <c r="D1986" s="34"/>
      <c r="E1986" s="34"/>
      <c r="F1986" s="35"/>
      <c r="G1986" s="10"/>
      <c r="H1986" s="10"/>
      <c r="I1986" s="10"/>
      <c r="J1986" s="10"/>
    </row>
    <row r="1987">
      <c r="A1987" s="34"/>
      <c r="B1987" s="34"/>
      <c r="C1987" s="37"/>
      <c r="D1987" s="34"/>
      <c r="E1987" s="34"/>
      <c r="F1987" s="35"/>
      <c r="G1987" s="10"/>
      <c r="H1987" s="10"/>
      <c r="I1987" s="10"/>
      <c r="J1987" s="10"/>
    </row>
    <row r="1988">
      <c r="A1988" s="34"/>
      <c r="B1988" s="34"/>
      <c r="C1988" s="37"/>
      <c r="D1988" s="34"/>
      <c r="E1988" s="34"/>
      <c r="F1988" s="35"/>
      <c r="G1988" s="10"/>
      <c r="H1988" s="10"/>
      <c r="I1988" s="10"/>
      <c r="J1988" s="10"/>
    </row>
    <row r="1989">
      <c r="A1989" s="34"/>
      <c r="B1989" s="34"/>
      <c r="C1989" s="37"/>
      <c r="D1989" s="34"/>
      <c r="E1989" s="34"/>
      <c r="F1989" s="35"/>
      <c r="G1989" s="10"/>
      <c r="H1989" s="10"/>
      <c r="I1989" s="10"/>
      <c r="J1989" s="10"/>
    </row>
    <row r="1990">
      <c r="A1990" s="34"/>
      <c r="B1990" s="34"/>
      <c r="C1990" s="37"/>
      <c r="D1990" s="34"/>
      <c r="E1990" s="34"/>
      <c r="F1990" s="35"/>
      <c r="G1990" s="10"/>
      <c r="H1990" s="10"/>
      <c r="I1990" s="10"/>
      <c r="J1990" s="10"/>
    </row>
    <row r="1991">
      <c r="A1991" s="34"/>
      <c r="B1991" s="34"/>
      <c r="C1991" s="37"/>
      <c r="D1991" s="34"/>
      <c r="E1991" s="34"/>
      <c r="F1991" s="35"/>
      <c r="G1991" s="10"/>
      <c r="H1991" s="10"/>
      <c r="I1991" s="10"/>
      <c r="J1991" s="10"/>
    </row>
    <row r="1992">
      <c r="A1992" s="34"/>
      <c r="B1992" s="34"/>
      <c r="C1992" s="37"/>
      <c r="D1992" s="34"/>
      <c r="E1992" s="34"/>
      <c r="F1992" s="35"/>
      <c r="G1992" s="10"/>
      <c r="H1992" s="10"/>
      <c r="I1992" s="10"/>
      <c r="J1992" s="10"/>
    </row>
    <row r="1993">
      <c r="A1993" s="34"/>
      <c r="B1993" s="34"/>
      <c r="C1993" s="37"/>
      <c r="D1993" s="34"/>
      <c r="E1993" s="34"/>
      <c r="F1993" s="35"/>
      <c r="G1993" s="10"/>
      <c r="H1993" s="10"/>
      <c r="I1993" s="10"/>
      <c r="J1993" s="10"/>
    </row>
    <row r="1994">
      <c r="A1994" s="34"/>
      <c r="B1994" s="34"/>
      <c r="C1994" s="37"/>
      <c r="D1994" s="34"/>
      <c r="E1994" s="34"/>
      <c r="F1994" s="35"/>
      <c r="G1994" s="10"/>
      <c r="H1994" s="10"/>
      <c r="I1994" s="10"/>
      <c r="J1994" s="10"/>
    </row>
    <row r="1995">
      <c r="A1995" s="34"/>
      <c r="B1995" s="34"/>
      <c r="C1995" s="37"/>
      <c r="D1995" s="34"/>
      <c r="E1995" s="34"/>
      <c r="F1995" s="35"/>
      <c r="G1995" s="10"/>
      <c r="H1995" s="10"/>
      <c r="I1995" s="10"/>
      <c r="J1995" s="10"/>
    </row>
    <row r="1996">
      <c r="A1996" s="34"/>
      <c r="B1996" s="34"/>
      <c r="C1996" s="37"/>
      <c r="D1996" s="34"/>
      <c r="E1996" s="34"/>
      <c r="F1996" s="35"/>
      <c r="G1996" s="10"/>
      <c r="H1996" s="10"/>
      <c r="I1996" s="10"/>
      <c r="J1996" s="10"/>
    </row>
    <row r="1997">
      <c r="A1997" s="34"/>
      <c r="B1997" s="34"/>
      <c r="C1997" s="37"/>
      <c r="D1997" s="34"/>
      <c r="E1997" s="34"/>
      <c r="F1997" s="35"/>
      <c r="G1997" s="10"/>
      <c r="H1997" s="10"/>
      <c r="I1997" s="10"/>
      <c r="J1997" s="10"/>
    </row>
    <row r="1998">
      <c r="A1998" s="34"/>
      <c r="B1998" s="34"/>
      <c r="C1998" s="37"/>
      <c r="D1998" s="34"/>
      <c r="E1998" s="34"/>
      <c r="F1998" s="35"/>
      <c r="G1998" s="10"/>
      <c r="H1998" s="10"/>
      <c r="I1998" s="10"/>
      <c r="J1998" s="10"/>
    </row>
    <row r="1999">
      <c r="A1999" s="34"/>
      <c r="B1999" s="34"/>
      <c r="C1999" s="37"/>
      <c r="D1999" s="34"/>
      <c r="E1999" s="34"/>
      <c r="F1999" s="35"/>
      <c r="G1999" s="10"/>
      <c r="H1999" s="10"/>
      <c r="I1999" s="10"/>
      <c r="J1999" s="10"/>
    </row>
    <row r="2000">
      <c r="A2000" s="34"/>
      <c r="B2000" s="34"/>
      <c r="C2000" s="37"/>
      <c r="D2000" s="34"/>
      <c r="E2000" s="34"/>
      <c r="F2000" s="35"/>
      <c r="G2000" s="10"/>
      <c r="H2000" s="10"/>
      <c r="I2000" s="10"/>
      <c r="J2000" s="10"/>
    </row>
    <row r="2001">
      <c r="A2001" s="34"/>
      <c r="B2001" s="34"/>
      <c r="C2001" s="37"/>
      <c r="D2001" s="34"/>
      <c r="E2001" s="34"/>
      <c r="F2001" s="35"/>
      <c r="G2001" s="10"/>
      <c r="H2001" s="10"/>
      <c r="I2001" s="10"/>
      <c r="J2001" s="10"/>
    </row>
    <row r="2002">
      <c r="A2002" s="34"/>
      <c r="B2002" s="34"/>
      <c r="C2002" s="37"/>
      <c r="D2002" s="34"/>
      <c r="E2002" s="34"/>
      <c r="F2002" s="35"/>
      <c r="G2002" s="10"/>
      <c r="H2002" s="10"/>
      <c r="I2002" s="10"/>
      <c r="J2002" s="10"/>
    </row>
    <row r="2003">
      <c r="A2003" s="34"/>
      <c r="B2003" s="34"/>
      <c r="C2003" s="37"/>
      <c r="D2003" s="34"/>
      <c r="E2003" s="34"/>
      <c r="F2003" s="35"/>
      <c r="G2003" s="10"/>
      <c r="H2003" s="10"/>
      <c r="I2003" s="10"/>
      <c r="J2003" s="10"/>
    </row>
    <row r="2004">
      <c r="A2004" s="34"/>
      <c r="B2004" s="34"/>
      <c r="C2004" s="37"/>
      <c r="D2004" s="34"/>
      <c r="E2004" s="34"/>
      <c r="F2004" s="35"/>
      <c r="G2004" s="10"/>
      <c r="H2004" s="10"/>
      <c r="I2004" s="10"/>
      <c r="J2004" s="10"/>
    </row>
    <row r="2005">
      <c r="A2005" s="34"/>
      <c r="B2005" s="34"/>
      <c r="C2005" s="37"/>
      <c r="D2005" s="34"/>
      <c r="E2005" s="34"/>
      <c r="F2005" s="35"/>
      <c r="G2005" s="10"/>
      <c r="H2005" s="10"/>
      <c r="I2005" s="10"/>
      <c r="J2005" s="10"/>
    </row>
    <row r="2006">
      <c r="A2006" s="34"/>
      <c r="B2006" s="34"/>
      <c r="C2006" s="37"/>
      <c r="D2006" s="34"/>
      <c r="E2006" s="34"/>
      <c r="F2006" s="35"/>
      <c r="G2006" s="10"/>
      <c r="H2006" s="10"/>
      <c r="I2006" s="10"/>
      <c r="J2006" s="10"/>
    </row>
    <row r="2007">
      <c r="A2007" s="34"/>
      <c r="B2007" s="34"/>
      <c r="C2007" s="37"/>
      <c r="D2007" s="34"/>
      <c r="E2007" s="34"/>
      <c r="F2007" s="35"/>
      <c r="G2007" s="10"/>
      <c r="H2007" s="10"/>
      <c r="I2007" s="10"/>
      <c r="J2007" s="10"/>
    </row>
    <row r="2008">
      <c r="A2008" s="34"/>
      <c r="B2008" s="34"/>
      <c r="C2008" s="37"/>
      <c r="D2008" s="34"/>
      <c r="E2008" s="34"/>
      <c r="F2008" s="35"/>
      <c r="G2008" s="10"/>
      <c r="H2008" s="10"/>
      <c r="I2008" s="10"/>
      <c r="J2008" s="10"/>
    </row>
    <row r="2009">
      <c r="A2009" s="34"/>
      <c r="B2009" s="34"/>
      <c r="C2009" s="37"/>
      <c r="D2009" s="34"/>
      <c r="E2009" s="34"/>
      <c r="F2009" s="35"/>
      <c r="G2009" s="10"/>
      <c r="H2009" s="10"/>
      <c r="I2009" s="10"/>
      <c r="J2009" s="10"/>
    </row>
    <row r="2010">
      <c r="A2010" s="34"/>
      <c r="B2010" s="34"/>
      <c r="C2010" s="37"/>
      <c r="D2010" s="34"/>
      <c r="E2010" s="34"/>
      <c r="F2010" s="35"/>
      <c r="G2010" s="10"/>
      <c r="H2010" s="10"/>
      <c r="I2010" s="10"/>
      <c r="J2010" s="10"/>
    </row>
    <row r="2011">
      <c r="A2011" s="34"/>
      <c r="B2011" s="34"/>
      <c r="C2011" s="37"/>
      <c r="D2011" s="34"/>
      <c r="E2011" s="34"/>
      <c r="F2011" s="35"/>
      <c r="G2011" s="10"/>
      <c r="H2011" s="10"/>
      <c r="I2011" s="10"/>
      <c r="J2011" s="10"/>
    </row>
    <row r="2012">
      <c r="A2012" s="34"/>
      <c r="B2012" s="34"/>
      <c r="C2012" s="37"/>
      <c r="D2012" s="34"/>
      <c r="E2012" s="34"/>
      <c r="F2012" s="35"/>
      <c r="G2012" s="10"/>
      <c r="H2012" s="10"/>
      <c r="I2012" s="10"/>
      <c r="J2012" s="10"/>
    </row>
    <row r="2013">
      <c r="A2013" s="34"/>
      <c r="B2013" s="34"/>
      <c r="C2013" s="37"/>
      <c r="D2013" s="34"/>
      <c r="E2013" s="34"/>
      <c r="F2013" s="35"/>
      <c r="G2013" s="10"/>
      <c r="H2013" s="10"/>
      <c r="I2013" s="10"/>
      <c r="J2013" s="10"/>
    </row>
    <row r="2014">
      <c r="A2014" s="34"/>
      <c r="B2014" s="34"/>
      <c r="C2014" s="37"/>
      <c r="D2014" s="34"/>
      <c r="E2014" s="34"/>
      <c r="F2014" s="35"/>
      <c r="G2014" s="10"/>
      <c r="H2014" s="10"/>
      <c r="I2014" s="10"/>
      <c r="J2014" s="10"/>
    </row>
    <row r="2015">
      <c r="A2015" s="34"/>
      <c r="B2015" s="34"/>
      <c r="C2015" s="37"/>
      <c r="D2015" s="34"/>
      <c r="E2015" s="34"/>
      <c r="F2015" s="35"/>
      <c r="G2015" s="10"/>
      <c r="H2015" s="10"/>
      <c r="I2015" s="10"/>
      <c r="J2015" s="10"/>
    </row>
    <row r="2016">
      <c r="A2016" s="34"/>
      <c r="B2016" s="34"/>
      <c r="C2016" s="37"/>
      <c r="D2016" s="34"/>
      <c r="E2016" s="34"/>
      <c r="F2016" s="35"/>
      <c r="G2016" s="10"/>
      <c r="H2016" s="10"/>
      <c r="I2016" s="10"/>
      <c r="J2016" s="10"/>
    </row>
    <row r="2017">
      <c r="A2017" s="34"/>
      <c r="B2017" s="34"/>
      <c r="C2017" s="37"/>
      <c r="D2017" s="34"/>
      <c r="E2017" s="34"/>
      <c r="F2017" s="35"/>
      <c r="G2017" s="10"/>
      <c r="H2017" s="10"/>
      <c r="I2017" s="10"/>
      <c r="J2017" s="10"/>
    </row>
    <row r="2018">
      <c r="A2018" s="34"/>
      <c r="B2018" s="34"/>
      <c r="C2018" s="37"/>
      <c r="D2018" s="34"/>
      <c r="E2018" s="34"/>
      <c r="F2018" s="35"/>
      <c r="G2018" s="10"/>
      <c r="H2018" s="10"/>
      <c r="I2018" s="10"/>
      <c r="J2018" s="10"/>
    </row>
    <row r="2019">
      <c r="A2019" s="34"/>
      <c r="B2019" s="34"/>
      <c r="C2019" s="37"/>
      <c r="D2019" s="34"/>
      <c r="E2019" s="34"/>
      <c r="F2019" s="35"/>
      <c r="G2019" s="10"/>
      <c r="H2019" s="10"/>
      <c r="I2019" s="10"/>
      <c r="J2019" s="10"/>
    </row>
    <row r="2020">
      <c r="A2020" s="34"/>
      <c r="B2020" s="34"/>
      <c r="C2020" s="37"/>
      <c r="D2020" s="34"/>
      <c r="E2020" s="34"/>
      <c r="F2020" s="35"/>
      <c r="G2020" s="10"/>
      <c r="H2020" s="10"/>
      <c r="I2020" s="10"/>
      <c r="J2020" s="10"/>
    </row>
    <row r="2021">
      <c r="A2021" s="34"/>
      <c r="B2021" s="34"/>
      <c r="C2021" s="37"/>
      <c r="D2021" s="34"/>
      <c r="E2021" s="34"/>
      <c r="F2021" s="35"/>
      <c r="G2021" s="10"/>
      <c r="H2021" s="10"/>
      <c r="I2021" s="10"/>
      <c r="J2021" s="10"/>
    </row>
    <row r="2022">
      <c r="A2022" s="34"/>
      <c r="B2022" s="34"/>
      <c r="C2022" s="37"/>
      <c r="D2022" s="34"/>
      <c r="E2022" s="34"/>
      <c r="F2022" s="35"/>
      <c r="G2022" s="10"/>
      <c r="H2022" s="10"/>
      <c r="I2022" s="10"/>
      <c r="J2022" s="10"/>
    </row>
    <row r="2023">
      <c r="A2023" s="34"/>
      <c r="B2023" s="34"/>
      <c r="C2023" s="37"/>
      <c r="D2023" s="34"/>
      <c r="E2023" s="34"/>
      <c r="F2023" s="35"/>
      <c r="G2023" s="10"/>
      <c r="H2023" s="10"/>
      <c r="I2023" s="10"/>
      <c r="J2023" s="10"/>
    </row>
    <row r="2024">
      <c r="A2024" s="34"/>
      <c r="B2024" s="34"/>
      <c r="C2024" s="37"/>
      <c r="D2024" s="34"/>
      <c r="E2024" s="34"/>
      <c r="F2024" s="35"/>
      <c r="G2024" s="10"/>
      <c r="H2024" s="10"/>
      <c r="I2024" s="10"/>
      <c r="J2024" s="10"/>
    </row>
    <row r="2025">
      <c r="A2025" s="34"/>
      <c r="B2025" s="34"/>
      <c r="C2025" s="37"/>
      <c r="D2025" s="34"/>
      <c r="E2025" s="34"/>
      <c r="F2025" s="35"/>
      <c r="G2025" s="10"/>
      <c r="H2025" s="10"/>
      <c r="I2025" s="10"/>
      <c r="J2025" s="10"/>
    </row>
    <row r="2026">
      <c r="A2026" s="34"/>
      <c r="B2026" s="34"/>
      <c r="C2026" s="37"/>
      <c r="D2026" s="34"/>
      <c r="E2026" s="34"/>
      <c r="F2026" s="35"/>
      <c r="G2026" s="10"/>
      <c r="H2026" s="10"/>
      <c r="I2026" s="10"/>
      <c r="J2026" s="10"/>
    </row>
    <row r="2027">
      <c r="A2027" s="34"/>
      <c r="B2027" s="34"/>
      <c r="C2027" s="37"/>
      <c r="D2027" s="34"/>
      <c r="E2027" s="34"/>
      <c r="F2027" s="35"/>
      <c r="G2027" s="10"/>
      <c r="H2027" s="10"/>
      <c r="I2027" s="10"/>
      <c r="J2027" s="10"/>
    </row>
    <row r="2028">
      <c r="A2028" s="34"/>
      <c r="B2028" s="34"/>
      <c r="C2028" s="37"/>
      <c r="D2028" s="34"/>
      <c r="E2028" s="34"/>
      <c r="F2028" s="35"/>
      <c r="G2028" s="10"/>
      <c r="H2028" s="10"/>
      <c r="I2028" s="10"/>
      <c r="J2028" s="10"/>
    </row>
    <row r="2029">
      <c r="A2029" s="34"/>
      <c r="B2029" s="34"/>
      <c r="C2029" s="37"/>
      <c r="D2029" s="34"/>
      <c r="E2029" s="34"/>
      <c r="F2029" s="35"/>
      <c r="G2029" s="10"/>
      <c r="H2029" s="10"/>
      <c r="I2029" s="10"/>
      <c r="J202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139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140</v>
      </c>
    </row>
    <row r="2">
      <c r="A2" s="34">
        <v>1.0</v>
      </c>
      <c r="B2" s="37">
        <v>2018.0</v>
      </c>
      <c r="C2" s="34">
        <v>1.0</v>
      </c>
      <c r="D2" s="34">
        <v>1.0</v>
      </c>
      <c r="E2" s="34">
        <v>1.0</v>
      </c>
      <c r="F2" s="35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  <c r="L2" s="3">
        <f t="shared" ref="L2:L111" si="2">IF(G2="Mikey Wright",J2,0)</f>
        <v>0</v>
      </c>
    </row>
    <row r="3">
      <c r="A3" s="34">
        <v>2.0</v>
      </c>
      <c r="B3" s="37">
        <v>2018.0</v>
      </c>
      <c r="C3" s="34">
        <v>1.0</v>
      </c>
      <c r="D3" s="34">
        <v>1.0</v>
      </c>
      <c r="E3" s="34">
        <v>1.0</v>
      </c>
      <c r="F3" s="35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  <c r="L3" s="3">
        <f t="shared" si="2"/>
        <v>0</v>
      </c>
    </row>
    <row r="4">
      <c r="A4" s="34">
        <v>3.0</v>
      </c>
      <c r="B4" s="37">
        <v>2018.0</v>
      </c>
      <c r="C4" s="34">
        <v>1.0</v>
      </c>
      <c r="D4" s="34">
        <v>1.0</v>
      </c>
      <c r="E4" s="34">
        <v>1.0</v>
      </c>
      <c r="F4" s="35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  <c r="L4" s="3">
        <f t="shared" si="2"/>
        <v>0</v>
      </c>
    </row>
    <row r="5">
      <c r="A5" s="34">
        <v>4.0</v>
      </c>
      <c r="B5" s="37">
        <v>2018.0</v>
      </c>
      <c r="C5" s="34">
        <v>1.0</v>
      </c>
      <c r="D5" s="34">
        <v>1.0</v>
      </c>
      <c r="E5" s="34">
        <v>2.0</v>
      </c>
      <c r="F5" s="35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  <c r="L5" s="3">
        <f t="shared" si="2"/>
        <v>0</v>
      </c>
    </row>
    <row r="6">
      <c r="A6" s="34">
        <v>5.0</v>
      </c>
      <c r="B6" s="37">
        <v>2018.0</v>
      </c>
      <c r="C6" s="34">
        <v>1.0</v>
      </c>
      <c r="D6" s="34">
        <v>1.0</v>
      </c>
      <c r="E6" s="34">
        <v>2.0</v>
      </c>
      <c r="F6" s="35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  <c r="L6" s="3">
        <f t="shared" si="2"/>
        <v>0</v>
      </c>
    </row>
    <row r="7">
      <c r="A7" s="34">
        <v>6.0</v>
      </c>
      <c r="B7" s="37">
        <v>2018.0</v>
      </c>
      <c r="C7" s="34">
        <v>1.0</v>
      </c>
      <c r="D7" s="34">
        <v>1.0</v>
      </c>
      <c r="E7" s="34">
        <v>2.0</v>
      </c>
      <c r="F7" s="35" t="s">
        <v>16</v>
      </c>
      <c r="G7" s="10" t="s">
        <v>176</v>
      </c>
      <c r="H7" s="10">
        <v>5.73</v>
      </c>
      <c r="I7" s="10">
        <v>5.53</v>
      </c>
      <c r="J7" s="3">
        <f t="shared" si="1"/>
        <v>11.26</v>
      </c>
      <c r="L7" s="3">
        <f t="shared" si="2"/>
        <v>0</v>
      </c>
    </row>
    <row r="8">
      <c r="A8" s="34">
        <v>7.0</v>
      </c>
      <c r="B8" s="37">
        <v>2018.0</v>
      </c>
      <c r="C8" s="34">
        <v>1.0</v>
      </c>
      <c r="D8" s="34">
        <v>1.0</v>
      </c>
      <c r="E8" s="34">
        <v>3.0</v>
      </c>
      <c r="F8" s="35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  <c r="L8" s="3">
        <f t="shared" si="2"/>
        <v>0</v>
      </c>
    </row>
    <row r="9">
      <c r="A9" s="34">
        <v>8.0</v>
      </c>
      <c r="B9" s="37">
        <v>2018.0</v>
      </c>
      <c r="C9" s="34">
        <v>1.0</v>
      </c>
      <c r="D9" s="34">
        <v>1.0</v>
      </c>
      <c r="E9" s="34">
        <v>3.0</v>
      </c>
      <c r="F9" s="35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  <c r="L9" s="3">
        <f t="shared" si="2"/>
        <v>0</v>
      </c>
    </row>
    <row r="10">
      <c r="A10" s="34">
        <v>9.0</v>
      </c>
      <c r="B10" s="37">
        <v>2018.0</v>
      </c>
      <c r="C10" s="34">
        <v>1.0</v>
      </c>
      <c r="D10" s="34">
        <v>1.0</v>
      </c>
      <c r="E10" s="34">
        <v>3.0</v>
      </c>
      <c r="F10" s="35" t="s">
        <v>16</v>
      </c>
      <c r="G10" s="10" t="s">
        <v>177</v>
      </c>
      <c r="H10" s="10">
        <v>4.17</v>
      </c>
      <c r="I10" s="10">
        <v>3.47</v>
      </c>
      <c r="J10" s="3">
        <f t="shared" si="1"/>
        <v>7.64</v>
      </c>
      <c r="L10" s="3">
        <f t="shared" si="2"/>
        <v>0</v>
      </c>
    </row>
    <row r="11">
      <c r="A11" s="34">
        <v>10.0</v>
      </c>
      <c r="B11" s="37">
        <v>2018.0</v>
      </c>
      <c r="C11" s="34">
        <v>1.0</v>
      </c>
      <c r="D11" s="34">
        <v>1.0</v>
      </c>
      <c r="E11" s="34">
        <v>4.0</v>
      </c>
      <c r="F11" s="35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  <c r="L11" s="3">
        <f t="shared" si="2"/>
        <v>0</v>
      </c>
    </row>
    <row r="12">
      <c r="A12" s="34">
        <v>11.0</v>
      </c>
      <c r="B12" s="37">
        <v>2018.0</v>
      </c>
      <c r="C12" s="34">
        <v>1.0</v>
      </c>
      <c r="D12" s="34">
        <v>1.0</v>
      </c>
      <c r="E12" s="34">
        <v>4.0</v>
      </c>
      <c r="F12" s="35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  <c r="L12" s="3">
        <f t="shared" si="2"/>
        <v>0</v>
      </c>
    </row>
    <row r="13">
      <c r="A13" s="34">
        <v>12.0</v>
      </c>
      <c r="B13" s="37">
        <v>2018.0</v>
      </c>
      <c r="C13" s="34">
        <v>1.0</v>
      </c>
      <c r="D13" s="34">
        <v>1.0</v>
      </c>
      <c r="E13" s="34">
        <v>4.0</v>
      </c>
      <c r="F13" s="35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  <c r="L13" s="3">
        <f t="shared" si="2"/>
        <v>0</v>
      </c>
    </row>
    <row r="14">
      <c r="A14" s="34">
        <v>13.0</v>
      </c>
      <c r="B14" s="37">
        <v>2018.0</v>
      </c>
      <c r="C14" s="34">
        <v>1.0</v>
      </c>
      <c r="D14" s="34">
        <v>1.0</v>
      </c>
      <c r="E14" s="34">
        <v>5.0</v>
      </c>
      <c r="F14" s="35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  <c r="L14" s="3">
        <f t="shared" si="2"/>
        <v>0</v>
      </c>
    </row>
    <row r="15">
      <c r="A15" s="34">
        <v>14.0</v>
      </c>
      <c r="B15" s="37">
        <v>2018.0</v>
      </c>
      <c r="C15" s="34">
        <v>1.0</v>
      </c>
      <c r="D15" s="34">
        <v>1.0</v>
      </c>
      <c r="E15" s="34">
        <v>5.0</v>
      </c>
      <c r="F15" s="35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  <c r="L15" s="3">
        <f t="shared" si="2"/>
        <v>0</v>
      </c>
    </row>
    <row r="16">
      <c r="A16" s="34">
        <v>15.0</v>
      </c>
      <c r="B16" s="37">
        <v>2018.0</v>
      </c>
      <c r="C16" s="34">
        <v>1.0</v>
      </c>
      <c r="D16" s="34">
        <v>1.0</v>
      </c>
      <c r="E16" s="34">
        <v>5.0</v>
      </c>
      <c r="F16" s="35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  <c r="L16" s="3">
        <f t="shared" si="2"/>
        <v>0</v>
      </c>
    </row>
    <row r="17">
      <c r="A17" s="34">
        <v>16.0</v>
      </c>
      <c r="B17" s="37">
        <v>2018.0</v>
      </c>
      <c r="C17" s="34">
        <v>1.0</v>
      </c>
      <c r="D17" s="34">
        <v>1.0</v>
      </c>
      <c r="E17" s="34">
        <v>6.0</v>
      </c>
      <c r="F17" s="35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  <c r="L17" s="3">
        <f t="shared" si="2"/>
        <v>0</v>
      </c>
    </row>
    <row r="18">
      <c r="A18" s="34">
        <v>17.0</v>
      </c>
      <c r="B18" s="37">
        <v>2018.0</v>
      </c>
      <c r="C18" s="34">
        <v>1.0</v>
      </c>
      <c r="D18" s="34">
        <v>1.0</v>
      </c>
      <c r="E18" s="34">
        <v>6.0</v>
      </c>
      <c r="F18" s="35" t="s">
        <v>16</v>
      </c>
      <c r="G18" s="10" t="s">
        <v>178</v>
      </c>
      <c r="H18" s="10">
        <v>7.67</v>
      </c>
      <c r="I18" s="10">
        <v>4.83</v>
      </c>
      <c r="J18" s="3">
        <f t="shared" si="1"/>
        <v>12.5</v>
      </c>
      <c r="L18" s="3">
        <f t="shared" si="2"/>
        <v>0</v>
      </c>
    </row>
    <row r="19">
      <c r="A19" s="34">
        <v>18.0</v>
      </c>
      <c r="B19" s="37">
        <v>2018.0</v>
      </c>
      <c r="C19" s="34">
        <v>1.0</v>
      </c>
      <c r="D19" s="34">
        <v>1.0</v>
      </c>
      <c r="E19" s="34">
        <v>6.0</v>
      </c>
      <c r="F19" s="35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  <c r="L19" s="3">
        <f t="shared" si="2"/>
        <v>2</v>
      </c>
    </row>
    <row r="20">
      <c r="A20" s="34">
        <v>19.0</v>
      </c>
      <c r="B20" s="37">
        <v>2018.0</v>
      </c>
      <c r="C20" s="34">
        <v>1.0</v>
      </c>
      <c r="D20" s="34">
        <v>1.0</v>
      </c>
      <c r="E20" s="34">
        <v>7.0</v>
      </c>
      <c r="F20" s="35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  <c r="L20" s="3">
        <f t="shared" si="2"/>
        <v>0</v>
      </c>
    </row>
    <row r="21">
      <c r="A21" s="34">
        <v>20.0</v>
      </c>
      <c r="B21" s="37">
        <v>2018.0</v>
      </c>
      <c r="C21" s="34">
        <v>1.0</v>
      </c>
      <c r="D21" s="34">
        <v>1.0</v>
      </c>
      <c r="E21" s="34">
        <v>7.0</v>
      </c>
      <c r="F21" s="35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  <c r="L21" s="3">
        <f t="shared" si="2"/>
        <v>0</v>
      </c>
    </row>
    <row r="22">
      <c r="A22" s="34">
        <v>21.0</v>
      </c>
      <c r="B22" s="37">
        <v>2018.0</v>
      </c>
      <c r="C22" s="34">
        <v>1.0</v>
      </c>
      <c r="D22" s="34">
        <v>1.0</v>
      </c>
      <c r="E22" s="34">
        <v>7.0</v>
      </c>
      <c r="F22" s="35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  <c r="L22" s="3">
        <f t="shared" si="2"/>
        <v>0</v>
      </c>
    </row>
    <row r="23">
      <c r="A23" s="34">
        <v>22.0</v>
      </c>
      <c r="B23" s="37">
        <v>2018.0</v>
      </c>
      <c r="C23" s="34">
        <v>1.0</v>
      </c>
      <c r="D23" s="34">
        <v>1.0</v>
      </c>
      <c r="E23" s="34">
        <v>8.0</v>
      </c>
      <c r="F23" s="35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  <c r="L23" s="3">
        <f t="shared" si="2"/>
        <v>0</v>
      </c>
    </row>
    <row r="24">
      <c r="A24" s="34">
        <v>23.0</v>
      </c>
      <c r="B24" s="37">
        <v>2018.0</v>
      </c>
      <c r="C24" s="34">
        <v>1.0</v>
      </c>
      <c r="D24" s="34">
        <v>1.0</v>
      </c>
      <c r="E24" s="34">
        <v>8.0</v>
      </c>
      <c r="F24" s="35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  <c r="L24" s="3">
        <f t="shared" si="2"/>
        <v>0</v>
      </c>
    </row>
    <row r="25">
      <c r="A25" s="34">
        <v>24.0</v>
      </c>
      <c r="B25" s="37">
        <v>2018.0</v>
      </c>
      <c r="C25" s="34">
        <v>1.0</v>
      </c>
      <c r="D25" s="34">
        <v>1.0</v>
      </c>
      <c r="E25" s="34">
        <v>8.0</v>
      </c>
      <c r="F25" s="35" t="s">
        <v>16</v>
      </c>
      <c r="G25" s="10" t="s">
        <v>179</v>
      </c>
      <c r="H25" s="10">
        <v>4.3</v>
      </c>
      <c r="I25" s="10">
        <v>3.77</v>
      </c>
      <c r="J25" s="3">
        <f t="shared" si="1"/>
        <v>8.07</v>
      </c>
      <c r="L25" s="3">
        <f t="shared" si="2"/>
        <v>0</v>
      </c>
    </row>
    <row r="26">
      <c r="A26" s="34">
        <v>25.0</v>
      </c>
      <c r="B26" s="37">
        <v>2018.0</v>
      </c>
      <c r="C26" s="34">
        <v>1.0</v>
      </c>
      <c r="D26" s="34">
        <v>1.0</v>
      </c>
      <c r="E26" s="34">
        <v>9.0</v>
      </c>
      <c r="F26" s="35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  <c r="L26" s="3">
        <f t="shared" si="2"/>
        <v>0</v>
      </c>
    </row>
    <row r="27">
      <c r="A27" s="34">
        <v>26.0</v>
      </c>
      <c r="B27" s="37">
        <v>2018.0</v>
      </c>
      <c r="C27" s="34">
        <v>1.0</v>
      </c>
      <c r="D27" s="34">
        <v>1.0</v>
      </c>
      <c r="E27" s="34">
        <v>9.0</v>
      </c>
      <c r="F27" s="35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  <c r="L27" s="3">
        <f t="shared" si="2"/>
        <v>0</v>
      </c>
    </row>
    <row r="28">
      <c r="A28" s="34">
        <v>27.0</v>
      </c>
      <c r="B28" s="37">
        <v>2018.0</v>
      </c>
      <c r="C28" s="34">
        <v>1.0</v>
      </c>
      <c r="D28" s="34">
        <v>1.0</v>
      </c>
      <c r="E28" s="34">
        <v>9.0</v>
      </c>
      <c r="F28" s="35" t="s">
        <v>16</v>
      </c>
      <c r="G28" s="10" t="s">
        <v>169</v>
      </c>
      <c r="H28" s="10">
        <v>3.53</v>
      </c>
      <c r="I28" s="10">
        <v>3.33</v>
      </c>
      <c r="J28" s="3">
        <f t="shared" si="1"/>
        <v>6.86</v>
      </c>
      <c r="L28" s="3">
        <f t="shared" si="2"/>
        <v>0</v>
      </c>
    </row>
    <row r="29">
      <c r="A29" s="34">
        <v>28.0</v>
      </c>
      <c r="B29" s="37">
        <v>2018.0</v>
      </c>
      <c r="C29" s="34">
        <v>1.0</v>
      </c>
      <c r="D29" s="34">
        <v>1.0</v>
      </c>
      <c r="E29" s="34">
        <v>10.0</v>
      </c>
      <c r="F29" s="35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  <c r="L29" s="3">
        <f t="shared" si="2"/>
        <v>0</v>
      </c>
    </row>
    <row r="30">
      <c r="A30" s="34">
        <v>29.0</v>
      </c>
      <c r="B30" s="37">
        <v>2018.0</v>
      </c>
      <c r="C30" s="34">
        <v>1.0</v>
      </c>
      <c r="D30" s="34">
        <v>1.0</v>
      </c>
      <c r="E30" s="34">
        <v>10.0</v>
      </c>
      <c r="F30" s="35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  <c r="L30" s="3">
        <f t="shared" si="2"/>
        <v>0</v>
      </c>
    </row>
    <row r="31">
      <c r="A31" s="34">
        <v>30.0</v>
      </c>
      <c r="B31" s="37">
        <v>2018.0</v>
      </c>
      <c r="C31" s="34">
        <v>1.0</v>
      </c>
      <c r="D31" s="34">
        <v>1.0</v>
      </c>
      <c r="E31" s="34">
        <v>10.0</v>
      </c>
      <c r="F31" s="35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  <c r="L31" s="3">
        <f t="shared" si="2"/>
        <v>0</v>
      </c>
    </row>
    <row r="32">
      <c r="A32" s="34">
        <v>31.0</v>
      </c>
      <c r="B32" s="37">
        <v>2018.0</v>
      </c>
      <c r="C32" s="34">
        <v>1.0</v>
      </c>
      <c r="D32" s="34">
        <v>1.0</v>
      </c>
      <c r="E32" s="34">
        <v>11.0</v>
      </c>
      <c r="F32" s="35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  <c r="L32" s="3">
        <f t="shared" si="2"/>
        <v>0</v>
      </c>
    </row>
    <row r="33">
      <c r="A33" s="34">
        <v>32.0</v>
      </c>
      <c r="B33" s="37">
        <v>2018.0</v>
      </c>
      <c r="C33" s="34">
        <v>1.0</v>
      </c>
      <c r="D33" s="34">
        <v>1.0</v>
      </c>
      <c r="E33" s="34">
        <v>11.0</v>
      </c>
      <c r="F33" s="35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  <c r="L33" s="3">
        <f t="shared" si="2"/>
        <v>0</v>
      </c>
    </row>
    <row r="34">
      <c r="A34" s="34">
        <v>33.0</v>
      </c>
      <c r="B34" s="37">
        <v>2018.0</v>
      </c>
      <c r="C34" s="34">
        <v>1.0</v>
      </c>
      <c r="D34" s="34">
        <v>1.0</v>
      </c>
      <c r="E34" s="34">
        <v>11.0</v>
      </c>
      <c r="F34" s="35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  <c r="L34" s="3">
        <f t="shared" si="2"/>
        <v>0</v>
      </c>
    </row>
    <row r="35">
      <c r="A35" s="34">
        <v>34.0</v>
      </c>
      <c r="B35" s="37">
        <v>2018.0</v>
      </c>
      <c r="C35" s="34">
        <v>1.0</v>
      </c>
      <c r="D35" s="34">
        <v>1.0</v>
      </c>
      <c r="E35" s="34">
        <v>12.0</v>
      </c>
      <c r="F35" s="35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  <c r="L35" s="3">
        <f t="shared" si="2"/>
        <v>0</v>
      </c>
    </row>
    <row r="36">
      <c r="A36" s="34">
        <v>35.0</v>
      </c>
      <c r="B36" s="37">
        <v>2018.0</v>
      </c>
      <c r="C36" s="34">
        <v>1.0</v>
      </c>
      <c r="D36" s="34">
        <v>1.0</v>
      </c>
      <c r="E36" s="34">
        <v>12.0</v>
      </c>
      <c r="F36" s="35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  <c r="L36" s="3">
        <f t="shared" si="2"/>
        <v>0</v>
      </c>
    </row>
    <row r="37">
      <c r="A37" s="34">
        <v>36.0</v>
      </c>
      <c r="B37" s="37">
        <v>2018.0</v>
      </c>
      <c r="C37" s="34">
        <v>1.0</v>
      </c>
      <c r="D37" s="34">
        <v>1.0</v>
      </c>
      <c r="E37" s="34">
        <v>12.0</v>
      </c>
      <c r="F37" s="35" t="s">
        <v>16</v>
      </c>
      <c r="G37" s="10" t="s">
        <v>142</v>
      </c>
      <c r="H37" s="10">
        <v>5.3</v>
      </c>
      <c r="I37" s="10">
        <v>4.5</v>
      </c>
      <c r="J37" s="3">
        <f t="shared" si="1"/>
        <v>9.8</v>
      </c>
      <c r="L37" s="3">
        <f t="shared" si="2"/>
        <v>0</v>
      </c>
    </row>
    <row r="38">
      <c r="A38" s="34">
        <v>37.0</v>
      </c>
      <c r="B38" s="37">
        <v>2018.0</v>
      </c>
      <c r="C38" s="34">
        <v>1.0</v>
      </c>
      <c r="D38" s="34">
        <v>2.0</v>
      </c>
      <c r="E38" s="34">
        <v>1.0</v>
      </c>
      <c r="F38" s="35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  <c r="L38" s="3">
        <f t="shared" si="2"/>
        <v>0</v>
      </c>
    </row>
    <row r="39">
      <c r="A39" s="34">
        <v>38.0</v>
      </c>
      <c r="B39" s="37">
        <v>2018.0</v>
      </c>
      <c r="C39" s="34">
        <v>1.0</v>
      </c>
      <c r="D39" s="34">
        <v>2.0</v>
      </c>
      <c r="E39" s="34">
        <v>1.0</v>
      </c>
      <c r="F39" s="35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  <c r="L39" s="3">
        <f t="shared" si="2"/>
        <v>15.1</v>
      </c>
    </row>
    <row r="40">
      <c r="A40" s="34">
        <v>39.0</v>
      </c>
      <c r="B40" s="37">
        <v>2018.0</v>
      </c>
      <c r="C40" s="34">
        <v>1.0</v>
      </c>
      <c r="D40" s="34">
        <v>2.0</v>
      </c>
      <c r="E40" s="34">
        <v>2.0</v>
      </c>
      <c r="F40" s="35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  <c r="L40" s="3">
        <f t="shared" si="2"/>
        <v>0</v>
      </c>
    </row>
    <row r="41">
      <c r="A41" s="34">
        <v>40.0</v>
      </c>
      <c r="B41" s="37">
        <v>2018.0</v>
      </c>
      <c r="C41" s="34">
        <v>1.0</v>
      </c>
      <c r="D41" s="34">
        <v>2.0</v>
      </c>
      <c r="E41" s="34">
        <v>2.0</v>
      </c>
      <c r="F41" s="35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  <c r="L41" s="3">
        <f t="shared" si="2"/>
        <v>0</v>
      </c>
    </row>
    <row r="42">
      <c r="A42" s="34">
        <v>41.0</v>
      </c>
      <c r="B42" s="37">
        <v>2018.0</v>
      </c>
      <c r="C42" s="34">
        <v>1.0</v>
      </c>
      <c r="D42" s="34">
        <v>2.0</v>
      </c>
      <c r="E42" s="34">
        <v>3.0</v>
      </c>
      <c r="F42" s="35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  <c r="L42" s="3">
        <f t="shared" si="2"/>
        <v>0</v>
      </c>
    </row>
    <row r="43">
      <c r="A43" s="34">
        <v>42.0</v>
      </c>
      <c r="B43" s="37">
        <v>2018.0</v>
      </c>
      <c r="C43" s="34">
        <v>1.0</v>
      </c>
      <c r="D43" s="34">
        <v>2.0</v>
      </c>
      <c r="E43" s="34">
        <v>3.0</v>
      </c>
      <c r="F43" s="35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  <c r="L43" s="3">
        <f t="shared" si="2"/>
        <v>0</v>
      </c>
    </row>
    <row r="44">
      <c r="A44" s="34">
        <v>43.0</v>
      </c>
      <c r="B44" s="37">
        <v>2018.0</v>
      </c>
      <c r="C44" s="34">
        <v>1.0</v>
      </c>
      <c r="D44" s="34">
        <v>2.0</v>
      </c>
      <c r="E44" s="34">
        <v>4.0</v>
      </c>
      <c r="F44" s="35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  <c r="L44" s="3">
        <f t="shared" si="2"/>
        <v>0</v>
      </c>
    </row>
    <row r="45">
      <c r="A45" s="34">
        <v>44.0</v>
      </c>
      <c r="B45" s="37">
        <v>2018.0</v>
      </c>
      <c r="C45" s="34">
        <v>1.0</v>
      </c>
      <c r="D45" s="34">
        <v>2.0</v>
      </c>
      <c r="E45" s="34">
        <v>4.0</v>
      </c>
      <c r="F45" s="35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  <c r="L45" s="3">
        <f t="shared" si="2"/>
        <v>0</v>
      </c>
    </row>
    <row r="46">
      <c r="A46" s="34">
        <v>45.0</v>
      </c>
      <c r="B46" s="37">
        <v>2018.0</v>
      </c>
      <c r="C46" s="34">
        <v>1.0</v>
      </c>
      <c r="D46" s="34">
        <v>2.0</v>
      </c>
      <c r="E46" s="34">
        <v>5.0</v>
      </c>
      <c r="F46" s="35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  <c r="L46" s="3">
        <f t="shared" si="2"/>
        <v>0</v>
      </c>
    </row>
    <row r="47">
      <c r="A47" s="34">
        <v>46.0</v>
      </c>
      <c r="B47" s="37">
        <v>2018.0</v>
      </c>
      <c r="C47" s="34">
        <v>1.0</v>
      </c>
      <c r="D47" s="34">
        <v>2.0</v>
      </c>
      <c r="E47" s="34">
        <v>5.0</v>
      </c>
      <c r="F47" s="35" t="s">
        <v>16</v>
      </c>
      <c r="G47" s="10" t="s">
        <v>177</v>
      </c>
      <c r="H47" s="10">
        <v>5.67</v>
      </c>
      <c r="I47" s="10">
        <v>4.0</v>
      </c>
      <c r="J47" s="3">
        <f t="shared" si="1"/>
        <v>9.67</v>
      </c>
      <c r="L47" s="3">
        <f t="shared" si="2"/>
        <v>0</v>
      </c>
    </row>
    <row r="48">
      <c r="A48" s="34">
        <v>47.0</v>
      </c>
      <c r="B48" s="37">
        <v>2018.0</v>
      </c>
      <c r="C48" s="34">
        <v>1.0</v>
      </c>
      <c r="D48" s="34">
        <v>2.0</v>
      </c>
      <c r="E48" s="34">
        <v>6.0</v>
      </c>
      <c r="F48" s="35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  <c r="L48" s="3">
        <f t="shared" si="2"/>
        <v>0</v>
      </c>
    </row>
    <row r="49">
      <c r="A49" s="34">
        <v>48.0</v>
      </c>
      <c r="B49" s="37">
        <v>2018.0</v>
      </c>
      <c r="C49" s="34">
        <v>1.0</v>
      </c>
      <c r="D49" s="34">
        <v>2.0</v>
      </c>
      <c r="E49" s="34">
        <v>6.0</v>
      </c>
      <c r="F49" s="35" t="s">
        <v>16</v>
      </c>
      <c r="G49" s="10" t="s">
        <v>176</v>
      </c>
      <c r="H49" s="10">
        <v>8.0</v>
      </c>
      <c r="I49" s="10">
        <v>6.67</v>
      </c>
      <c r="J49" s="3">
        <f t="shared" si="1"/>
        <v>14.67</v>
      </c>
      <c r="L49" s="3">
        <f t="shared" si="2"/>
        <v>0</v>
      </c>
    </row>
    <row r="50">
      <c r="A50" s="34">
        <v>49.0</v>
      </c>
      <c r="B50" s="37">
        <v>2018.0</v>
      </c>
      <c r="C50" s="34">
        <v>1.0</v>
      </c>
      <c r="D50" s="34">
        <v>2.0</v>
      </c>
      <c r="E50" s="34">
        <v>7.0</v>
      </c>
      <c r="F50" s="35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  <c r="L50" s="3">
        <f t="shared" si="2"/>
        <v>0</v>
      </c>
    </row>
    <row r="51">
      <c r="A51" s="34">
        <v>50.0</v>
      </c>
      <c r="B51" s="37">
        <v>2018.0</v>
      </c>
      <c r="C51" s="34">
        <v>1.0</v>
      </c>
      <c r="D51" s="34">
        <v>2.0</v>
      </c>
      <c r="E51" s="34">
        <v>7.0</v>
      </c>
      <c r="F51" s="35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  <c r="L51" s="3">
        <f t="shared" si="2"/>
        <v>0</v>
      </c>
    </row>
    <row r="52">
      <c r="A52" s="34">
        <v>51.0</v>
      </c>
      <c r="B52" s="37">
        <v>2018.0</v>
      </c>
      <c r="C52" s="34">
        <v>1.0</v>
      </c>
      <c r="D52" s="34">
        <v>2.0</v>
      </c>
      <c r="E52" s="34">
        <v>8.0</v>
      </c>
      <c r="F52" s="35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  <c r="L52" s="3">
        <f t="shared" si="2"/>
        <v>0</v>
      </c>
    </row>
    <row r="53">
      <c r="A53" s="34">
        <v>52.0</v>
      </c>
      <c r="B53" s="37">
        <v>2018.0</v>
      </c>
      <c r="C53" s="34">
        <v>1.0</v>
      </c>
      <c r="D53" s="34">
        <v>2.0</v>
      </c>
      <c r="E53" s="34">
        <v>8.0</v>
      </c>
      <c r="F53" s="35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  <c r="L53" s="3">
        <f t="shared" si="2"/>
        <v>0</v>
      </c>
    </row>
    <row r="54">
      <c r="A54" s="34">
        <v>53.0</v>
      </c>
      <c r="B54" s="37">
        <v>2018.0</v>
      </c>
      <c r="C54" s="34">
        <v>1.0</v>
      </c>
      <c r="D54" s="34">
        <v>2.0</v>
      </c>
      <c r="E54" s="34">
        <v>9.0</v>
      </c>
      <c r="F54" s="35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  <c r="L54" s="3">
        <f t="shared" si="2"/>
        <v>0</v>
      </c>
    </row>
    <row r="55">
      <c r="A55" s="34">
        <v>54.0</v>
      </c>
      <c r="B55" s="37">
        <v>2018.0</v>
      </c>
      <c r="C55" s="34">
        <v>1.0</v>
      </c>
      <c r="D55" s="34">
        <v>2.0</v>
      </c>
      <c r="E55" s="34">
        <v>9.0</v>
      </c>
      <c r="F55" s="35" t="s">
        <v>16</v>
      </c>
      <c r="G55" s="10" t="s">
        <v>179</v>
      </c>
      <c r="H55" s="10">
        <v>6.9</v>
      </c>
      <c r="I55" s="10">
        <v>6.0</v>
      </c>
      <c r="J55" s="3">
        <f t="shared" si="1"/>
        <v>12.9</v>
      </c>
      <c r="L55" s="3">
        <f t="shared" si="2"/>
        <v>0</v>
      </c>
    </row>
    <row r="56">
      <c r="A56" s="34">
        <v>55.0</v>
      </c>
      <c r="B56" s="37">
        <v>2018.0</v>
      </c>
      <c r="C56" s="34">
        <v>1.0</v>
      </c>
      <c r="D56" s="34">
        <v>2.0</v>
      </c>
      <c r="E56" s="34">
        <v>10.0</v>
      </c>
      <c r="F56" s="35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  <c r="L56" s="3">
        <f t="shared" si="2"/>
        <v>0</v>
      </c>
    </row>
    <row r="57">
      <c r="A57" s="34">
        <v>56.0</v>
      </c>
      <c r="B57" s="37">
        <v>2018.0</v>
      </c>
      <c r="C57" s="34">
        <v>1.0</v>
      </c>
      <c r="D57" s="34">
        <v>2.0</v>
      </c>
      <c r="E57" s="34">
        <v>10.0</v>
      </c>
      <c r="F57" s="35" t="s">
        <v>16</v>
      </c>
      <c r="G57" s="10" t="s">
        <v>169</v>
      </c>
      <c r="H57" s="10">
        <v>5.6</v>
      </c>
      <c r="I57" s="10">
        <v>5.0</v>
      </c>
      <c r="J57" s="3">
        <f t="shared" si="1"/>
        <v>10.6</v>
      </c>
      <c r="L57" s="3">
        <f t="shared" si="2"/>
        <v>0</v>
      </c>
    </row>
    <row r="58">
      <c r="A58" s="34">
        <v>57.0</v>
      </c>
      <c r="B58" s="37">
        <v>2018.0</v>
      </c>
      <c r="C58" s="34">
        <v>1.0</v>
      </c>
      <c r="D58" s="34">
        <v>2.0</v>
      </c>
      <c r="E58" s="34">
        <v>11.0</v>
      </c>
      <c r="F58" s="35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  <c r="L58" s="3">
        <f t="shared" si="2"/>
        <v>0</v>
      </c>
    </row>
    <row r="59">
      <c r="A59" s="34">
        <v>58.0</v>
      </c>
      <c r="B59" s="37">
        <v>2018.0</v>
      </c>
      <c r="C59" s="34">
        <v>1.0</v>
      </c>
      <c r="D59" s="34">
        <v>2.0</v>
      </c>
      <c r="E59" s="34">
        <v>11.0</v>
      </c>
      <c r="F59" s="35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  <c r="L59" s="3">
        <f t="shared" si="2"/>
        <v>0</v>
      </c>
    </row>
    <row r="60">
      <c r="A60" s="34">
        <v>59.0</v>
      </c>
      <c r="B60" s="37">
        <v>2018.0</v>
      </c>
      <c r="C60" s="34">
        <v>1.0</v>
      </c>
      <c r="D60" s="34">
        <v>2.0</v>
      </c>
      <c r="E60" s="34">
        <v>12.0</v>
      </c>
      <c r="F60" s="35" t="s">
        <v>16</v>
      </c>
      <c r="G60" s="10" t="s">
        <v>142</v>
      </c>
      <c r="H60" s="10">
        <v>7.0</v>
      </c>
      <c r="I60" s="10">
        <v>4.13</v>
      </c>
      <c r="J60" s="3">
        <f t="shared" si="1"/>
        <v>11.13</v>
      </c>
      <c r="L60" s="3">
        <f t="shared" si="2"/>
        <v>0</v>
      </c>
    </row>
    <row r="61">
      <c r="A61" s="34">
        <v>60.0</v>
      </c>
      <c r="B61" s="37">
        <v>2018.0</v>
      </c>
      <c r="C61" s="34">
        <v>1.0</v>
      </c>
      <c r="D61" s="34">
        <v>2.0</v>
      </c>
      <c r="E61" s="34">
        <v>12.0</v>
      </c>
      <c r="F61" s="35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  <c r="L61" s="3">
        <f t="shared" si="2"/>
        <v>0</v>
      </c>
    </row>
    <row r="62">
      <c r="A62" s="34">
        <v>61.0</v>
      </c>
      <c r="B62" s="37">
        <v>2018.0</v>
      </c>
      <c r="C62" s="34">
        <v>1.0</v>
      </c>
      <c r="D62" s="34">
        <v>3.0</v>
      </c>
      <c r="E62" s="34">
        <v>1.0</v>
      </c>
      <c r="F62" s="35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  <c r="L62" s="3">
        <f t="shared" si="2"/>
        <v>0</v>
      </c>
    </row>
    <row r="63">
      <c r="A63" s="34">
        <v>62.0</v>
      </c>
      <c r="B63" s="37">
        <v>2018.0</v>
      </c>
      <c r="C63" s="34">
        <v>1.0</v>
      </c>
      <c r="D63" s="34">
        <v>3.0</v>
      </c>
      <c r="E63" s="34">
        <v>1.0</v>
      </c>
      <c r="F63" s="35" t="s">
        <v>16</v>
      </c>
      <c r="G63" s="10" t="s">
        <v>179</v>
      </c>
      <c r="H63" s="10">
        <v>5.37</v>
      </c>
      <c r="I63" s="10">
        <v>3.67</v>
      </c>
      <c r="J63" s="3">
        <f t="shared" si="1"/>
        <v>9.04</v>
      </c>
      <c r="L63" s="3">
        <f t="shared" si="2"/>
        <v>0</v>
      </c>
    </row>
    <row r="64">
      <c r="A64" s="34">
        <v>63.0</v>
      </c>
      <c r="B64" s="37">
        <v>2018.0</v>
      </c>
      <c r="C64" s="34">
        <v>1.0</v>
      </c>
      <c r="D64" s="34">
        <v>3.0</v>
      </c>
      <c r="E64" s="34">
        <v>2.0</v>
      </c>
      <c r="F64" s="35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  <c r="L64" s="3">
        <f t="shared" si="2"/>
        <v>0</v>
      </c>
    </row>
    <row r="65">
      <c r="A65" s="34">
        <v>64.0</v>
      </c>
      <c r="B65" s="37">
        <v>2018.0</v>
      </c>
      <c r="C65" s="34">
        <v>1.0</v>
      </c>
      <c r="D65" s="34">
        <v>3.0</v>
      </c>
      <c r="E65" s="34">
        <v>2.0</v>
      </c>
      <c r="F65" s="35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  <c r="L65" s="3">
        <f t="shared" si="2"/>
        <v>0</v>
      </c>
    </row>
    <row r="66">
      <c r="A66" s="34">
        <v>65.0</v>
      </c>
      <c r="B66" s="37">
        <v>2018.0</v>
      </c>
      <c r="C66" s="34">
        <v>1.0</v>
      </c>
      <c r="D66" s="34">
        <v>3.0</v>
      </c>
      <c r="E66" s="34">
        <v>3.0</v>
      </c>
      <c r="F66" s="35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  <c r="L66" s="3">
        <f t="shared" si="2"/>
        <v>0</v>
      </c>
    </row>
    <row r="67">
      <c r="A67" s="34">
        <v>66.0</v>
      </c>
      <c r="B67" s="37">
        <v>2018.0</v>
      </c>
      <c r="C67" s="34">
        <v>1.0</v>
      </c>
      <c r="D67" s="34">
        <v>3.0</v>
      </c>
      <c r="E67" s="34">
        <v>3.0</v>
      </c>
      <c r="F67" s="35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  <c r="L67" s="3">
        <f t="shared" si="2"/>
        <v>0</v>
      </c>
    </row>
    <row r="68">
      <c r="A68" s="34">
        <v>67.0</v>
      </c>
      <c r="B68" s="37">
        <v>2018.0</v>
      </c>
      <c r="C68" s="34">
        <v>1.0</v>
      </c>
      <c r="D68" s="34">
        <v>3.0</v>
      </c>
      <c r="E68" s="34">
        <v>4.0</v>
      </c>
      <c r="F68" s="35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  <c r="L68" s="3">
        <f t="shared" si="2"/>
        <v>0</v>
      </c>
    </row>
    <row r="69">
      <c r="A69" s="34">
        <v>68.0</v>
      </c>
      <c r="B69" s="37">
        <v>2018.0</v>
      </c>
      <c r="C69" s="34">
        <v>1.0</v>
      </c>
      <c r="D69" s="34">
        <v>3.0</v>
      </c>
      <c r="E69" s="34">
        <v>4.0</v>
      </c>
      <c r="F69" s="35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  <c r="L69" s="3">
        <f t="shared" si="2"/>
        <v>0</v>
      </c>
    </row>
    <row r="70">
      <c r="A70" s="34">
        <v>69.0</v>
      </c>
      <c r="B70" s="37">
        <v>2018.0</v>
      </c>
      <c r="C70" s="34">
        <v>1.0</v>
      </c>
      <c r="D70" s="34">
        <v>3.0</v>
      </c>
      <c r="E70" s="34">
        <v>5.0</v>
      </c>
      <c r="F70" s="35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  <c r="L70" s="3">
        <f t="shared" si="2"/>
        <v>0</v>
      </c>
    </row>
    <row r="71">
      <c r="A71" s="34">
        <v>70.0</v>
      </c>
      <c r="B71" s="37">
        <v>2018.0</v>
      </c>
      <c r="C71" s="34">
        <v>1.0</v>
      </c>
      <c r="D71" s="34">
        <v>3.0</v>
      </c>
      <c r="E71" s="34">
        <v>5.0</v>
      </c>
      <c r="F71" s="35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  <c r="L71" s="3">
        <f t="shared" si="2"/>
        <v>0</v>
      </c>
    </row>
    <row r="72">
      <c r="A72" s="34">
        <v>71.0</v>
      </c>
      <c r="B72" s="37">
        <v>2018.0</v>
      </c>
      <c r="C72" s="34">
        <v>1.0</v>
      </c>
      <c r="D72" s="34">
        <v>3.0</v>
      </c>
      <c r="E72" s="34">
        <v>6.0</v>
      </c>
      <c r="F72" s="35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  <c r="L72" s="3">
        <f t="shared" si="2"/>
        <v>0</v>
      </c>
    </row>
    <row r="73">
      <c r="A73" s="34">
        <v>72.0</v>
      </c>
      <c r="B73" s="37">
        <v>2018.0</v>
      </c>
      <c r="C73" s="34">
        <v>1.0</v>
      </c>
      <c r="D73" s="34">
        <v>3.0</v>
      </c>
      <c r="E73" s="34">
        <v>6.0</v>
      </c>
      <c r="F73" s="35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  <c r="L73" s="3">
        <f t="shared" si="2"/>
        <v>16.07</v>
      </c>
    </row>
    <row r="74">
      <c r="A74" s="34">
        <v>73.0</v>
      </c>
      <c r="B74" s="37">
        <v>2018.0</v>
      </c>
      <c r="C74" s="34">
        <v>1.0</v>
      </c>
      <c r="D74" s="34">
        <v>3.0</v>
      </c>
      <c r="E74" s="34">
        <v>7.0</v>
      </c>
      <c r="F74" s="35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  <c r="L74" s="3">
        <f t="shared" si="2"/>
        <v>0</v>
      </c>
    </row>
    <row r="75">
      <c r="A75" s="34">
        <v>74.0</v>
      </c>
      <c r="B75" s="37">
        <v>2018.0</v>
      </c>
      <c r="C75" s="34">
        <v>1.0</v>
      </c>
      <c r="D75" s="34">
        <v>3.0</v>
      </c>
      <c r="E75" s="34">
        <v>7.0</v>
      </c>
      <c r="F75" s="35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  <c r="L75" s="3">
        <f t="shared" si="2"/>
        <v>0</v>
      </c>
    </row>
    <row r="76">
      <c r="A76" s="34">
        <v>75.0</v>
      </c>
      <c r="B76" s="37">
        <v>2018.0</v>
      </c>
      <c r="C76" s="34">
        <v>1.0</v>
      </c>
      <c r="D76" s="34">
        <v>3.0</v>
      </c>
      <c r="E76" s="34">
        <v>8.0</v>
      </c>
      <c r="F76" s="35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  <c r="L76" s="3">
        <f t="shared" si="2"/>
        <v>0</v>
      </c>
    </row>
    <row r="77">
      <c r="A77" s="34">
        <v>76.0</v>
      </c>
      <c r="B77" s="37">
        <v>2018.0</v>
      </c>
      <c r="C77" s="34">
        <v>1.0</v>
      </c>
      <c r="D77" s="34">
        <v>3.0</v>
      </c>
      <c r="E77" s="34">
        <v>8.0</v>
      </c>
      <c r="F77" s="35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  <c r="L77" s="3">
        <f t="shared" si="2"/>
        <v>0</v>
      </c>
    </row>
    <row r="78">
      <c r="A78" s="34">
        <v>77.0</v>
      </c>
      <c r="B78" s="37">
        <v>2018.0</v>
      </c>
      <c r="C78" s="34">
        <v>1.0</v>
      </c>
      <c r="D78" s="34">
        <v>3.0</v>
      </c>
      <c r="E78" s="34">
        <v>9.0</v>
      </c>
      <c r="F78" s="35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  <c r="L78" s="3">
        <f t="shared" si="2"/>
        <v>0</v>
      </c>
    </row>
    <row r="79">
      <c r="A79" s="34">
        <v>78.0</v>
      </c>
      <c r="B79" s="37">
        <v>2018.0</v>
      </c>
      <c r="C79" s="34">
        <v>1.0</v>
      </c>
      <c r="D79" s="34">
        <v>3.0</v>
      </c>
      <c r="E79" s="34">
        <v>9.0</v>
      </c>
      <c r="F79" s="35" t="s">
        <v>16</v>
      </c>
      <c r="G79" s="10" t="s">
        <v>178</v>
      </c>
      <c r="H79" s="10">
        <v>8.07</v>
      </c>
      <c r="I79" s="10">
        <v>5.43</v>
      </c>
      <c r="J79" s="3">
        <f t="shared" si="1"/>
        <v>13.5</v>
      </c>
      <c r="L79" s="3">
        <f t="shared" si="2"/>
        <v>0</v>
      </c>
    </row>
    <row r="80">
      <c r="A80" s="34">
        <v>79.0</v>
      </c>
      <c r="B80" s="37">
        <v>2018.0</v>
      </c>
      <c r="C80" s="34">
        <v>1.0</v>
      </c>
      <c r="D80" s="34">
        <v>3.0</v>
      </c>
      <c r="E80" s="34">
        <v>10.0</v>
      </c>
      <c r="F80" s="35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  <c r="L80" s="3">
        <f t="shared" si="2"/>
        <v>0</v>
      </c>
    </row>
    <row r="81">
      <c r="A81" s="34">
        <v>80.0</v>
      </c>
      <c r="B81" s="37">
        <v>2018.0</v>
      </c>
      <c r="C81" s="34">
        <v>1.0</v>
      </c>
      <c r="D81" s="34">
        <v>3.0</v>
      </c>
      <c r="E81" s="34">
        <v>10.0</v>
      </c>
      <c r="F81" s="35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  <c r="L81" s="3">
        <f t="shared" si="2"/>
        <v>0</v>
      </c>
    </row>
    <row r="82">
      <c r="A82" s="34">
        <v>81.0</v>
      </c>
      <c r="B82" s="37">
        <v>2018.0</v>
      </c>
      <c r="C82" s="34">
        <v>1.0</v>
      </c>
      <c r="D82" s="34">
        <v>3.0</v>
      </c>
      <c r="E82" s="34">
        <v>11.0</v>
      </c>
      <c r="F82" s="35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  <c r="L82" s="3">
        <f t="shared" si="2"/>
        <v>0</v>
      </c>
    </row>
    <row r="83">
      <c r="A83" s="34">
        <v>82.0</v>
      </c>
      <c r="B83" s="37">
        <v>2018.0</v>
      </c>
      <c r="C83" s="34">
        <v>1.0</v>
      </c>
      <c r="D83" s="34">
        <v>3.0</v>
      </c>
      <c r="E83" s="34">
        <v>11.0</v>
      </c>
      <c r="F83" s="35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  <c r="L83" s="3">
        <f t="shared" si="2"/>
        <v>0</v>
      </c>
    </row>
    <row r="84">
      <c r="A84" s="34">
        <v>83.0</v>
      </c>
      <c r="B84" s="37">
        <v>2018.0</v>
      </c>
      <c r="C84" s="34">
        <v>1.0</v>
      </c>
      <c r="D84" s="34">
        <v>3.0</v>
      </c>
      <c r="E84" s="34">
        <v>12.0</v>
      </c>
      <c r="F84" s="35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  <c r="L84" s="3">
        <f t="shared" si="2"/>
        <v>0</v>
      </c>
    </row>
    <row r="85">
      <c r="A85" s="34">
        <v>84.0</v>
      </c>
      <c r="B85" s="37">
        <v>2018.0</v>
      </c>
      <c r="C85" s="34">
        <v>1.0</v>
      </c>
      <c r="D85" s="34">
        <v>3.0</v>
      </c>
      <c r="E85" s="34">
        <v>12.0</v>
      </c>
      <c r="F85" s="35" t="s">
        <v>16</v>
      </c>
      <c r="G85" s="10" t="s">
        <v>176</v>
      </c>
      <c r="H85" s="10">
        <v>8.5</v>
      </c>
      <c r="I85" s="10">
        <v>6.5</v>
      </c>
      <c r="J85" s="3">
        <f t="shared" si="1"/>
        <v>15</v>
      </c>
      <c r="L85" s="3">
        <f t="shared" si="2"/>
        <v>0</v>
      </c>
    </row>
    <row r="86">
      <c r="A86" s="34">
        <v>85.0</v>
      </c>
      <c r="B86" s="37">
        <v>2018.0</v>
      </c>
      <c r="C86" s="34">
        <v>1.0</v>
      </c>
      <c r="D86" s="34">
        <v>4.0</v>
      </c>
      <c r="E86" s="34">
        <v>1.0</v>
      </c>
      <c r="F86" s="35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  <c r="L86" s="3">
        <f t="shared" si="2"/>
        <v>0</v>
      </c>
    </row>
    <row r="87">
      <c r="A87" s="34">
        <v>86.0</v>
      </c>
      <c r="B87" s="37">
        <v>2018.0</v>
      </c>
      <c r="C87" s="34">
        <v>1.0</v>
      </c>
      <c r="D87" s="34">
        <v>4.0</v>
      </c>
      <c r="E87" s="34">
        <v>1.0</v>
      </c>
      <c r="F87" s="35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  <c r="L87" s="3">
        <f t="shared" si="2"/>
        <v>0</v>
      </c>
    </row>
    <row r="88">
      <c r="A88" s="34">
        <v>87.0</v>
      </c>
      <c r="B88" s="37">
        <v>2018.0</v>
      </c>
      <c r="C88" s="34">
        <v>1.0</v>
      </c>
      <c r="D88" s="34">
        <v>4.0</v>
      </c>
      <c r="E88" s="34">
        <v>1.0</v>
      </c>
      <c r="F88" s="35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  <c r="L88" s="3">
        <f t="shared" si="2"/>
        <v>0</v>
      </c>
    </row>
    <row r="89">
      <c r="A89" s="34">
        <v>88.0</v>
      </c>
      <c r="B89" s="37">
        <v>2018.0</v>
      </c>
      <c r="C89" s="34">
        <v>1.0</v>
      </c>
      <c r="D89" s="34">
        <v>4.0</v>
      </c>
      <c r="E89" s="34">
        <v>2.0</v>
      </c>
      <c r="F89" s="35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  <c r="L89" s="3">
        <f t="shared" si="2"/>
        <v>0</v>
      </c>
    </row>
    <row r="90">
      <c r="A90" s="34">
        <v>89.0</v>
      </c>
      <c r="B90" s="37">
        <v>2018.0</v>
      </c>
      <c r="C90" s="34">
        <v>1.0</v>
      </c>
      <c r="D90" s="34">
        <v>4.0</v>
      </c>
      <c r="E90" s="34">
        <v>2.0</v>
      </c>
      <c r="F90" s="35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  <c r="L90" s="3">
        <f t="shared" si="2"/>
        <v>0</v>
      </c>
    </row>
    <row r="91">
      <c r="A91" s="34">
        <v>90.0</v>
      </c>
      <c r="B91" s="37">
        <v>2018.0</v>
      </c>
      <c r="C91" s="34">
        <v>1.0</v>
      </c>
      <c r="D91" s="34">
        <v>4.0</v>
      </c>
      <c r="E91" s="34">
        <v>2.0</v>
      </c>
      <c r="F91" s="35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  <c r="L91" s="3">
        <f t="shared" si="2"/>
        <v>11.2</v>
      </c>
    </row>
    <row r="92">
      <c r="A92" s="34">
        <v>91.0</v>
      </c>
      <c r="B92" s="37">
        <v>2018.0</v>
      </c>
      <c r="C92" s="34">
        <v>1.0</v>
      </c>
      <c r="D92" s="34">
        <v>4.0</v>
      </c>
      <c r="E92" s="34">
        <v>3.0</v>
      </c>
      <c r="F92" s="35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  <c r="L92" s="3">
        <f t="shared" si="2"/>
        <v>0</v>
      </c>
    </row>
    <row r="93">
      <c r="A93" s="34">
        <v>92.0</v>
      </c>
      <c r="B93" s="37">
        <v>2018.0</v>
      </c>
      <c r="C93" s="34">
        <v>1.0</v>
      </c>
      <c r="D93" s="34">
        <v>4.0</v>
      </c>
      <c r="E93" s="34">
        <v>3.0</v>
      </c>
      <c r="F93" s="35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  <c r="L93" s="3">
        <f t="shared" si="2"/>
        <v>0</v>
      </c>
    </row>
    <row r="94">
      <c r="A94" s="34">
        <v>93.0</v>
      </c>
      <c r="B94" s="37">
        <v>2018.0</v>
      </c>
      <c r="C94" s="34">
        <v>1.0</v>
      </c>
      <c r="D94" s="34">
        <v>4.0</v>
      </c>
      <c r="E94" s="34">
        <v>3.0</v>
      </c>
      <c r="F94" s="35" t="s">
        <v>16</v>
      </c>
      <c r="G94" s="10" t="s">
        <v>178</v>
      </c>
      <c r="H94" s="10">
        <v>7.5</v>
      </c>
      <c r="I94" s="10">
        <v>6.33</v>
      </c>
      <c r="J94" s="3">
        <f t="shared" si="1"/>
        <v>13.83</v>
      </c>
      <c r="L94" s="3">
        <f t="shared" si="2"/>
        <v>0</v>
      </c>
    </row>
    <row r="95">
      <c r="A95" s="34">
        <v>94.0</v>
      </c>
      <c r="B95" s="37">
        <v>2018.0</v>
      </c>
      <c r="C95" s="34">
        <v>1.0</v>
      </c>
      <c r="D95" s="34">
        <v>4.0</v>
      </c>
      <c r="E95" s="34">
        <v>4.0</v>
      </c>
      <c r="F95" s="35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  <c r="L95" s="3">
        <f t="shared" si="2"/>
        <v>0</v>
      </c>
    </row>
    <row r="96">
      <c r="A96" s="34">
        <v>95.0</v>
      </c>
      <c r="B96" s="37">
        <v>2018.0</v>
      </c>
      <c r="C96" s="34">
        <v>1.0</v>
      </c>
      <c r="D96" s="34">
        <v>4.0</v>
      </c>
      <c r="E96" s="34">
        <v>4.0</v>
      </c>
      <c r="F96" s="35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  <c r="L96" s="3">
        <f t="shared" si="2"/>
        <v>0</v>
      </c>
    </row>
    <row r="97">
      <c r="A97" s="34">
        <v>96.0</v>
      </c>
      <c r="B97" s="37">
        <v>2018.0</v>
      </c>
      <c r="C97" s="34">
        <v>1.0</v>
      </c>
      <c r="D97" s="34">
        <v>4.0</v>
      </c>
      <c r="E97" s="34">
        <v>4.0</v>
      </c>
      <c r="F97" s="35" t="s">
        <v>16</v>
      </c>
      <c r="G97" s="10" t="s">
        <v>176</v>
      </c>
      <c r="H97" s="10">
        <v>7.6</v>
      </c>
      <c r="I97" s="10">
        <v>6.23</v>
      </c>
      <c r="J97" s="3">
        <f t="shared" si="1"/>
        <v>13.83</v>
      </c>
      <c r="L97" s="3">
        <f t="shared" si="2"/>
        <v>0</v>
      </c>
    </row>
    <row r="98">
      <c r="A98" s="34">
        <v>97.0</v>
      </c>
      <c r="B98" s="37">
        <v>2018.0</v>
      </c>
      <c r="C98" s="34">
        <v>1.0</v>
      </c>
      <c r="D98" s="34">
        <v>5.0</v>
      </c>
      <c r="E98" s="34">
        <v>1.0</v>
      </c>
      <c r="F98" s="35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  <c r="L98" s="3">
        <f t="shared" si="2"/>
        <v>0</v>
      </c>
    </row>
    <row r="99">
      <c r="A99" s="34">
        <v>98.0</v>
      </c>
      <c r="B99" s="37">
        <v>2018.0</v>
      </c>
      <c r="C99" s="34">
        <v>1.0</v>
      </c>
      <c r="D99" s="34">
        <v>5.0</v>
      </c>
      <c r="E99" s="34">
        <v>1.0</v>
      </c>
      <c r="F99" s="35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  <c r="L99" s="3">
        <f t="shared" si="2"/>
        <v>0</v>
      </c>
    </row>
    <row r="100">
      <c r="A100" s="34">
        <v>99.0</v>
      </c>
      <c r="B100" s="37">
        <v>2018.0</v>
      </c>
      <c r="C100" s="34">
        <v>1.0</v>
      </c>
      <c r="D100" s="34">
        <v>5.0</v>
      </c>
      <c r="E100" s="34">
        <v>2.0</v>
      </c>
      <c r="F100" s="35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  <c r="L100" s="3">
        <f t="shared" si="2"/>
        <v>0</v>
      </c>
    </row>
    <row r="101">
      <c r="A101" s="34">
        <v>100.0</v>
      </c>
      <c r="B101" s="37">
        <v>2018.0</v>
      </c>
      <c r="C101" s="34">
        <v>1.0</v>
      </c>
      <c r="D101" s="34">
        <v>5.0</v>
      </c>
      <c r="E101" s="34">
        <v>2.0</v>
      </c>
      <c r="F101" s="35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  <c r="L101" s="3">
        <f t="shared" si="2"/>
        <v>0</v>
      </c>
    </row>
    <row r="102">
      <c r="A102" s="34">
        <v>101.0</v>
      </c>
      <c r="B102" s="37">
        <v>2018.0</v>
      </c>
      <c r="C102" s="34">
        <v>1.0</v>
      </c>
      <c r="D102" s="34">
        <v>5.0</v>
      </c>
      <c r="E102" s="34">
        <v>3.0</v>
      </c>
      <c r="F102" s="35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  <c r="L102" s="3">
        <f t="shared" si="2"/>
        <v>0</v>
      </c>
    </row>
    <row r="103">
      <c r="A103" s="34">
        <v>102.0</v>
      </c>
      <c r="B103" s="37">
        <v>2018.0</v>
      </c>
      <c r="C103" s="34">
        <v>1.0</v>
      </c>
      <c r="D103" s="34">
        <v>5.0</v>
      </c>
      <c r="E103" s="34">
        <v>3.0</v>
      </c>
      <c r="F103" s="35" t="s">
        <v>16</v>
      </c>
      <c r="G103" s="10" t="s">
        <v>176</v>
      </c>
      <c r="H103" s="10">
        <v>5.17</v>
      </c>
      <c r="I103" s="10">
        <v>4.83</v>
      </c>
      <c r="J103" s="3">
        <f t="shared" si="1"/>
        <v>10</v>
      </c>
      <c r="L103" s="3">
        <f t="shared" si="2"/>
        <v>0</v>
      </c>
    </row>
    <row r="104">
      <c r="A104" s="34">
        <v>103.0</v>
      </c>
      <c r="B104" s="37">
        <v>2018.0</v>
      </c>
      <c r="C104" s="34">
        <v>1.0</v>
      </c>
      <c r="D104" s="34">
        <v>5.0</v>
      </c>
      <c r="E104" s="34">
        <v>4.0</v>
      </c>
      <c r="F104" s="35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  <c r="L104" s="3">
        <f t="shared" si="2"/>
        <v>0</v>
      </c>
    </row>
    <row r="105">
      <c r="A105" s="34">
        <v>104.0</v>
      </c>
      <c r="B105" s="37">
        <v>2018.0</v>
      </c>
      <c r="C105" s="34">
        <v>1.0</v>
      </c>
      <c r="D105" s="34">
        <v>5.0</v>
      </c>
      <c r="E105" s="34">
        <v>4.0</v>
      </c>
      <c r="F105" s="35" t="s">
        <v>16</v>
      </c>
      <c r="G105" s="10" t="s">
        <v>178</v>
      </c>
      <c r="H105" s="10">
        <v>10.0</v>
      </c>
      <c r="I105" s="10">
        <v>6.43</v>
      </c>
      <c r="J105" s="3">
        <f t="shared" si="1"/>
        <v>16.43</v>
      </c>
      <c r="L105" s="3">
        <f t="shared" si="2"/>
        <v>0</v>
      </c>
    </row>
    <row r="106">
      <c r="A106" s="34">
        <v>105.0</v>
      </c>
      <c r="B106" s="37">
        <v>2018.0</v>
      </c>
      <c r="C106" s="34">
        <v>1.0</v>
      </c>
      <c r="D106" s="37">
        <v>6.0</v>
      </c>
      <c r="E106" s="34">
        <v>1.0</v>
      </c>
      <c r="F106" s="35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  <c r="L106" s="3">
        <f t="shared" si="2"/>
        <v>0</v>
      </c>
    </row>
    <row r="107">
      <c r="A107" s="34">
        <v>106.0</v>
      </c>
      <c r="B107" s="37">
        <v>2018.0</v>
      </c>
      <c r="C107" s="34">
        <v>1.0</v>
      </c>
      <c r="D107" s="37">
        <v>6.0</v>
      </c>
      <c r="E107" s="34">
        <v>1.0</v>
      </c>
      <c r="F107" s="35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  <c r="L107" s="3">
        <f t="shared" si="2"/>
        <v>0</v>
      </c>
    </row>
    <row r="108">
      <c r="A108" s="34">
        <v>107.0</v>
      </c>
      <c r="B108" s="37">
        <v>2018.0</v>
      </c>
      <c r="C108" s="34">
        <v>1.0</v>
      </c>
      <c r="D108" s="37">
        <v>6.0</v>
      </c>
      <c r="E108" s="34">
        <v>2.0</v>
      </c>
      <c r="F108" s="35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  <c r="L108" s="3">
        <f t="shared" si="2"/>
        <v>0</v>
      </c>
    </row>
    <row r="109">
      <c r="A109" s="34">
        <v>108.0</v>
      </c>
      <c r="B109" s="37">
        <v>2018.0</v>
      </c>
      <c r="C109" s="34">
        <v>1.0</v>
      </c>
      <c r="D109" s="37">
        <v>6.0</v>
      </c>
      <c r="E109" s="34">
        <v>2.0</v>
      </c>
      <c r="F109" s="35" t="s">
        <v>16</v>
      </c>
      <c r="G109" s="10" t="s">
        <v>178</v>
      </c>
      <c r="H109" s="10">
        <v>6.23</v>
      </c>
      <c r="I109" s="10">
        <v>5.43</v>
      </c>
      <c r="J109" s="3">
        <f t="shared" si="1"/>
        <v>11.66</v>
      </c>
      <c r="L109" s="3">
        <f t="shared" si="2"/>
        <v>0</v>
      </c>
    </row>
    <row r="110">
      <c r="A110" s="34">
        <v>109.0</v>
      </c>
      <c r="B110" s="37">
        <v>2018.0</v>
      </c>
      <c r="C110" s="34">
        <v>1.0</v>
      </c>
      <c r="D110" s="37">
        <v>7.0</v>
      </c>
      <c r="E110" s="37">
        <v>1.0</v>
      </c>
      <c r="F110" s="35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  <c r="L110" s="3">
        <f t="shared" si="2"/>
        <v>0</v>
      </c>
    </row>
    <row r="111">
      <c r="A111" s="34">
        <v>110.0</v>
      </c>
      <c r="B111" s="37">
        <v>2018.0</v>
      </c>
      <c r="C111" s="34">
        <v>1.0</v>
      </c>
      <c r="D111" s="37">
        <v>7.0</v>
      </c>
      <c r="E111" s="37">
        <v>1.0</v>
      </c>
      <c r="F111" s="35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>
        <f t="shared" si="2"/>
        <v>0</v>
      </c>
      <c r="M111" s="3">
        <f>SUM(L2:L111)</f>
        <v>44.37</v>
      </c>
    </row>
    <row r="112">
      <c r="A112" s="34">
        <v>119.0</v>
      </c>
      <c r="B112" s="37">
        <v>2018.0</v>
      </c>
      <c r="C112" s="34">
        <v>2.0</v>
      </c>
      <c r="D112" s="34">
        <v>1.0</v>
      </c>
      <c r="E112" s="34">
        <v>1.0</v>
      </c>
      <c r="F112" s="35" t="s">
        <v>16</v>
      </c>
      <c r="G112" s="55" t="s">
        <v>33</v>
      </c>
      <c r="H112" s="10">
        <v>6.17</v>
      </c>
      <c r="I112" s="10">
        <v>5.33</v>
      </c>
      <c r="J112" s="3">
        <f t="shared" si="1"/>
        <v>11.5</v>
      </c>
      <c r="L112" s="3">
        <f t="shared" ref="L112:L221" si="3">IF(G112="Carl Wright",J112,0)</f>
        <v>0</v>
      </c>
    </row>
    <row r="113">
      <c r="A113" s="34">
        <v>120.0</v>
      </c>
      <c r="B113" s="37">
        <v>2018.0</v>
      </c>
      <c r="C113" s="34">
        <v>2.0</v>
      </c>
      <c r="D113" s="34">
        <v>1.0</v>
      </c>
      <c r="E113" s="34">
        <v>1.0</v>
      </c>
      <c r="F113" s="35" t="s">
        <v>16</v>
      </c>
      <c r="G113" s="10" t="s">
        <v>178</v>
      </c>
      <c r="H113" s="10">
        <v>7.0</v>
      </c>
      <c r="I113" s="10">
        <v>5.53</v>
      </c>
      <c r="J113" s="3">
        <f t="shared" si="1"/>
        <v>12.53</v>
      </c>
      <c r="L113" s="3">
        <f t="shared" si="3"/>
        <v>0</v>
      </c>
    </row>
    <row r="114">
      <c r="A114" s="34">
        <v>121.0</v>
      </c>
      <c r="B114" s="37">
        <v>2018.0</v>
      </c>
      <c r="C114" s="34">
        <v>2.0</v>
      </c>
      <c r="D114" s="34">
        <v>1.0</v>
      </c>
      <c r="E114" s="34">
        <v>1.0</v>
      </c>
      <c r="F114" s="35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  <c r="L114" s="3">
        <f t="shared" si="3"/>
        <v>0</v>
      </c>
    </row>
    <row r="115">
      <c r="A115" s="34">
        <v>122.0</v>
      </c>
      <c r="B115" s="37">
        <v>2018.0</v>
      </c>
      <c r="C115" s="34">
        <v>2.0</v>
      </c>
      <c r="D115" s="34">
        <v>1.0</v>
      </c>
      <c r="E115" s="34">
        <v>2.0</v>
      </c>
      <c r="F115" s="35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  <c r="L115" s="3">
        <f t="shared" si="3"/>
        <v>0</v>
      </c>
    </row>
    <row r="116">
      <c r="A116" s="34">
        <v>123.0</v>
      </c>
      <c r="B116" s="37">
        <v>2018.0</v>
      </c>
      <c r="C116" s="34">
        <v>2.0</v>
      </c>
      <c r="D116" s="34">
        <v>1.0</v>
      </c>
      <c r="E116" s="34">
        <v>2.0</v>
      </c>
      <c r="F116" s="35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  <c r="L116" s="3">
        <f t="shared" si="3"/>
        <v>0</v>
      </c>
    </row>
    <row r="117">
      <c r="A117" s="34">
        <v>124.0</v>
      </c>
      <c r="B117" s="37">
        <v>2018.0</v>
      </c>
      <c r="C117" s="34">
        <v>2.0</v>
      </c>
      <c r="D117" s="34">
        <v>1.0</v>
      </c>
      <c r="E117" s="34">
        <v>2.0</v>
      </c>
      <c r="F117" s="35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  <c r="L117" s="3">
        <f t="shared" si="3"/>
        <v>0</v>
      </c>
    </row>
    <row r="118">
      <c r="A118" s="34">
        <v>125.0</v>
      </c>
      <c r="B118" s="37">
        <v>2018.0</v>
      </c>
      <c r="C118" s="34">
        <v>2.0</v>
      </c>
      <c r="D118" s="34">
        <v>1.0</v>
      </c>
      <c r="E118" s="34">
        <v>3.0</v>
      </c>
      <c r="F118" s="35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  <c r="L118" s="3">
        <f t="shared" si="3"/>
        <v>0</v>
      </c>
    </row>
    <row r="119">
      <c r="A119" s="34">
        <v>126.0</v>
      </c>
      <c r="B119" s="37">
        <v>2018.0</v>
      </c>
      <c r="C119" s="34">
        <v>2.0</v>
      </c>
      <c r="D119" s="34">
        <v>1.0</v>
      </c>
      <c r="E119" s="34">
        <v>3.0</v>
      </c>
      <c r="F119" s="35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  <c r="L119" s="3">
        <f t="shared" si="3"/>
        <v>0</v>
      </c>
    </row>
    <row r="120">
      <c r="A120" s="34">
        <v>127.0</v>
      </c>
      <c r="B120" s="37">
        <v>2018.0</v>
      </c>
      <c r="C120" s="34">
        <v>2.0</v>
      </c>
      <c r="D120" s="34">
        <v>1.0</v>
      </c>
      <c r="E120" s="34">
        <v>3.0</v>
      </c>
      <c r="F120" s="35" t="s">
        <v>16</v>
      </c>
      <c r="G120" s="10" t="s">
        <v>177</v>
      </c>
      <c r="H120" s="10">
        <v>7.5</v>
      </c>
      <c r="I120" s="10">
        <v>6.77</v>
      </c>
      <c r="J120" s="3">
        <f t="shared" si="1"/>
        <v>14.27</v>
      </c>
      <c r="L120" s="3">
        <f t="shared" si="3"/>
        <v>0</v>
      </c>
    </row>
    <row r="121">
      <c r="A121" s="34">
        <v>128.0</v>
      </c>
      <c r="B121" s="37">
        <v>2018.0</v>
      </c>
      <c r="C121" s="34">
        <v>2.0</v>
      </c>
      <c r="D121" s="34">
        <v>1.0</v>
      </c>
      <c r="E121" s="34">
        <v>4.0</v>
      </c>
      <c r="F121" s="35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  <c r="L121" s="3">
        <f t="shared" si="3"/>
        <v>0</v>
      </c>
    </row>
    <row r="122">
      <c r="A122" s="34">
        <v>129.0</v>
      </c>
      <c r="B122" s="37">
        <v>2018.0</v>
      </c>
      <c r="C122" s="34">
        <v>2.0</v>
      </c>
      <c r="D122" s="34">
        <v>1.0</v>
      </c>
      <c r="E122" s="34">
        <v>4.0</v>
      </c>
      <c r="F122" s="35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  <c r="L122" s="3">
        <f t="shared" si="3"/>
        <v>0</v>
      </c>
    </row>
    <row r="123">
      <c r="A123" s="34">
        <v>130.0</v>
      </c>
      <c r="B123" s="37">
        <v>2018.0</v>
      </c>
      <c r="C123" s="34">
        <v>2.0</v>
      </c>
      <c r="D123" s="34">
        <v>1.0</v>
      </c>
      <c r="E123" s="34">
        <v>4.0</v>
      </c>
      <c r="F123" s="35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  <c r="L123" s="3">
        <f t="shared" si="3"/>
        <v>0</v>
      </c>
    </row>
    <row r="124">
      <c r="A124" s="34">
        <v>131.0</v>
      </c>
      <c r="B124" s="37">
        <v>2018.0</v>
      </c>
      <c r="C124" s="34">
        <v>2.0</v>
      </c>
      <c r="D124" s="34">
        <v>1.0</v>
      </c>
      <c r="E124" s="34">
        <v>5.0</v>
      </c>
      <c r="F124" s="35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  <c r="L124" s="3">
        <f t="shared" si="3"/>
        <v>0</v>
      </c>
    </row>
    <row r="125">
      <c r="A125" s="34">
        <v>132.0</v>
      </c>
      <c r="B125" s="37">
        <v>2018.0</v>
      </c>
      <c r="C125" s="34">
        <v>2.0</v>
      </c>
      <c r="D125" s="34">
        <v>1.0</v>
      </c>
      <c r="E125" s="34">
        <v>5.0</v>
      </c>
      <c r="F125" s="35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  <c r="L125" s="3">
        <f t="shared" si="3"/>
        <v>0</v>
      </c>
    </row>
    <row r="126">
      <c r="A126" s="34">
        <v>133.0</v>
      </c>
      <c r="B126" s="37">
        <v>2018.0</v>
      </c>
      <c r="C126" s="34">
        <v>2.0</v>
      </c>
      <c r="D126" s="34">
        <v>1.0</v>
      </c>
      <c r="E126" s="34">
        <v>5.0</v>
      </c>
      <c r="F126" s="35" t="s">
        <v>16</v>
      </c>
      <c r="G126" s="10" t="s">
        <v>180</v>
      </c>
      <c r="H126" s="10">
        <v>4.17</v>
      </c>
      <c r="I126" s="10">
        <v>4.17</v>
      </c>
      <c r="J126" s="3">
        <f t="shared" si="1"/>
        <v>8.34</v>
      </c>
      <c r="L126" s="3">
        <f t="shared" si="3"/>
        <v>0</v>
      </c>
    </row>
    <row r="127">
      <c r="A127" s="34">
        <v>134.0</v>
      </c>
      <c r="B127" s="37">
        <v>2018.0</v>
      </c>
      <c r="C127" s="34">
        <v>2.0</v>
      </c>
      <c r="D127" s="34">
        <v>1.0</v>
      </c>
      <c r="E127" s="34">
        <v>6.0</v>
      </c>
      <c r="F127" s="35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  <c r="L127" s="3">
        <f t="shared" si="3"/>
        <v>0</v>
      </c>
    </row>
    <row r="128">
      <c r="A128" s="34">
        <v>135.0</v>
      </c>
      <c r="B128" s="37">
        <v>2018.0</v>
      </c>
      <c r="C128" s="34">
        <v>2.0</v>
      </c>
      <c r="D128" s="34">
        <v>1.0</v>
      </c>
      <c r="E128" s="34">
        <v>6.0</v>
      </c>
      <c r="F128" s="35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  <c r="L128" s="3">
        <f t="shared" si="3"/>
        <v>0</v>
      </c>
    </row>
    <row r="129">
      <c r="A129" s="34">
        <v>136.0</v>
      </c>
      <c r="B129" s="37">
        <v>2018.0</v>
      </c>
      <c r="C129" s="34">
        <v>2.0</v>
      </c>
      <c r="D129" s="34">
        <v>1.0</v>
      </c>
      <c r="E129" s="34">
        <v>6.0</v>
      </c>
      <c r="F129" s="35" t="s">
        <v>16</v>
      </c>
      <c r="G129" s="10" t="s">
        <v>181</v>
      </c>
      <c r="H129" s="10">
        <v>3.77</v>
      </c>
      <c r="I129" s="10">
        <v>3.23</v>
      </c>
      <c r="J129" s="3">
        <f t="shared" si="1"/>
        <v>7</v>
      </c>
      <c r="L129" s="3">
        <f t="shared" si="3"/>
        <v>7</v>
      </c>
    </row>
    <row r="130">
      <c r="A130" s="34">
        <v>137.0</v>
      </c>
      <c r="B130" s="37">
        <v>2018.0</v>
      </c>
      <c r="C130" s="34">
        <v>2.0</v>
      </c>
      <c r="D130" s="34">
        <v>1.0</v>
      </c>
      <c r="E130" s="34">
        <v>7.0</v>
      </c>
      <c r="F130" s="35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  <c r="L130" s="3">
        <f t="shared" si="3"/>
        <v>0</v>
      </c>
    </row>
    <row r="131">
      <c r="A131" s="34">
        <v>138.0</v>
      </c>
      <c r="B131" s="37">
        <v>2018.0</v>
      </c>
      <c r="C131" s="34">
        <v>2.0</v>
      </c>
      <c r="D131" s="34">
        <v>1.0</v>
      </c>
      <c r="E131" s="34">
        <v>7.0</v>
      </c>
      <c r="F131" s="35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  <c r="L131" s="3">
        <f t="shared" si="3"/>
        <v>0</v>
      </c>
    </row>
    <row r="132">
      <c r="A132" s="34">
        <v>139.0</v>
      </c>
      <c r="B132" s="37">
        <v>2018.0</v>
      </c>
      <c r="C132" s="34">
        <v>2.0</v>
      </c>
      <c r="D132" s="34">
        <v>1.0</v>
      </c>
      <c r="E132" s="34">
        <v>7.0</v>
      </c>
      <c r="F132" s="35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  <c r="L132" s="3">
        <f t="shared" si="3"/>
        <v>0</v>
      </c>
    </row>
    <row r="133">
      <c r="A133" s="34">
        <v>140.0</v>
      </c>
      <c r="B133" s="37">
        <v>2018.0</v>
      </c>
      <c r="C133" s="34">
        <v>2.0</v>
      </c>
      <c r="D133" s="34">
        <v>1.0</v>
      </c>
      <c r="E133" s="34">
        <v>8.0</v>
      </c>
      <c r="F133" s="35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  <c r="L133" s="3">
        <f t="shared" si="3"/>
        <v>0</v>
      </c>
    </row>
    <row r="134">
      <c r="A134" s="34">
        <v>141.0</v>
      </c>
      <c r="B134" s="37">
        <v>2018.0</v>
      </c>
      <c r="C134" s="34">
        <v>2.0</v>
      </c>
      <c r="D134" s="34">
        <v>1.0</v>
      </c>
      <c r="E134" s="34">
        <v>8.0</v>
      </c>
      <c r="F134" s="35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  <c r="L134" s="3">
        <f t="shared" si="3"/>
        <v>0</v>
      </c>
    </row>
    <row r="135">
      <c r="A135" s="34">
        <v>142.0</v>
      </c>
      <c r="B135" s="37">
        <v>2018.0</v>
      </c>
      <c r="C135" s="34">
        <v>2.0</v>
      </c>
      <c r="D135" s="34">
        <v>1.0</v>
      </c>
      <c r="E135" s="34">
        <v>8.0</v>
      </c>
      <c r="F135" s="35" t="s">
        <v>16</v>
      </c>
      <c r="G135" s="10" t="s">
        <v>169</v>
      </c>
      <c r="H135" s="10">
        <v>5.23</v>
      </c>
      <c r="I135" s="10">
        <v>4.93</v>
      </c>
      <c r="J135" s="3">
        <f t="shared" si="1"/>
        <v>10.16</v>
      </c>
      <c r="L135" s="3">
        <f t="shared" si="3"/>
        <v>0</v>
      </c>
    </row>
    <row r="136">
      <c r="A136" s="34">
        <v>143.0</v>
      </c>
      <c r="B136" s="37">
        <v>2018.0</v>
      </c>
      <c r="C136" s="34">
        <v>2.0</v>
      </c>
      <c r="D136" s="34">
        <v>1.0</v>
      </c>
      <c r="E136" s="34">
        <v>9.0</v>
      </c>
      <c r="F136" s="35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  <c r="L136" s="3">
        <f t="shared" si="3"/>
        <v>0</v>
      </c>
    </row>
    <row r="137">
      <c r="A137" s="34">
        <v>144.0</v>
      </c>
      <c r="B137" s="37">
        <v>2018.0</v>
      </c>
      <c r="C137" s="34">
        <v>2.0</v>
      </c>
      <c r="D137" s="34">
        <v>1.0</v>
      </c>
      <c r="E137" s="34">
        <v>9.0</v>
      </c>
      <c r="F137" s="35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  <c r="L137" s="3">
        <f t="shared" si="3"/>
        <v>0</v>
      </c>
    </row>
    <row r="138">
      <c r="A138" s="34">
        <v>145.0</v>
      </c>
      <c r="B138" s="37">
        <v>2018.0</v>
      </c>
      <c r="C138" s="34">
        <v>2.0</v>
      </c>
      <c r="D138" s="34">
        <v>1.0</v>
      </c>
      <c r="E138" s="34">
        <v>9.0</v>
      </c>
      <c r="F138" s="35" t="s">
        <v>16</v>
      </c>
      <c r="G138" s="10" t="s">
        <v>179</v>
      </c>
      <c r="H138" s="10">
        <v>6.0</v>
      </c>
      <c r="I138" s="10">
        <v>5.53</v>
      </c>
      <c r="J138" s="3">
        <f t="shared" si="1"/>
        <v>11.53</v>
      </c>
      <c r="L138" s="3">
        <f t="shared" si="3"/>
        <v>0</v>
      </c>
    </row>
    <row r="139">
      <c r="A139" s="34">
        <v>146.0</v>
      </c>
      <c r="B139" s="37">
        <v>2018.0</v>
      </c>
      <c r="C139" s="34">
        <v>2.0</v>
      </c>
      <c r="D139" s="34">
        <v>1.0</v>
      </c>
      <c r="E139" s="34">
        <v>10.0</v>
      </c>
      <c r="F139" s="35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  <c r="L139" s="3">
        <f t="shared" si="3"/>
        <v>0</v>
      </c>
    </row>
    <row r="140">
      <c r="A140" s="34">
        <v>147.0</v>
      </c>
      <c r="B140" s="37">
        <v>2018.0</v>
      </c>
      <c r="C140" s="34">
        <v>2.0</v>
      </c>
      <c r="D140" s="34">
        <v>1.0</v>
      </c>
      <c r="E140" s="34">
        <v>10.0</v>
      </c>
      <c r="F140" s="35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  <c r="L140" s="3">
        <f t="shared" si="3"/>
        <v>0</v>
      </c>
    </row>
    <row r="141">
      <c r="A141" s="34">
        <v>148.0</v>
      </c>
      <c r="B141" s="37">
        <v>2018.0</v>
      </c>
      <c r="C141" s="34">
        <v>2.0</v>
      </c>
      <c r="D141" s="34">
        <v>1.0</v>
      </c>
      <c r="E141" s="34">
        <v>10.0</v>
      </c>
      <c r="F141" s="35" t="s">
        <v>16</v>
      </c>
      <c r="G141" s="10" t="s">
        <v>176</v>
      </c>
      <c r="H141" s="10">
        <v>4.23</v>
      </c>
      <c r="I141" s="10">
        <v>3.3</v>
      </c>
      <c r="J141" s="3">
        <f t="shared" si="1"/>
        <v>7.53</v>
      </c>
      <c r="L141" s="3">
        <f t="shared" si="3"/>
        <v>0</v>
      </c>
    </row>
    <row r="142">
      <c r="A142" s="34">
        <v>149.0</v>
      </c>
      <c r="B142" s="37">
        <v>2018.0</v>
      </c>
      <c r="C142" s="34">
        <v>2.0</v>
      </c>
      <c r="D142" s="34">
        <v>1.0</v>
      </c>
      <c r="E142" s="34">
        <v>11.0</v>
      </c>
      <c r="F142" s="35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  <c r="L142" s="3">
        <f t="shared" si="3"/>
        <v>0</v>
      </c>
    </row>
    <row r="143">
      <c r="A143" s="34">
        <v>150.0</v>
      </c>
      <c r="B143" s="37">
        <v>2018.0</v>
      </c>
      <c r="C143" s="34">
        <v>2.0</v>
      </c>
      <c r="D143" s="34">
        <v>1.0</v>
      </c>
      <c r="E143" s="34">
        <v>11.0</v>
      </c>
      <c r="F143" s="35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  <c r="L143" s="3">
        <f t="shared" si="3"/>
        <v>0</v>
      </c>
    </row>
    <row r="144">
      <c r="A144" s="34">
        <v>151.0</v>
      </c>
      <c r="B144" s="37">
        <v>2018.0</v>
      </c>
      <c r="C144" s="34">
        <v>2.0</v>
      </c>
      <c r="D144" s="34">
        <v>1.0</v>
      </c>
      <c r="E144" s="34">
        <v>11.0</v>
      </c>
      <c r="F144" s="35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  <c r="L144" s="3">
        <f t="shared" si="3"/>
        <v>0</v>
      </c>
    </row>
    <row r="145">
      <c r="A145" s="34">
        <v>152.0</v>
      </c>
      <c r="B145" s="37">
        <v>2018.0</v>
      </c>
      <c r="C145" s="34">
        <v>2.0</v>
      </c>
      <c r="D145" s="34">
        <v>1.0</v>
      </c>
      <c r="E145" s="34">
        <v>12.0</v>
      </c>
      <c r="F145" s="35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  <c r="L145" s="3">
        <f t="shared" si="3"/>
        <v>0</v>
      </c>
    </row>
    <row r="146">
      <c r="A146" s="34">
        <v>153.0</v>
      </c>
      <c r="B146" s="37">
        <v>2018.0</v>
      </c>
      <c r="C146" s="34">
        <v>2.0</v>
      </c>
      <c r="D146" s="34">
        <v>1.0</v>
      </c>
      <c r="E146" s="34">
        <v>12.0</v>
      </c>
      <c r="F146" s="35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  <c r="L146" s="3">
        <f t="shared" si="3"/>
        <v>0</v>
      </c>
    </row>
    <row r="147">
      <c r="A147" s="34">
        <v>154.0</v>
      </c>
      <c r="B147" s="37">
        <v>2018.0</v>
      </c>
      <c r="C147" s="34">
        <v>2.0</v>
      </c>
      <c r="D147" s="34">
        <v>1.0</v>
      </c>
      <c r="E147" s="34">
        <v>12.0</v>
      </c>
      <c r="F147" s="35" t="s">
        <v>16</v>
      </c>
      <c r="G147" s="10" t="s">
        <v>142</v>
      </c>
      <c r="H147" s="10">
        <v>5.77</v>
      </c>
      <c r="I147" s="10">
        <v>5.5</v>
      </c>
      <c r="J147" s="3">
        <f t="shared" si="1"/>
        <v>11.27</v>
      </c>
      <c r="L147" s="3">
        <f t="shared" si="3"/>
        <v>0</v>
      </c>
    </row>
    <row r="148">
      <c r="A148" s="34">
        <v>155.0</v>
      </c>
      <c r="B148" s="37">
        <v>2018.0</v>
      </c>
      <c r="C148" s="34">
        <v>2.0</v>
      </c>
      <c r="D148" s="34">
        <v>2.0</v>
      </c>
      <c r="E148" s="34">
        <v>1.0</v>
      </c>
      <c r="F148" s="35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  <c r="L148" s="3">
        <f t="shared" si="3"/>
        <v>0</v>
      </c>
    </row>
    <row r="149">
      <c r="A149" s="34">
        <v>156.0</v>
      </c>
      <c r="B149" s="37">
        <v>2018.0</v>
      </c>
      <c r="C149" s="34">
        <v>2.0</v>
      </c>
      <c r="D149" s="34">
        <v>2.0</v>
      </c>
      <c r="E149" s="34">
        <v>1.0</v>
      </c>
      <c r="F149" s="35" t="s">
        <v>16</v>
      </c>
      <c r="G149" s="10" t="s">
        <v>181</v>
      </c>
      <c r="H149" s="10">
        <v>4.43</v>
      </c>
      <c r="I149" s="10">
        <v>3.9</v>
      </c>
      <c r="J149" s="3">
        <f t="shared" si="1"/>
        <v>8.33</v>
      </c>
      <c r="L149" s="3">
        <f t="shared" si="3"/>
        <v>8.33</v>
      </c>
    </row>
    <row r="150">
      <c r="A150" s="34">
        <v>157.0</v>
      </c>
      <c r="B150" s="37">
        <v>2018.0</v>
      </c>
      <c r="C150" s="34">
        <v>2.0</v>
      </c>
      <c r="D150" s="34">
        <v>2.0</v>
      </c>
      <c r="E150" s="34">
        <v>2.0</v>
      </c>
      <c r="F150" s="35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  <c r="L150" s="3">
        <f t="shared" si="3"/>
        <v>0</v>
      </c>
    </row>
    <row r="151">
      <c r="A151" s="34">
        <v>158.0</v>
      </c>
      <c r="B151" s="37">
        <v>2018.0</v>
      </c>
      <c r="C151" s="34">
        <v>2.0</v>
      </c>
      <c r="D151" s="34">
        <v>2.0</v>
      </c>
      <c r="E151" s="34">
        <v>2.0</v>
      </c>
      <c r="F151" s="35" t="s">
        <v>16</v>
      </c>
      <c r="G151" s="10" t="s">
        <v>180</v>
      </c>
      <c r="H151" s="10">
        <v>4.57</v>
      </c>
      <c r="I151" s="10">
        <v>4.3</v>
      </c>
      <c r="J151" s="3">
        <f t="shared" si="1"/>
        <v>8.87</v>
      </c>
      <c r="L151" s="3">
        <f t="shared" si="3"/>
        <v>0</v>
      </c>
    </row>
    <row r="152">
      <c r="A152" s="34">
        <v>159.0</v>
      </c>
      <c r="B152" s="37">
        <v>2018.0</v>
      </c>
      <c r="C152" s="34">
        <v>2.0</v>
      </c>
      <c r="D152" s="34">
        <v>2.0</v>
      </c>
      <c r="E152" s="34">
        <v>3.0</v>
      </c>
      <c r="F152" s="35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  <c r="L152" s="3">
        <f t="shared" si="3"/>
        <v>0</v>
      </c>
    </row>
    <row r="153">
      <c r="A153" s="34">
        <v>160.0</v>
      </c>
      <c r="B153" s="37">
        <v>2018.0</v>
      </c>
      <c r="C153" s="34">
        <v>2.0</v>
      </c>
      <c r="D153" s="34">
        <v>2.0</v>
      </c>
      <c r="E153" s="34">
        <v>3.0</v>
      </c>
      <c r="F153" s="35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  <c r="L153" s="3">
        <f t="shared" si="3"/>
        <v>0</v>
      </c>
    </row>
    <row r="154">
      <c r="A154" s="34">
        <v>161.0</v>
      </c>
      <c r="B154" s="37">
        <v>2018.0</v>
      </c>
      <c r="C154" s="34">
        <v>2.0</v>
      </c>
      <c r="D154" s="34">
        <v>2.0</v>
      </c>
      <c r="E154" s="34">
        <v>4.0</v>
      </c>
      <c r="F154" s="35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  <c r="L154" s="3">
        <f t="shared" si="3"/>
        <v>0</v>
      </c>
    </row>
    <row r="155">
      <c r="A155" s="34">
        <v>162.0</v>
      </c>
      <c r="B155" s="37">
        <v>2018.0</v>
      </c>
      <c r="C155" s="34">
        <v>2.0</v>
      </c>
      <c r="D155" s="34">
        <v>2.0</v>
      </c>
      <c r="E155" s="34">
        <v>4.0</v>
      </c>
      <c r="F155" s="35" t="s">
        <v>16</v>
      </c>
      <c r="G155" s="10" t="s">
        <v>177</v>
      </c>
      <c r="H155" s="10">
        <v>7.73</v>
      </c>
      <c r="I155" s="10">
        <v>6.6</v>
      </c>
      <c r="J155" s="3">
        <f t="shared" si="1"/>
        <v>14.33</v>
      </c>
      <c r="L155" s="3">
        <f t="shared" si="3"/>
        <v>0</v>
      </c>
    </row>
    <row r="156">
      <c r="A156" s="34">
        <v>163.0</v>
      </c>
      <c r="B156" s="37">
        <v>2018.0</v>
      </c>
      <c r="C156" s="34">
        <v>2.0</v>
      </c>
      <c r="D156" s="34">
        <v>2.0</v>
      </c>
      <c r="E156" s="34">
        <v>5.0</v>
      </c>
      <c r="F156" s="35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  <c r="L156" s="3">
        <f t="shared" si="3"/>
        <v>0</v>
      </c>
    </row>
    <row r="157">
      <c r="A157" s="34">
        <v>164.0</v>
      </c>
      <c r="B157" s="37">
        <v>2018.0</v>
      </c>
      <c r="C157" s="34">
        <v>2.0</v>
      </c>
      <c r="D157" s="34">
        <v>2.0</v>
      </c>
      <c r="E157" s="34">
        <v>5.0</v>
      </c>
      <c r="F157" s="35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  <c r="L157" s="3">
        <f t="shared" si="3"/>
        <v>0</v>
      </c>
    </row>
    <row r="158">
      <c r="A158" s="34">
        <v>165.0</v>
      </c>
      <c r="B158" s="37">
        <v>2018.0</v>
      </c>
      <c r="C158" s="34">
        <v>2.0</v>
      </c>
      <c r="D158" s="34">
        <v>2.0</v>
      </c>
      <c r="E158" s="34">
        <v>6.0</v>
      </c>
      <c r="F158" s="35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  <c r="L158" s="3">
        <f t="shared" si="3"/>
        <v>0</v>
      </c>
    </row>
    <row r="159">
      <c r="A159" s="34">
        <v>166.0</v>
      </c>
      <c r="B159" s="37">
        <v>2018.0</v>
      </c>
      <c r="C159" s="34">
        <v>2.0</v>
      </c>
      <c r="D159" s="34">
        <v>2.0</v>
      </c>
      <c r="E159" s="34">
        <v>6.0</v>
      </c>
      <c r="F159" s="35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  <c r="L159" s="3">
        <f t="shared" si="3"/>
        <v>0</v>
      </c>
    </row>
    <row r="160">
      <c r="A160" s="34">
        <v>167.0</v>
      </c>
      <c r="B160" s="37">
        <v>2018.0</v>
      </c>
      <c r="C160" s="34">
        <v>2.0</v>
      </c>
      <c r="D160" s="34">
        <v>2.0</v>
      </c>
      <c r="E160" s="34">
        <v>7.0</v>
      </c>
      <c r="F160" s="35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  <c r="L160" s="3">
        <f t="shared" si="3"/>
        <v>0</v>
      </c>
    </row>
    <row r="161">
      <c r="A161" s="34">
        <v>168.0</v>
      </c>
      <c r="B161" s="37">
        <v>2018.0</v>
      </c>
      <c r="C161" s="34">
        <v>2.0</v>
      </c>
      <c r="D161" s="34">
        <v>2.0</v>
      </c>
      <c r="E161" s="34">
        <v>7.0</v>
      </c>
      <c r="F161" s="35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  <c r="L161" s="3">
        <f t="shared" si="3"/>
        <v>0</v>
      </c>
    </row>
    <row r="162">
      <c r="A162" s="34">
        <v>169.0</v>
      </c>
      <c r="B162" s="37">
        <v>2018.0</v>
      </c>
      <c r="C162" s="34">
        <v>2.0</v>
      </c>
      <c r="D162" s="34">
        <v>2.0</v>
      </c>
      <c r="E162" s="34">
        <v>8.0</v>
      </c>
      <c r="F162" s="35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  <c r="L162" s="3">
        <f t="shared" si="3"/>
        <v>0</v>
      </c>
    </row>
    <row r="163">
      <c r="A163" s="34">
        <v>170.0</v>
      </c>
      <c r="B163" s="37">
        <v>2018.0</v>
      </c>
      <c r="C163" s="34">
        <v>2.0</v>
      </c>
      <c r="D163" s="34">
        <v>2.0</v>
      </c>
      <c r="E163" s="34">
        <v>8.0</v>
      </c>
      <c r="F163" s="35" t="s">
        <v>16</v>
      </c>
      <c r="G163" s="10" t="s">
        <v>169</v>
      </c>
      <c r="H163" s="10">
        <v>7.07</v>
      </c>
      <c r="I163" s="10">
        <v>6.57</v>
      </c>
      <c r="J163" s="3">
        <f t="shared" si="1"/>
        <v>13.64</v>
      </c>
      <c r="L163" s="3">
        <f t="shared" si="3"/>
        <v>0</v>
      </c>
    </row>
    <row r="164">
      <c r="A164" s="34">
        <v>171.0</v>
      </c>
      <c r="B164" s="37">
        <v>2018.0</v>
      </c>
      <c r="C164" s="34">
        <v>2.0</v>
      </c>
      <c r="D164" s="34">
        <v>2.0</v>
      </c>
      <c r="E164" s="34">
        <v>9.0</v>
      </c>
      <c r="F164" s="35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  <c r="L164" s="3">
        <f t="shared" si="3"/>
        <v>0</v>
      </c>
    </row>
    <row r="165">
      <c r="A165" s="34">
        <v>172.0</v>
      </c>
      <c r="B165" s="37">
        <v>2018.0</v>
      </c>
      <c r="C165" s="34">
        <v>2.0</v>
      </c>
      <c r="D165" s="34">
        <v>2.0</v>
      </c>
      <c r="E165" s="34">
        <v>9.0</v>
      </c>
      <c r="F165" s="35" t="s">
        <v>16</v>
      </c>
      <c r="G165" s="10" t="s">
        <v>179</v>
      </c>
      <c r="H165" s="10">
        <v>7.03</v>
      </c>
      <c r="I165" s="10">
        <v>6.33</v>
      </c>
      <c r="J165" s="3">
        <f t="shared" si="1"/>
        <v>13.36</v>
      </c>
      <c r="L165" s="3">
        <f t="shared" si="3"/>
        <v>0</v>
      </c>
    </row>
    <row r="166">
      <c r="A166" s="34">
        <v>173.0</v>
      </c>
      <c r="B166" s="37">
        <v>2018.0</v>
      </c>
      <c r="C166" s="34">
        <v>2.0</v>
      </c>
      <c r="D166" s="34">
        <v>2.0</v>
      </c>
      <c r="E166" s="34">
        <v>10.0</v>
      </c>
      <c r="F166" s="35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  <c r="L166" s="3">
        <f t="shared" si="3"/>
        <v>0</v>
      </c>
    </row>
    <row r="167">
      <c r="A167" s="34">
        <v>174.0</v>
      </c>
      <c r="B167" s="37">
        <v>2018.0</v>
      </c>
      <c r="C167" s="34">
        <v>2.0</v>
      </c>
      <c r="D167" s="34">
        <v>2.0</v>
      </c>
      <c r="E167" s="34">
        <v>10.0</v>
      </c>
      <c r="F167" s="35" t="s">
        <v>16</v>
      </c>
      <c r="G167" s="10" t="s">
        <v>176</v>
      </c>
      <c r="H167" s="10">
        <v>5.5</v>
      </c>
      <c r="I167" s="10">
        <v>4.23</v>
      </c>
      <c r="J167" s="3">
        <f t="shared" si="1"/>
        <v>9.73</v>
      </c>
      <c r="L167" s="3">
        <f t="shared" si="3"/>
        <v>0</v>
      </c>
    </row>
    <row r="168">
      <c r="A168" s="34">
        <v>175.0</v>
      </c>
      <c r="B168" s="37">
        <v>2018.0</v>
      </c>
      <c r="C168" s="34">
        <v>2.0</v>
      </c>
      <c r="D168" s="34">
        <v>2.0</v>
      </c>
      <c r="E168" s="34">
        <v>11.0</v>
      </c>
      <c r="F168" s="35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  <c r="L168" s="3">
        <f t="shared" si="3"/>
        <v>0</v>
      </c>
    </row>
    <row r="169">
      <c r="A169" s="34">
        <v>176.0</v>
      </c>
      <c r="B169" s="37">
        <v>2018.0</v>
      </c>
      <c r="C169" s="34">
        <v>2.0</v>
      </c>
      <c r="D169" s="34">
        <v>2.0</v>
      </c>
      <c r="E169" s="34">
        <v>11.0</v>
      </c>
      <c r="F169" s="35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  <c r="L169" s="3">
        <f t="shared" si="3"/>
        <v>0</v>
      </c>
    </row>
    <row r="170">
      <c r="A170" s="34">
        <v>177.0</v>
      </c>
      <c r="B170" s="37">
        <v>2018.0</v>
      </c>
      <c r="C170" s="34">
        <v>2.0</v>
      </c>
      <c r="D170" s="34">
        <v>2.0</v>
      </c>
      <c r="E170" s="34">
        <v>12.0</v>
      </c>
      <c r="F170" s="35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  <c r="L170" s="3">
        <f t="shared" si="3"/>
        <v>0</v>
      </c>
    </row>
    <row r="171">
      <c r="A171" s="34">
        <v>178.0</v>
      </c>
      <c r="B171" s="37">
        <v>2018.0</v>
      </c>
      <c r="C171" s="34">
        <v>2.0</v>
      </c>
      <c r="D171" s="34">
        <v>2.0</v>
      </c>
      <c r="E171" s="34">
        <v>12.0</v>
      </c>
      <c r="F171" s="35" t="s">
        <v>16</v>
      </c>
      <c r="G171" s="10" t="s">
        <v>142</v>
      </c>
      <c r="H171" s="10">
        <v>7.43</v>
      </c>
      <c r="I171" s="10">
        <v>6.83</v>
      </c>
      <c r="J171" s="3">
        <f t="shared" si="1"/>
        <v>14.26</v>
      </c>
      <c r="L171" s="3">
        <f t="shared" si="3"/>
        <v>0</v>
      </c>
    </row>
    <row r="172">
      <c r="A172" s="34">
        <v>179.0</v>
      </c>
      <c r="B172" s="37">
        <v>2018.0</v>
      </c>
      <c r="C172" s="34">
        <v>2.0</v>
      </c>
      <c r="D172" s="34">
        <v>3.0</v>
      </c>
      <c r="E172" s="34">
        <v>1.0</v>
      </c>
      <c r="F172" s="35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  <c r="L172" s="3">
        <f t="shared" si="3"/>
        <v>0</v>
      </c>
    </row>
    <row r="173">
      <c r="A173" s="34">
        <v>180.0</v>
      </c>
      <c r="B173" s="37">
        <v>2018.0</v>
      </c>
      <c r="C173" s="34">
        <v>2.0</v>
      </c>
      <c r="D173" s="34">
        <v>3.0</v>
      </c>
      <c r="E173" s="34">
        <v>1.0</v>
      </c>
      <c r="F173" s="35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  <c r="L173" s="3">
        <f t="shared" si="3"/>
        <v>0</v>
      </c>
    </row>
    <row r="174">
      <c r="A174" s="34">
        <v>181.0</v>
      </c>
      <c r="B174" s="37">
        <v>2018.0</v>
      </c>
      <c r="C174" s="34">
        <v>2.0</v>
      </c>
      <c r="D174" s="34">
        <v>3.0</v>
      </c>
      <c r="E174" s="34">
        <v>2.0</v>
      </c>
      <c r="F174" s="35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  <c r="L174" s="3">
        <f t="shared" si="3"/>
        <v>0</v>
      </c>
    </row>
    <row r="175">
      <c r="A175" s="34">
        <v>182.0</v>
      </c>
      <c r="B175" s="37">
        <v>2018.0</v>
      </c>
      <c r="C175" s="34">
        <v>2.0</v>
      </c>
      <c r="D175" s="34">
        <v>3.0</v>
      </c>
      <c r="E175" s="34">
        <v>2.0</v>
      </c>
      <c r="F175" s="35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  <c r="L175" s="3">
        <f t="shared" si="3"/>
        <v>0</v>
      </c>
    </row>
    <row r="176">
      <c r="A176" s="34">
        <v>183.0</v>
      </c>
      <c r="B176" s="37">
        <v>2018.0</v>
      </c>
      <c r="C176" s="34">
        <v>2.0</v>
      </c>
      <c r="D176" s="34">
        <v>3.0</v>
      </c>
      <c r="E176" s="34">
        <v>3.0</v>
      </c>
      <c r="F176" s="35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  <c r="L176" s="3">
        <f t="shared" si="3"/>
        <v>0</v>
      </c>
    </row>
    <row r="177">
      <c r="A177" s="34">
        <v>184.0</v>
      </c>
      <c r="B177" s="37">
        <v>2018.0</v>
      </c>
      <c r="C177" s="34">
        <v>2.0</v>
      </c>
      <c r="D177" s="34">
        <v>3.0</v>
      </c>
      <c r="E177" s="34">
        <v>3.0</v>
      </c>
      <c r="F177" s="35" t="s">
        <v>16</v>
      </c>
      <c r="G177" s="10" t="s">
        <v>142</v>
      </c>
      <c r="H177" s="10">
        <v>5.83</v>
      </c>
      <c r="I177" s="10">
        <v>4.5</v>
      </c>
      <c r="J177" s="3">
        <f t="shared" si="1"/>
        <v>10.33</v>
      </c>
      <c r="L177" s="3">
        <f t="shared" si="3"/>
        <v>0</v>
      </c>
    </row>
    <row r="178">
      <c r="A178" s="34">
        <v>185.0</v>
      </c>
      <c r="B178" s="37">
        <v>2018.0</v>
      </c>
      <c r="C178" s="34">
        <v>2.0</v>
      </c>
      <c r="D178" s="34">
        <v>3.0</v>
      </c>
      <c r="E178" s="34">
        <v>4.0</v>
      </c>
      <c r="F178" s="35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  <c r="L178" s="3">
        <f t="shared" si="3"/>
        <v>0</v>
      </c>
    </row>
    <row r="179">
      <c r="A179" s="34">
        <v>186.0</v>
      </c>
      <c r="B179" s="37">
        <v>2018.0</v>
      </c>
      <c r="C179" s="34">
        <v>2.0</v>
      </c>
      <c r="D179" s="34">
        <v>3.0</v>
      </c>
      <c r="E179" s="34">
        <v>4.0</v>
      </c>
      <c r="F179" s="35" t="s">
        <v>16</v>
      </c>
      <c r="G179" s="10" t="s">
        <v>178</v>
      </c>
      <c r="H179" s="10">
        <v>6.33</v>
      </c>
      <c r="I179" s="10">
        <v>6.0</v>
      </c>
      <c r="J179" s="3">
        <f t="shared" si="1"/>
        <v>12.33</v>
      </c>
      <c r="L179" s="3">
        <f t="shared" si="3"/>
        <v>0</v>
      </c>
    </row>
    <row r="180">
      <c r="A180" s="34">
        <v>187.0</v>
      </c>
      <c r="B180" s="37">
        <v>2018.0</v>
      </c>
      <c r="C180" s="34">
        <v>2.0</v>
      </c>
      <c r="D180" s="34">
        <v>3.0</v>
      </c>
      <c r="E180" s="34">
        <v>5.0</v>
      </c>
      <c r="F180" s="35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  <c r="L180" s="3">
        <f t="shared" si="3"/>
        <v>0</v>
      </c>
    </row>
    <row r="181">
      <c r="A181" s="34">
        <v>188.0</v>
      </c>
      <c r="B181" s="37">
        <v>2018.0</v>
      </c>
      <c r="C181" s="34">
        <v>2.0</v>
      </c>
      <c r="D181" s="34">
        <v>3.0</v>
      </c>
      <c r="E181" s="34">
        <v>5.0</v>
      </c>
      <c r="F181" s="35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  <c r="L181" s="3">
        <f t="shared" si="3"/>
        <v>0</v>
      </c>
    </row>
    <row r="182">
      <c r="A182" s="34">
        <v>189.0</v>
      </c>
      <c r="B182" s="37">
        <v>2018.0</v>
      </c>
      <c r="C182" s="34">
        <v>2.0</v>
      </c>
      <c r="D182" s="34">
        <v>3.0</v>
      </c>
      <c r="E182" s="34">
        <v>6.0</v>
      </c>
      <c r="F182" s="35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  <c r="L182" s="3">
        <f t="shared" si="3"/>
        <v>0</v>
      </c>
    </row>
    <row r="183">
      <c r="A183" s="34">
        <v>190.0</v>
      </c>
      <c r="B183" s="37">
        <v>2018.0</v>
      </c>
      <c r="C183" s="34">
        <v>2.0</v>
      </c>
      <c r="D183" s="34">
        <v>3.0</v>
      </c>
      <c r="E183" s="34">
        <v>6.0</v>
      </c>
      <c r="F183" s="35" t="s">
        <v>16</v>
      </c>
      <c r="G183" s="10" t="s">
        <v>177</v>
      </c>
      <c r="H183" s="10">
        <v>6.23</v>
      </c>
      <c r="I183" s="10">
        <v>4.5</v>
      </c>
      <c r="J183" s="3">
        <f t="shared" si="1"/>
        <v>10.73</v>
      </c>
      <c r="L183" s="3">
        <f t="shared" si="3"/>
        <v>0</v>
      </c>
    </row>
    <row r="184">
      <c r="A184" s="34">
        <v>191.0</v>
      </c>
      <c r="B184" s="37">
        <v>2018.0</v>
      </c>
      <c r="C184" s="34">
        <v>2.0</v>
      </c>
      <c r="D184" s="34">
        <v>3.0</v>
      </c>
      <c r="E184" s="34">
        <v>7.0</v>
      </c>
      <c r="F184" s="35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  <c r="L184" s="3">
        <f t="shared" si="3"/>
        <v>0</v>
      </c>
    </row>
    <row r="185">
      <c r="A185" s="34">
        <v>192.0</v>
      </c>
      <c r="B185" s="37">
        <v>2018.0</v>
      </c>
      <c r="C185" s="34">
        <v>2.0</v>
      </c>
      <c r="D185" s="34">
        <v>3.0</v>
      </c>
      <c r="E185" s="34">
        <v>7.0</v>
      </c>
      <c r="F185" s="35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  <c r="L185" s="3">
        <f t="shared" si="3"/>
        <v>0</v>
      </c>
    </row>
    <row r="186">
      <c r="A186" s="34">
        <v>193.0</v>
      </c>
      <c r="B186" s="37">
        <v>2018.0</v>
      </c>
      <c r="C186" s="34">
        <v>2.0</v>
      </c>
      <c r="D186" s="34">
        <v>3.0</v>
      </c>
      <c r="E186" s="34">
        <v>8.0</v>
      </c>
      <c r="F186" s="35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  <c r="L186" s="3">
        <f t="shared" si="3"/>
        <v>0</v>
      </c>
    </row>
    <row r="187">
      <c r="A187" s="34">
        <v>194.0</v>
      </c>
      <c r="B187" s="37">
        <v>2018.0</v>
      </c>
      <c r="C187" s="34">
        <v>2.0</v>
      </c>
      <c r="D187" s="34">
        <v>3.0</v>
      </c>
      <c r="E187" s="34">
        <v>8.0</v>
      </c>
      <c r="F187" s="35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  <c r="L187" s="3">
        <f t="shared" si="3"/>
        <v>0</v>
      </c>
    </row>
    <row r="188">
      <c r="A188" s="34">
        <v>195.0</v>
      </c>
      <c r="B188" s="37">
        <v>2018.0</v>
      </c>
      <c r="C188" s="34">
        <v>2.0</v>
      </c>
      <c r="D188" s="34">
        <v>3.0</v>
      </c>
      <c r="E188" s="34">
        <v>9.0</v>
      </c>
      <c r="F188" s="35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  <c r="L188" s="3">
        <f t="shared" si="3"/>
        <v>0</v>
      </c>
    </row>
    <row r="189">
      <c r="A189" s="34">
        <v>196.0</v>
      </c>
      <c r="B189" s="37">
        <v>2018.0</v>
      </c>
      <c r="C189" s="34">
        <v>2.0</v>
      </c>
      <c r="D189" s="34">
        <v>3.0</v>
      </c>
      <c r="E189" s="34">
        <v>9.0</v>
      </c>
      <c r="F189" s="35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  <c r="L189" s="3">
        <f t="shared" si="3"/>
        <v>0</v>
      </c>
    </row>
    <row r="190">
      <c r="A190" s="34">
        <v>197.0</v>
      </c>
      <c r="B190" s="37">
        <v>2018.0</v>
      </c>
      <c r="C190" s="34">
        <v>2.0</v>
      </c>
      <c r="D190" s="34">
        <v>3.0</v>
      </c>
      <c r="E190" s="34">
        <v>10.0</v>
      </c>
      <c r="F190" s="35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  <c r="L190" s="3">
        <f t="shared" si="3"/>
        <v>0</v>
      </c>
    </row>
    <row r="191">
      <c r="A191" s="34">
        <v>198.0</v>
      </c>
      <c r="B191" s="37">
        <v>2018.0</v>
      </c>
      <c r="C191" s="34">
        <v>2.0</v>
      </c>
      <c r="D191" s="34">
        <v>3.0</v>
      </c>
      <c r="E191" s="34">
        <v>10.0</v>
      </c>
      <c r="F191" s="35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  <c r="L191" s="3">
        <f t="shared" si="3"/>
        <v>0</v>
      </c>
    </row>
    <row r="192">
      <c r="A192" s="34">
        <v>199.0</v>
      </c>
      <c r="B192" s="37">
        <v>2018.0</v>
      </c>
      <c r="C192" s="34">
        <v>2.0</v>
      </c>
      <c r="D192" s="34">
        <v>3.0</v>
      </c>
      <c r="E192" s="34">
        <v>11.0</v>
      </c>
      <c r="F192" s="35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  <c r="L192" s="3">
        <f t="shared" si="3"/>
        <v>0</v>
      </c>
    </row>
    <row r="193">
      <c r="A193" s="34">
        <v>200.0</v>
      </c>
      <c r="B193" s="37">
        <v>2018.0</v>
      </c>
      <c r="C193" s="34">
        <v>2.0</v>
      </c>
      <c r="D193" s="34">
        <v>3.0</v>
      </c>
      <c r="E193" s="34">
        <v>11.0</v>
      </c>
      <c r="F193" s="35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  <c r="L193" s="3">
        <f t="shared" si="3"/>
        <v>0</v>
      </c>
    </row>
    <row r="194">
      <c r="A194" s="34">
        <v>201.0</v>
      </c>
      <c r="B194" s="37">
        <v>2018.0</v>
      </c>
      <c r="C194" s="34">
        <v>2.0</v>
      </c>
      <c r="D194" s="34">
        <v>3.0</v>
      </c>
      <c r="E194" s="34">
        <v>12.0</v>
      </c>
      <c r="F194" s="35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  <c r="L194" s="3">
        <f t="shared" si="3"/>
        <v>0</v>
      </c>
    </row>
    <row r="195">
      <c r="A195" s="34">
        <v>202.0</v>
      </c>
      <c r="B195" s="37">
        <v>2018.0</v>
      </c>
      <c r="C195" s="34">
        <v>2.0</v>
      </c>
      <c r="D195" s="34">
        <v>3.0</v>
      </c>
      <c r="E195" s="34">
        <v>12.0</v>
      </c>
      <c r="F195" s="35" t="s">
        <v>16</v>
      </c>
      <c r="G195" s="10" t="s">
        <v>179</v>
      </c>
      <c r="H195" s="10">
        <v>7.2</v>
      </c>
      <c r="I195" s="10">
        <v>6.1</v>
      </c>
      <c r="J195" s="3">
        <f t="shared" si="1"/>
        <v>13.3</v>
      </c>
      <c r="L195" s="3">
        <f t="shared" si="3"/>
        <v>0</v>
      </c>
    </row>
    <row r="196">
      <c r="A196" s="34">
        <v>203.0</v>
      </c>
      <c r="B196" s="37">
        <v>2018.0</v>
      </c>
      <c r="C196" s="34">
        <v>2.0</v>
      </c>
      <c r="D196" s="34">
        <v>4.0</v>
      </c>
      <c r="E196" s="34">
        <v>1.0</v>
      </c>
      <c r="F196" s="35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  <c r="L196" s="3">
        <f t="shared" si="3"/>
        <v>0</v>
      </c>
    </row>
    <row r="197">
      <c r="A197" s="34">
        <v>204.0</v>
      </c>
      <c r="B197" s="37">
        <v>2018.0</v>
      </c>
      <c r="C197" s="34">
        <v>2.0</v>
      </c>
      <c r="D197" s="34">
        <v>4.0</v>
      </c>
      <c r="E197" s="34">
        <v>1.0</v>
      </c>
      <c r="F197" s="35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  <c r="L197" s="3">
        <f t="shared" si="3"/>
        <v>0</v>
      </c>
    </row>
    <row r="198">
      <c r="A198" s="34">
        <v>205.0</v>
      </c>
      <c r="B198" s="37">
        <v>2018.0</v>
      </c>
      <c r="C198" s="34">
        <v>2.0</v>
      </c>
      <c r="D198" s="34">
        <v>4.0</v>
      </c>
      <c r="E198" s="34">
        <v>1.0</v>
      </c>
      <c r="F198" s="35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  <c r="L198" s="3">
        <f t="shared" si="3"/>
        <v>0</v>
      </c>
    </row>
    <row r="199">
      <c r="A199" s="34">
        <v>206.0</v>
      </c>
      <c r="B199" s="37">
        <v>2018.0</v>
      </c>
      <c r="C199" s="34">
        <v>2.0</v>
      </c>
      <c r="D199" s="34">
        <v>4.0</v>
      </c>
      <c r="E199" s="34">
        <v>2.0</v>
      </c>
      <c r="F199" s="35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  <c r="L199" s="3">
        <f t="shared" si="3"/>
        <v>0</v>
      </c>
    </row>
    <row r="200">
      <c r="A200" s="34">
        <v>207.0</v>
      </c>
      <c r="B200" s="37">
        <v>2018.0</v>
      </c>
      <c r="C200" s="34">
        <v>2.0</v>
      </c>
      <c r="D200" s="34">
        <v>4.0</v>
      </c>
      <c r="E200" s="34">
        <v>2.0</v>
      </c>
      <c r="F200" s="35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  <c r="L200" s="3">
        <f t="shared" si="3"/>
        <v>0</v>
      </c>
    </row>
    <row r="201">
      <c r="A201" s="34">
        <v>208.0</v>
      </c>
      <c r="B201" s="37">
        <v>2018.0</v>
      </c>
      <c r="C201" s="34">
        <v>2.0</v>
      </c>
      <c r="D201" s="34">
        <v>4.0</v>
      </c>
      <c r="E201" s="34">
        <v>2.0</v>
      </c>
      <c r="F201" s="35" t="s">
        <v>16</v>
      </c>
      <c r="G201" s="10" t="s">
        <v>177</v>
      </c>
      <c r="H201" s="10">
        <v>7.0</v>
      </c>
      <c r="I201" s="10">
        <v>7.0</v>
      </c>
      <c r="J201" s="3">
        <f t="shared" si="1"/>
        <v>14</v>
      </c>
      <c r="L201" s="3">
        <f t="shared" si="3"/>
        <v>0</v>
      </c>
    </row>
    <row r="202">
      <c r="A202" s="34">
        <v>209.0</v>
      </c>
      <c r="B202" s="37">
        <v>2018.0</v>
      </c>
      <c r="C202" s="34">
        <v>2.0</v>
      </c>
      <c r="D202" s="34">
        <v>4.0</v>
      </c>
      <c r="E202" s="34">
        <v>3.0</v>
      </c>
      <c r="F202" s="35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  <c r="L202" s="3">
        <f t="shared" si="3"/>
        <v>0</v>
      </c>
    </row>
    <row r="203">
      <c r="A203" s="34">
        <v>210.0</v>
      </c>
      <c r="B203" s="37">
        <v>2018.0</v>
      </c>
      <c r="C203" s="34">
        <v>2.0</v>
      </c>
      <c r="D203" s="34">
        <v>4.0</v>
      </c>
      <c r="E203" s="34">
        <v>3.0</v>
      </c>
      <c r="F203" s="35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  <c r="L203" s="3">
        <f t="shared" si="3"/>
        <v>0</v>
      </c>
    </row>
    <row r="204">
      <c r="A204" s="34">
        <v>211.0</v>
      </c>
      <c r="B204" s="37">
        <v>2018.0</v>
      </c>
      <c r="C204" s="34">
        <v>2.0</v>
      </c>
      <c r="D204" s="34">
        <v>4.0</v>
      </c>
      <c r="E204" s="34">
        <v>3.0</v>
      </c>
      <c r="F204" s="35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  <c r="L204" s="3">
        <f t="shared" si="3"/>
        <v>0</v>
      </c>
    </row>
    <row r="205">
      <c r="A205" s="34">
        <v>212.0</v>
      </c>
      <c r="B205" s="37">
        <v>2018.0</v>
      </c>
      <c r="C205" s="34">
        <v>2.0</v>
      </c>
      <c r="D205" s="34">
        <v>4.0</v>
      </c>
      <c r="E205" s="34">
        <v>4.0</v>
      </c>
      <c r="F205" s="35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  <c r="L205" s="3">
        <f t="shared" si="3"/>
        <v>0</v>
      </c>
    </row>
    <row r="206">
      <c r="A206" s="34">
        <v>213.0</v>
      </c>
      <c r="B206" s="37">
        <v>2018.0</v>
      </c>
      <c r="C206" s="34">
        <v>2.0</v>
      </c>
      <c r="D206" s="34">
        <v>4.0</v>
      </c>
      <c r="E206" s="34">
        <v>4.0</v>
      </c>
      <c r="F206" s="35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  <c r="L206" s="3">
        <f t="shared" si="3"/>
        <v>0</v>
      </c>
    </row>
    <row r="207">
      <c r="A207" s="34">
        <v>214.0</v>
      </c>
      <c r="B207" s="37">
        <v>2018.0</v>
      </c>
      <c r="C207" s="34">
        <v>2.0</v>
      </c>
      <c r="D207" s="34">
        <v>4.0</v>
      </c>
      <c r="E207" s="34">
        <v>4.0</v>
      </c>
      <c r="F207" s="35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  <c r="L207" s="3">
        <f t="shared" si="3"/>
        <v>0</v>
      </c>
    </row>
    <row r="208">
      <c r="A208" s="34">
        <v>215.0</v>
      </c>
      <c r="B208" s="37">
        <v>2018.0</v>
      </c>
      <c r="C208" s="34">
        <v>2.0</v>
      </c>
      <c r="D208" s="34">
        <v>5.0</v>
      </c>
      <c r="E208" s="34">
        <v>1.0</v>
      </c>
      <c r="F208" s="35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  <c r="L208" s="3">
        <f t="shared" si="3"/>
        <v>0</v>
      </c>
    </row>
    <row r="209">
      <c r="A209" s="34">
        <v>216.0</v>
      </c>
      <c r="B209" s="37">
        <v>2018.0</v>
      </c>
      <c r="C209" s="34">
        <v>2.0</v>
      </c>
      <c r="D209" s="34">
        <v>5.0</v>
      </c>
      <c r="E209" s="34">
        <v>1.0</v>
      </c>
      <c r="F209" s="35" t="s">
        <v>16</v>
      </c>
      <c r="G209" s="10" t="s">
        <v>177</v>
      </c>
      <c r="H209" s="10">
        <v>6.5</v>
      </c>
      <c r="I209" s="10">
        <v>5.17</v>
      </c>
      <c r="J209" s="3">
        <f t="shared" si="1"/>
        <v>11.67</v>
      </c>
      <c r="L209" s="3">
        <f t="shared" si="3"/>
        <v>0</v>
      </c>
    </row>
    <row r="210">
      <c r="A210" s="34">
        <v>217.0</v>
      </c>
      <c r="B210" s="37">
        <v>2018.0</v>
      </c>
      <c r="C210" s="34">
        <v>2.0</v>
      </c>
      <c r="D210" s="34">
        <v>5.0</v>
      </c>
      <c r="E210" s="34">
        <v>2.0</v>
      </c>
      <c r="F210" s="35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  <c r="L210" s="3">
        <f t="shared" si="3"/>
        <v>0</v>
      </c>
    </row>
    <row r="211">
      <c r="A211" s="34">
        <v>218.0</v>
      </c>
      <c r="B211" s="37">
        <v>2018.0</v>
      </c>
      <c r="C211" s="34">
        <v>2.0</v>
      </c>
      <c r="D211" s="34">
        <v>5.0</v>
      </c>
      <c r="E211" s="34">
        <v>2.0</v>
      </c>
      <c r="F211" s="35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  <c r="L211" s="3">
        <f t="shared" si="3"/>
        <v>0</v>
      </c>
    </row>
    <row r="212">
      <c r="A212" s="34">
        <v>219.0</v>
      </c>
      <c r="B212" s="37">
        <v>2018.0</v>
      </c>
      <c r="C212" s="34">
        <v>2.0</v>
      </c>
      <c r="D212" s="34">
        <v>5.0</v>
      </c>
      <c r="E212" s="34">
        <v>3.0</v>
      </c>
      <c r="F212" s="35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  <c r="L212" s="3">
        <f t="shared" si="3"/>
        <v>0</v>
      </c>
    </row>
    <row r="213">
      <c r="A213" s="34">
        <v>220.0</v>
      </c>
      <c r="B213" s="37">
        <v>2018.0</v>
      </c>
      <c r="C213" s="34">
        <v>2.0</v>
      </c>
      <c r="D213" s="34">
        <v>5.0</v>
      </c>
      <c r="E213" s="34">
        <v>3.0</v>
      </c>
      <c r="F213" s="35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  <c r="L213" s="3">
        <f t="shared" si="3"/>
        <v>0</v>
      </c>
    </row>
    <row r="214">
      <c r="A214" s="34">
        <v>221.0</v>
      </c>
      <c r="B214" s="37">
        <v>2018.0</v>
      </c>
      <c r="C214" s="34">
        <v>2.0</v>
      </c>
      <c r="D214" s="34">
        <v>5.0</v>
      </c>
      <c r="E214" s="34">
        <v>4.0</v>
      </c>
      <c r="F214" s="35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  <c r="L214" s="3">
        <f t="shared" si="3"/>
        <v>0</v>
      </c>
    </row>
    <row r="215">
      <c r="A215" s="34">
        <v>222.0</v>
      </c>
      <c r="B215" s="37">
        <v>2018.0</v>
      </c>
      <c r="C215" s="34">
        <v>2.0</v>
      </c>
      <c r="D215" s="34">
        <v>5.0</v>
      </c>
      <c r="E215" s="34">
        <v>4.0</v>
      </c>
      <c r="F215" s="35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  <c r="L215" s="3">
        <f t="shared" si="3"/>
        <v>0</v>
      </c>
    </row>
    <row r="216">
      <c r="A216" s="34">
        <v>223.0</v>
      </c>
      <c r="B216" s="37">
        <v>2018.0</v>
      </c>
      <c r="C216" s="34">
        <v>2.0</v>
      </c>
      <c r="D216" s="37">
        <v>6.0</v>
      </c>
      <c r="E216" s="34">
        <v>1.0</v>
      </c>
      <c r="F216" s="35" t="s">
        <v>16</v>
      </c>
      <c r="G216" s="10" t="s">
        <v>177</v>
      </c>
      <c r="H216" s="10">
        <v>5.5</v>
      </c>
      <c r="I216" s="10">
        <v>4.17</v>
      </c>
      <c r="J216" s="3">
        <f t="shared" si="1"/>
        <v>9.67</v>
      </c>
      <c r="L216" s="3">
        <f t="shared" si="3"/>
        <v>0</v>
      </c>
    </row>
    <row r="217">
      <c r="A217" s="34">
        <v>224.0</v>
      </c>
      <c r="B217" s="37">
        <v>2018.0</v>
      </c>
      <c r="C217" s="34">
        <v>2.0</v>
      </c>
      <c r="D217" s="37">
        <v>6.0</v>
      </c>
      <c r="E217" s="34">
        <v>1.0</v>
      </c>
      <c r="F217" s="35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  <c r="L217" s="3">
        <f t="shared" si="3"/>
        <v>0</v>
      </c>
    </row>
    <row r="218">
      <c r="A218" s="34">
        <v>225.0</v>
      </c>
      <c r="B218" s="37">
        <v>2018.0</v>
      </c>
      <c r="C218" s="34">
        <v>2.0</v>
      </c>
      <c r="D218" s="37">
        <v>6.0</v>
      </c>
      <c r="E218" s="34">
        <v>2.0</v>
      </c>
      <c r="F218" s="35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  <c r="L218" s="3">
        <f t="shared" si="3"/>
        <v>0</v>
      </c>
    </row>
    <row r="219">
      <c r="A219" s="34">
        <v>226.0</v>
      </c>
      <c r="B219" s="37">
        <v>2018.0</v>
      </c>
      <c r="C219" s="34">
        <v>2.0</v>
      </c>
      <c r="D219" s="37">
        <v>6.0</v>
      </c>
      <c r="E219" s="34">
        <v>2.0</v>
      </c>
      <c r="F219" s="35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  <c r="L219" s="3">
        <f t="shared" si="3"/>
        <v>0</v>
      </c>
    </row>
    <row r="220">
      <c r="A220" s="34">
        <v>227.0</v>
      </c>
      <c r="B220" s="37">
        <v>2018.0</v>
      </c>
      <c r="C220" s="34">
        <v>2.0</v>
      </c>
      <c r="D220" s="37">
        <v>7.0</v>
      </c>
      <c r="E220" s="37">
        <v>1.0</v>
      </c>
      <c r="F220" s="35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  <c r="L220" s="3">
        <f t="shared" si="3"/>
        <v>0</v>
      </c>
    </row>
    <row r="221">
      <c r="A221" s="34">
        <v>228.0</v>
      </c>
      <c r="B221" s="37">
        <v>2018.0</v>
      </c>
      <c r="C221" s="34">
        <v>2.0</v>
      </c>
      <c r="D221" s="37">
        <v>7.0</v>
      </c>
      <c r="E221" s="37">
        <v>1.0</v>
      </c>
      <c r="F221" s="35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>
        <f t="shared" si="3"/>
        <v>0</v>
      </c>
      <c r="M221" s="3">
        <f>SUM(L112:L221)</f>
        <v>15.33</v>
      </c>
    </row>
    <row r="222">
      <c r="A222" s="34">
        <v>237.0</v>
      </c>
      <c r="B222" s="37">
        <v>2018.0</v>
      </c>
      <c r="C222" s="34">
        <v>3.0</v>
      </c>
      <c r="D222" s="34">
        <v>1.0</v>
      </c>
      <c r="E222" s="34">
        <v>1.0</v>
      </c>
      <c r="F222" s="35" t="s">
        <v>16</v>
      </c>
      <c r="G222" s="56" t="s">
        <v>33</v>
      </c>
      <c r="H222" s="10">
        <v>8.6</v>
      </c>
      <c r="I222" s="10">
        <v>5.1</v>
      </c>
      <c r="J222" s="3">
        <f t="shared" si="1"/>
        <v>13.7</v>
      </c>
      <c r="L222" s="3">
        <f t="shared" ref="L222:L331" si="4">IF(G222="Jordy Smith",J222,0)</f>
        <v>0</v>
      </c>
      <c r="M222" s="10"/>
    </row>
    <row r="223">
      <c r="A223" s="34">
        <v>238.0</v>
      </c>
      <c r="B223" s="37">
        <v>2018.0</v>
      </c>
      <c r="C223" s="34">
        <v>3.0</v>
      </c>
      <c r="D223" s="34">
        <v>1.0</v>
      </c>
      <c r="E223" s="34">
        <v>1.0</v>
      </c>
      <c r="F223" s="35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  <c r="L223" s="3">
        <f t="shared" si="4"/>
        <v>0</v>
      </c>
    </row>
    <row r="224">
      <c r="A224" s="34">
        <v>239.0</v>
      </c>
      <c r="B224" s="37">
        <v>2018.0</v>
      </c>
      <c r="C224" s="34">
        <v>3.0</v>
      </c>
      <c r="D224" s="34">
        <v>1.0</v>
      </c>
      <c r="E224" s="34">
        <v>1.0</v>
      </c>
      <c r="F224" s="35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  <c r="L224" s="3">
        <f t="shared" si="4"/>
        <v>0</v>
      </c>
    </row>
    <row r="225">
      <c r="A225" s="34">
        <v>240.0</v>
      </c>
      <c r="B225" s="37">
        <v>2018.0</v>
      </c>
      <c r="C225" s="34">
        <v>3.0</v>
      </c>
      <c r="D225" s="34">
        <v>1.0</v>
      </c>
      <c r="E225" s="34">
        <v>2.0</v>
      </c>
      <c r="F225" s="35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  <c r="L225" s="3">
        <f t="shared" si="4"/>
        <v>10.66</v>
      </c>
    </row>
    <row r="226">
      <c r="A226" s="34">
        <v>241.0</v>
      </c>
      <c r="B226" s="37">
        <v>2018.0</v>
      </c>
      <c r="C226" s="34">
        <v>3.0</v>
      </c>
      <c r="D226" s="34">
        <v>1.0</v>
      </c>
      <c r="E226" s="34">
        <v>2.0</v>
      </c>
      <c r="F226" s="35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  <c r="L226" s="3">
        <f t="shared" si="4"/>
        <v>0</v>
      </c>
    </row>
    <row r="227">
      <c r="A227" s="34">
        <v>242.0</v>
      </c>
      <c r="B227" s="37">
        <v>2018.0</v>
      </c>
      <c r="C227" s="34">
        <v>3.0</v>
      </c>
      <c r="D227" s="34">
        <v>1.0</v>
      </c>
      <c r="E227" s="34">
        <v>2.0</v>
      </c>
      <c r="F227" s="35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  <c r="L227" s="3">
        <f t="shared" si="4"/>
        <v>0</v>
      </c>
    </row>
    <row r="228">
      <c r="A228" s="34">
        <v>243.0</v>
      </c>
      <c r="B228" s="37">
        <v>2018.0</v>
      </c>
      <c r="C228" s="34">
        <v>3.0</v>
      </c>
      <c r="D228" s="34">
        <v>1.0</v>
      </c>
      <c r="E228" s="34">
        <v>3.0</v>
      </c>
      <c r="F228" s="35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  <c r="L228" s="3">
        <f t="shared" si="4"/>
        <v>0</v>
      </c>
    </row>
    <row r="229">
      <c r="A229" s="34">
        <v>244.0</v>
      </c>
      <c r="B229" s="37">
        <v>2018.0</v>
      </c>
      <c r="C229" s="34">
        <v>3.0</v>
      </c>
      <c r="D229" s="34">
        <v>1.0</v>
      </c>
      <c r="E229" s="34">
        <v>3.0</v>
      </c>
      <c r="F229" s="35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  <c r="L229" s="3">
        <f t="shared" si="4"/>
        <v>0</v>
      </c>
    </row>
    <row r="230">
      <c r="A230" s="34">
        <v>245.0</v>
      </c>
      <c r="B230" s="37">
        <v>2018.0</v>
      </c>
      <c r="C230" s="34">
        <v>3.0</v>
      </c>
      <c r="D230" s="34">
        <v>1.0</v>
      </c>
      <c r="E230" s="34">
        <v>3.0</v>
      </c>
      <c r="F230" s="35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  <c r="L230" s="3">
        <f t="shared" si="4"/>
        <v>0</v>
      </c>
    </row>
    <row r="231">
      <c r="A231" s="34">
        <v>246.0</v>
      </c>
      <c r="B231" s="37">
        <v>2018.0</v>
      </c>
      <c r="C231" s="34">
        <v>3.0</v>
      </c>
      <c r="D231" s="34">
        <v>1.0</v>
      </c>
      <c r="E231" s="34">
        <v>4.0</v>
      </c>
      <c r="F231" s="35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  <c r="L231" s="3">
        <f t="shared" si="4"/>
        <v>0</v>
      </c>
    </row>
    <row r="232">
      <c r="A232" s="34">
        <v>247.0</v>
      </c>
      <c r="B232" s="37">
        <v>2018.0</v>
      </c>
      <c r="C232" s="34">
        <v>3.0</v>
      </c>
      <c r="D232" s="34">
        <v>1.0</v>
      </c>
      <c r="E232" s="34">
        <v>4.0</v>
      </c>
      <c r="F232" s="35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  <c r="L232" s="3">
        <f t="shared" si="4"/>
        <v>0</v>
      </c>
    </row>
    <row r="233">
      <c r="A233" s="34">
        <v>248.0</v>
      </c>
      <c r="B233" s="37">
        <v>2018.0</v>
      </c>
      <c r="C233" s="34">
        <v>3.0</v>
      </c>
      <c r="D233" s="34">
        <v>1.0</v>
      </c>
      <c r="E233" s="34">
        <v>4.0</v>
      </c>
      <c r="F233" s="35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  <c r="L233" s="3">
        <f t="shared" si="4"/>
        <v>0</v>
      </c>
    </row>
    <row r="234">
      <c r="A234" s="34">
        <v>249.0</v>
      </c>
      <c r="B234" s="37">
        <v>2018.0</v>
      </c>
      <c r="C234" s="34">
        <v>3.0</v>
      </c>
      <c r="D234" s="34">
        <v>1.0</v>
      </c>
      <c r="E234" s="34">
        <v>5.0</v>
      </c>
      <c r="F234" s="35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  <c r="L234" s="3">
        <f t="shared" si="4"/>
        <v>0</v>
      </c>
    </row>
    <row r="235">
      <c r="A235" s="34">
        <v>250.0</v>
      </c>
      <c r="B235" s="37">
        <v>2018.0</v>
      </c>
      <c r="C235" s="34">
        <v>3.0</v>
      </c>
      <c r="D235" s="34">
        <v>1.0</v>
      </c>
      <c r="E235" s="34">
        <v>5.0</v>
      </c>
      <c r="F235" s="35" t="s">
        <v>16</v>
      </c>
      <c r="G235" s="10" t="s">
        <v>142</v>
      </c>
      <c r="H235" s="10">
        <v>7.2</v>
      </c>
      <c r="I235" s="10">
        <v>6.23</v>
      </c>
      <c r="J235" s="3">
        <f t="shared" si="1"/>
        <v>13.43</v>
      </c>
      <c r="L235" s="3">
        <f t="shared" si="4"/>
        <v>0</v>
      </c>
    </row>
    <row r="236">
      <c r="A236" s="34">
        <v>251.0</v>
      </c>
      <c r="B236" s="37">
        <v>2018.0</v>
      </c>
      <c r="C236" s="34">
        <v>3.0</v>
      </c>
      <c r="D236" s="34">
        <v>1.0</v>
      </c>
      <c r="E236" s="34">
        <v>5.0</v>
      </c>
      <c r="F236" s="35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  <c r="L236" s="3">
        <f t="shared" si="4"/>
        <v>0</v>
      </c>
    </row>
    <row r="237">
      <c r="A237" s="34">
        <v>252.0</v>
      </c>
      <c r="B237" s="37">
        <v>2018.0</v>
      </c>
      <c r="C237" s="34">
        <v>3.0</v>
      </c>
      <c r="D237" s="34">
        <v>1.0</v>
      </c>
      <c r="E237" s="34">
        <v>6.0</v>
      </c>
      <c r="F237" s="35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  <c r="L237" s="3">
        <f t="shared" si="4"/>
        <v>0</v>
      </c>
    </row>
    <row r="238">
      <c r="A238" s="34">
        <v>253.0</v>
      </c>
      <c r="B238" s="37">
        <v>2018.0</v>
      </c>
      <c r="C238" s="34">
        <v>3.0</v>
      </c>
      <c r="D238" s="34">
        <v>1.0</v>
      </c>
      <c r="E238" s="34">
        <v>6.0</v>
      </c>
      <c r="F238" s="35" t="s">
        <v>16</v>
      </c>
      <c r="G238" s="10" t="s">
        <v>177</v>
      </c>
      <c r="H238" s="10">
        <v>5.5</v>
      </c>
      <c r="I238" s="10">
        <v>3.33</v>
      </c>
      <c r="J238" s="3">
        <f t="shared" si="1"/>
        <v>8.83</v>
      </c>
      <c r="L238" s="3">
        <f t="shared" si="4"/>
        <v>0</v>
      </c>
    </row>
    <row r="239">
      <c r="A239" s="34">
        <v>254.0</v>
      </c>
      <c r="B239" s="37">
        <v>2018.0</v>
      </c>
      <c r="C239" s="34">
        <v>3.0</v>
      </c>
      <c r="D239" s="34">
        <v>1.0</v>
      </c>
      <c r="E239" s="34">
        <v>6.0</v>
      </c>
      <c r="F239" s="35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  <c r="L239" s="3">
        <f t="shared" si="4"/>
        <v>0</v>
      </c>
    </row>
    <row r="240">
      <c r="A240" s="34">
        <v>255.0</v>
      </c>
      <c r="B240" s="37">
        <v>2018.0</v>
      </c>
      <c r="C240" s="34">
        <v>3.0</v>
      </c>
      <c r="D240" s="34">
        <v>1.0</v>
      </c>
      <c r="E240" s="34">
        <v>7.0</v>
      </c>
      <c r="F240" s="35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  <c r="L240" s="3">
        <f t="shared" si="4"/>
        <v>0</v>
      </c>
    </row>
    <row r="241">
      <c r="A241" s="34">
        <v>256.0</v>
      </c>
      <c r="B241" s="37">
        <v>2018.0</v>
      </c>
      <c r="C241" s="34">
        <v>3.0</v>
      </c>
      <c r="D241" s="34">
        <v>1.0</v>
      </c>
      <c r="E241" s="34">
        <v>7.0</v>
      </c>
      <c r="F241" s="35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  <c r="L241" s="3">
        <f t="shared" si="4"/>
        <v>0</v>
      </c>
    </row>
    <row r="242">
      <c r="A242" s="34">
        <v>257.0</v>
      </c>
      <c r="B242" s="37">
        <v>2018.0</v>
      </c>
      <c r="C242" s="34">
        <v>3.0</v>
      </c>
      <c r="D242" s="34">
        <v>1.0</v>
      </c>
      <c r="E242" s="34">
        <v>7.0</v>
      </c>
      <c r="F242" s="35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  <c r="L242" s="3">
        <f t="shared" si="4"/>
        <v>0</v>
      </c>
    </row>
    <row r="243">
      <c r="A243" s="34">
        <v>258.0</v>
      </c>
      <c r="B243" s="37">
        <v>2018.0</v>
      </c>
      <c r="C243" s="34">
        <v>3.0</v>
      </c>
      <c r="D243" s="34">
        <v>1.0</v>
      </c>
      <c r="E243" s="34">
        <v>8.0</v>
      </c>
      <c r="F243" s="35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  <c r="L243" s="3">
        <f t="shared" si="4"/>
        <v>0</v>
      </c>
    </row>
    <row r="244">
      <c r="A244" s="34">
        <v>259.0</v>
      </c>
      <c r="B244" s="37">
        <v>2018.0</v>
      </c>
      <c r="C244" s="34">
        <v>3.0</v>
      </c>
      <c r="D244" s="34">
        <v>1.0</v>
      </c>
      <c r="E244" s="34">
        <v>8.0</v>
      </c>
      <c r="F244" s="35" t="s">
        <v>16</v>
      </c>
      <c r="G244" s="10" t="s">
        <v>178</v>
      </c>
      <c r="H244" s="10">
        <v>7.6</v>
      </c>
      <c r="I244" s="10">
        <v>4.0</v>
      </c>
      <c r="J244" s="3">
        <f t="shared" si="1"/>
        <v>11.6</v>
      </c>
      <c r="L244" s="3">
        <f t="shared" si="4"/>
        <v>0</v>
      </c>
    </row>
    <row r="245">
      <c r="A245" s="34">
        <v>260.0</v>
      </c>
      <c r="B245" s="37">
        <v>2018.0</v>
      </c>
      <c r="C245" s="34">
        <v>3.0</v>
      </c>
      <c r="D245" s="34">
        <v>1.0</v>
      </c>
      <c r="E245" s="34">
        <v>8.0</v>
      </c>
      <c r="F245" s="35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  <c r="L245" s="3">
        <f t="shared" si="4"/>
        <v>0</v>
      </c>
    </row>
    <row r="246">
      <c r="A246" s="34">
        <v>261.0</v>
      </c>
      <c r="B246" s="37">
        <v>2018.0</v>
      </c>
      <c r="C246" s="34">
        <v>3.0</v>
      </c>
      <c r="D246" s="34">
        <v>1.0</v>
      </c>
      <c r="E246" s="34">
        <v>9.0</v>
      </c>
      <c r="F246" s="35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  <c r="L246" s="3">
        <f t="shared" si="4"/>
        <v>0</v>
      </c>
    </row>
    <row r="247">
      <c r="A247" s="34">
        <v>262.0</v>
      </c>
      <c r="B247" s="37">
        <v>2018.0</v>
      </c>
      <c r="C247" s="34">
        <v>3.0</v>
      </c>
      <c r="D247" s="34">
        <v>1.0</v>
      </c>
      <c r="E247" s="34">
        <v>9.0</v>
      </c>
      <c r="F247" s="35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  <c r="L247" s="3">
        <f t="shared" si="4"/>
        <v>0</v>
      </c>
    </row>
    <row r="248">
      <c r="A248" s="34">
        <v>263.0</v>
      </c>
      <c r="B248" s="37">
        <v>2018.0</v>
      </c>
      <c r="C248" s="34">
        <v>3.0</v>
      </c>
      <c r="D248" s="34">
        <v>1.0</v>
      </c>
      <c r="E248" s="34">
        <v>9.0</v>
      </c>
      <c r="F248" s="35" t="s">
        <v>16</v>
      </c>
      <c r="G248" s="10" t="s">
        <v>169</v>
      </c>
      <c r="H248" s="10">
        <v>6.73</v>
      </c>
      <c r="I248" s="10">
        <v>5.4</v>
      </c>
      <c r="J248" s="3">
        <f t="shared" si="1"/>
        <v>12.13</v>
      </c>
      <c r="L248" s="3">
        <f t="shared" si="4"/>
        <v>0</v>
      </c>
    </row>
    <row r="249">
      <c r="A249" s="34">
        <v>264.0</v>
      </c>
      <c r="B249" s="37">
        <v>2018.0</v>
      </c>
      <c r="C249" s="34">
        <v>3.0</v>
      </c>
      <c r="D249" s="34">
        <v>1.0</v>
      </c>
      <c r="E249" s="34">
        <v>10.0</v>
      </c>
      <c r="F249" s="35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  <c r="L249" s="3">
        <f t="shared" si="4"/>
        <v>0</v>
      </c>
    </row>
    <row r="250">
      <c r="A250" s="34">
        <v>265.0</v>
      </c>
      <c r="B250" s="37">
        <v>2018.0</v>
      </c>
      <c r="C250" s="34">
        <v>3.0</v>
      </c>
      <c r="D250" s="34">
        <v>1.0</v>
      </c>
      <c r="E250" s="34">
        <v>10.0</v>
      </c>
      <c r="F250" s="35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  <c r="L250" s="3">
        <f t="shared" si="4"/>
        <v>0</v>
      </c>
    </row>
    <row r="251">
      <c r="A251" s="34">
        <v>266.0</v>
      </c>
      <c r="B251" s="37">
        <v>2018.0</v>
      </c>
      <c r="C251" s="34">
        <v>3.0</v>
      </c>
      <c r="D251" s="34">
        <v>1.0</v>
      </c>
      <c r="E251" s="34">
        <v>10.0</v>
      </c>
      <c r="F251" s="35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  <c r="L251" s="3">
        <f t="shared" si="4"/>
        <v>0</v>
      </c>
    </row>
    <row r="252">
      <c r="A252" s="34">
        <v>267.0</v>
      </c>
      <c r="B252" s="37">
        <v>2018.0</v>
      </c>
      <c r="C252" s="34">
        <v>3.0</v>
      </c>
      <c r="D252" s="34">
        <v>1.0</v>
      </c>
      <c r="E252" s="34">
        <v>11.0</v>
      </c>
      <c r="F252" s="35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  <c r="L252" s="3">
        <f t="shared" si="4"/>
        <v>0</v>
      </c>
    </row>
    <row r="253">
      <c r="A253" s="34">
        <v>268.0</v>
      </c>
      <c r="B253" s="37">
        <v>2018.0</v>
      </c>
      <c r="C253" s="34">
        <v>3.0</v>
      </c>
      <c r="D253" s="34">
        <v>1.0</v>
      </c>
      <c r="E253" s="34">
        <v>11.0</v>
      </c>
      <c r="F253" s="35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  <c r="L253" s="3">
        <f t="shared" si="4"/>
        <v>0</v>
      </c>
    </row>
    <row r="254">
      <c r="A254" s="34">
        <v>269.0</v>
      </c>
      <c r="B254" s="37">
        <v>2018.0</v>
      </c>
      <c r="C254" s="34">
        <v>3.0</v>
      </c>
      <c r="D254" s="34">
        <v>1.0</v>
      </c>
      <c r="E254" s="34">
        <v>11.0</v>
      </c>
      <c r="F254" s="35" t="s">
        <v>16</v>
      </c>
      <c r="G254" s="10" t="s">
        <v>179</v>
      </c>
      <c r="H254" s="10">
        <v>6.83</v>
      </c>
      <c r="I254" s="10">
        <v>4.33</v>
      </c>
      <c r="J254" s="3">
        <f t="shared" si="1"/>
        <v>11.16</v>
      </c>
      <c r="L254" s="3">
        <f t="shared" si="4"/>
        <v>0</v>
      </c>
    </row>
    <row r="255">
      <c r="A255" s="34">
        <v>270.0</v>
      </c>
      <c r="B255" s="37">
        <v>2018.0</v>
      </c>
      <c r="C255" s="34">
        <v>3.0</v>
      </c>
      <c r="D255" s="34">
        <v>1.0</v>
      </c>
      <c r="E255" s="34">
        <v>12.0</v>
      </c>
      <c r="F255" s="35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  <c r="L255" s="3">
        <f t="shared" si="4"/>
        <v>0</v>
      </c>
    </row>
    <row r="256">
      <c r="A256" s="34">
        <v>271.0</v>
      </c>
      <c r="B256" s="37">
        <v>2018.0</v>
      </c>
      <c r="C256" s="34">
        <v>3.0</v>
      </c>
      <c r="D256" s="34">
        <v>1.0</v>
      </c>
      <c r="E256" s="34">
        <v>12.0</v>
      </c>
      <c r="F256" s="35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  <c r="L256" s="3">
        <f t="shared" si="4"/>
        <v>0</v>
      </c>
    </row>
    <row r="257">
      <c r="A257" s="34">
        <v>272.0</v>
      </c>
      <c r="B257" s="37">
        <v>2018.0</v>
      </c>
      <c r="C257" s="34">
        <v>3.0</v>
      </c>
      <c r="D257" s="34">
        <v>1.0</v>
      </c>
      <c r="E257" s="34">
        <v>12.0</v>
      </c>
      <c r="F257" s="35" t="s">
        <v>16</v>
      </c>
      <c r="G257" s="10" t="s">
        <v>176</v>
      </c>
      <c r="H257" s="10">
        <v>3.7</v>
      </c>
      <c r="I257" s="10">
        <v>3.3</v>
      </c>
      <c r="J257" s="3">
        <f t="shared" si="1"/>
        <v>7</v>
      </c>
      <c r="L257" s="3">
        <f t="shared" si="4"/>
        <v>0</v>
      </c>
    </row>
    <row r="258">
      <c r="A258" s="34">
        <v>273.0</v>
      </c>
      <c r="B258" s="37">
        <v>2018.0</v>
      </c>
      <c r="C258" s="34">
        <v>3.0</v>
      </c>
      <c r="D258" s="34">
        <v>2.0</v>
      </c>
      <c r="E258" s="34">
        <v>1.0</v>
      </c>
      <c r="F258" s="35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  <c r="L258" s="3">
        <f t="shared" si="4"/>
        <v>0</v>
      </c>
    </row>
    <row r="259">
      <c r="A259" s="34">
        <v>274.0</v>
      </c>
      <c r="B259" s="37">
        <v>2018.0</v>
      </c>
      <c r="C259" s="34">
        <v>3.0</v>
      </c>
      <c r="D259" s="34">
        <v>2.0</v>
      </c>
      <c r="E259" s="34">
        <v>1.0</v>
      </c>
      <c r="F259" s="35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  <c r="L259" s="3">
        <f t="shared" si="4"/>
        <v>0</v>
      </c>
    </row>
    <row r="260">
      <c r="A260" s="34">
        <v>275.0</v>
      </c>
      <c r="B260" s="37">
        <v>2018.0</v>
      </c>
      <c r="C260" s="34">
        <v>3.0</v>
      </c>
      <c r="D260" s="34">
        <v>2.0</v>
      </c>
      <c r="E260" s="34">
        <v>2.0</v>
      </c>
      <c r="F260" s="35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  <c r="L260" s="3">
        <f t="shared" si="4"/>
        <v>0</v>
      </c>
    </row>
    <row r="261">
      <c r="A261" s="34">
        <v>276.0</v>
      </c>
      <c r="B261" s="37">
        <v>2018.0</v>
      </c>
      <c r="C261" s="34">
        <v>3.0</v>
      </c>
      <c r="D261" s="34">
        <v>2.0</v>
      </c>
      <c r="E261" s="34">
        <v>2.0</v>
      </c>
      <c r="F261" s="35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  <c r="L261" s="3">
        <f t="shared" si="4"/>
        <v>0</v>
      </c>
    </row>
    <row r="262">
      <c r="A262" s="34">
        <v>277.0</v>
      </c>
      <c r="B262" s="37">
        <v>2018.0</v>
      </c>
      <c r="C262" s="34">
        <v>3.0</v>
      </c>
      <c r="D262" s="34">
        <v>2.0</v>
      </c>
      <c r="E262" s="34">
        <v>3.0</v>
      </c>
      <c r="F262" s="35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  <c r="L262" s="3">
        <f t="shared" si="4"/>
        <v>12.7</v>
      </c>
    </row>
    <row r="263">
      <c r="A263" s="34">
        <v>278.0</v>
      </c>
      <c r="B263" s="37">
        <v>2018.0</v>
      </c>
      <c r="C263" s="34">
        <v>3.0</v>
      </c>
      <c r="D263" s="34">
        <v>2.0</v>
      </c>
      <c r="E263" s="34">
        <v>3.0</v>
      </c>
      <c r="F263" s="35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  <c r="L263" s="3">
        <f t="shared" si="4"/>
        <v>0</v>
      </c>
    </row>
    <row r="264">
      <c r="A264" s="34">
        <v>279.0</v>
      </c>
      <c r="B264" s="37">
        <v>2018.0</v>
      </c>
      <c r="C264" s="34">
        <v>3.0</v>
      </c>
      <c r="D264" s="34">
        <v>2.0</v>
      </c>
      <c r="E264" s="34">
        <v>4.0</v>
      </c>
      <c r="F264" s="35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  <c r="L264" s="3">
        <f t="shared" si="4"/>
        <v>0</v>
      </c>
    </row>
    <row r="265">
      <c r="A265" s="34">
        <v>280.0</v>
      </c>
      <c r="B265" s="37">
        <v>2018.0</v>
      </c>
      <c r="C265" s="34">
        <v>3.0</v>
      </c>
      <c r="D265" s="34">
        <v>2.0</v>
      </c>
      <c r="E265" s="34">
        <v>4.0</v>
      </c>
      <c r="F265" s="35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  <c r="L265" s="3">
        <f t="shared" si="4"/>
        <v>0</v>
      </c>
    </row>
    <row r="266">
      <c r="A266" s="34">
        <v>281.0</v>
      </c>
      <c r="B266" s="37">
        <v>2018.0</v>
      </c>
      <c r="C266" s="34">
        <v>3.0</v>
      </c>
      <c r="D266" s="34">
        <v>2.0</v>
      </c>
      <c r="E266" s="34">
        <v>5.0</v>
      </c>
      <c r="F266" s="35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  <c r="L266" s="3">
        <f t="shared" si="4"/>
        <v>0</v>
      </c>
    </row>
    <row r="267">
      <c r="A267" s="34">
        <v>282.0</v>
      </c>
      <c r="B267" s="37">
        <v>2018.0</v>
      </c>
      <c r="C267" s="34">
        <v>3.0</v>
      </c>
      <c r="D267" s="34">
        <v>2.0</v>
      </c>
      <c r="E267" s="34">
        <v>5.0</v>
      </c>
      <c r="F267" s="35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  <c r="L267" s="3">
        <f t="shared" si="4"/>
        <v>0</v>
      </c>
    </row>
    <row r="268">
      <c r="A268" s="34">
        <v>283.0</v>
      </c>
      <c r="B268" s="37">
        <v>2018.0</v>
      </c>
      <c r="C268" s="34">
        <v>3.0</v>
      </c>
      <c r="D268" s="34">
        <v>2.0</v>
      </c>
      <c r="E268" s="34">
        <v>6.0</v>
      </c>
      <c r="F268" s="35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  <c r="L268" s="3">
        <f t="shared" si="4"/>
        <v>0</v>
      </c>
    </row>
    <row r="269">
      <c r="A269" s="34">
        <v>284.0</v>
      </c>
      <c r="B269" s="37">
        <v>2018.0</v>
      </c>
      <c r="C269" s="34">
        <v>3.0</v>
      </c>
      <c r="D269" s="34">
        <v>2.0</v>
      </c>
      <c r="E269" s="34">
        <v>6.0</v>
      </c>
      <c r="F269" s="35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  <c r="L269" s="3">
        <f t="shared" si="4"/>
        <v>0</v>
      </c>
    </row>
    <row r="270">
      <c r="A270" s="34">
        <v>285.0</v>
      </c>
      <c r="B270" s="37">
        <v>2018.0</v>
      </c>
      <c r="C270" s="34">
        <v>3.0</v>
      </c>
      <c r="D270" s="34">
        <v>2.0</v>
      </c>
      <c r="E270" s="34">
        <v>7.0</v>
      </c>
      <c r="F270" s="35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  <c r="L270" s="3">
        <f t="shared" si="4"/>
        <v>0</v>
      </c>
    </row>
    <row r="271">
      <c r="A271" s="34">
        <v>286.0</v>
      </c>
      <c r="B271" s="37">
        <v>2018.0</v>
      </c>
      <c r="C271" s="34">
        <v>3.0</v>
      </c>
      <c r="D271" s="34">
        <v>2.0</v>
      </c>
      <c r="E271" s="34">
        <v>7.0</v>
      </c>
      <c r="F271" s="35" t="s">
        <v>16</v>
      </c>
      <c r="G271" s="10" t="s">
        <v>176</v>
      </c>
      <c r="H271" s="10">
        <v>5.17</v>
      </c>
      <c r="I271" s="10">
        <v>3.5</v>
      </c>
      <c r="J271" s="3">
        <f t="shared" si="1"/>
        <v>8.67</v>
      </c>
      <c r="L271" s="3">
        <f t="shared" si="4"/>
        <v>0</v>
      </c>
    </row>
    <row r="272">
      <c r="A272" s="34">
        <v>287.0</v>
      </c>
      <c r="B272" s="37">
        <v>2018.0</v>
      </c>
      <c r="C272" s="34">
        <v>3.0</v>
      </c>
      <c r="D272" s="34">
        <v>2.0</v>
      </c>
      <c r="E272" s="34">
        <v>8.0</v>
      </c>
      <c r="F272" s="35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  <c r="L272" s="3">
        <f t="shared" si="4"/>
        <v>0</v>
      </c>
    </row>
    <row r="273">
      <c r="A273" s="34">
        <v>288.0</v>
      </c>
      <c r="B273" s="37">
        <v>2018.0</v>
      </c>
      <c r="C273" s="34">
        <v>3.0</v>
      </c>
      <c r="D273" s="34">
        <v>2.0</v>
      </c>
      <c r="E273" s="34">
        <v>8.0</v>
      </c>
      <c r="F273" s="35" t="s">
        <v>16</v>
      </c>
      <c r="G273" s="10" t="s">
        <v>177</v>
      </c>
      <c r="H273" s="10">
        <v>5.5</v>
      </c>
      <c r="I273" s="10">
        <v>1.23</v>
      </c>
      <c r="J273" s="3">
        <f t="shared" si="1"/>
        <v>6.73</v>
      </c>
      <c r="L273" s="3">
        <f t="shared" si="4"/>
        <v>0</v>
      </c>
    </row>
    <row r="274">
      <c r="A274" s="34">
        <v>289.0</v>
      </c>
      <c r="B274" s="37">
        <v>2018.0</v>
      </c>
      <c r="C274" s="34">
        <v>3.0</v>
      </c>
      <c r="D274" s="34">
        <v>2.0</v>
      </c>
      <c r="E274" s="34">
        <v>9.0</v>
      </c>
      <c r="F274" s="35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  <c r="L274" s="3">
        <f t="shared" si="4"/>
        <v>0</v>
      </c>
    </row>
    <row r="275">
      <c r="A275" s="34">
        <v>290.0</v>
      </c>
      <c r="B275" s="37">
        <v>2018.0</v>
      </c>
      <c r="C275" s="34">
        <v>3.0</v>
      </c>
      <c r="D275" s="34">
        <v>2.0</v>
      </c>
      <c r="E275" s="34">
        <v>9.0</v>
      </c>
      <c r="F275" s="35" t="s">
        <v>16</v>
      </c>
      <c r="G275" s="10" t="s">
        <v>142</v>
      </c>
      <c r="H275" s="10">
        <v>6.67</v>
      </c>
      <c r="I275" s="10">
        <v>3.93</v>
      </c>
      <c r="J275" s="3">
        <f t="shared" si="1"/>
        <v>10.6</v>
      </c>
      <c r="L275" s="3">
        <f t="shared" si="4"/>
        <v>0</v>
      </c>
    </row>
    <row r="276">
      <c r="A276" s="34">
        <v>291.0</v>
      </c>
      <c r="B276" s="37">
        <v>2018.0</v>
      </c>
      <c r="C276" s="34">
        <v>3.0</v>
      </c>
      <c r="D276" s="34">
        <v>2.0</v>
      </c>
      <c r="E276" s="34">
        <v>10.0</v>
      </c>
      <c r="F276" s="35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  <c r="L276" s="3">
        <f t="shared" si="4"/>
        <v>0</v>
      </c>
    </row>
    <row r="277">
      <c r="A277" s="34">
        <v>292.0</v>
      </c>
      <c r="B277" s="37">
        <v>2018.0</v>
      </c>
      <c r="C277" s="34">
        <v>3.0</v>
      </c>
      <c r="D277" s="34">
        <v>2.0</v>
      </c>
      <c r="E277" s="34">
        <v>10.0</v>
      </c>
      <c r="F277" s="35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  <c r="L277" s="3">
        <f t="shared" si="4"/>
        <v>0</v>
      </c>
    </row>
    <row r="278">
      <c r="A278" s="34">
        <v>293.0</v>
      </c>
      <c r="B278" s="37">
        <v>2018.0</v>
      </c>
      <c r="C278" s="34">
        <v>3.0</v>
      </c>
      <c r="D278" s="34">
        <v>2.0</v>
      </c>
      <c r="E278" s="34">
        <v>11.0</v>
      </c>
      <c r="F278" s="35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  <c r="L278" s="3">
        <f t="shared" si="4"/>
        <v>0</v>
      </c>
    </row>
    <row r="279">
      <c r="A279" s="34">
        <v>294.0</v>
      </c>
      <c r="B279" s="37">
        <v>2018.0</v>
      </c>
      <c r="C279" s="34">
        <v>3.0</v>
      </c>
      <c r="D279" s="34">
        <v>2.0</v>
      </c>
      <c r="E279" s="34">
        <v>11.0</v>
      </c>
      <c r="F279" s="35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  <c r="L279" s="3">
        <f t="shared" si="4"/>
        <v>0</v>
      </c>
    </row>
    <row r="280">
      <c r="A280" s="34">
        <v>295.0</v>
      </c>
      <c r="B280" s="37">
        <v>2018.0</v>
      </c>
      <c r="C280" s="34">
        <v>3.0</v>
      </c>
      <c r="D280" s="34">
        <v>2.0</v>
      </c>
      <c r="E280" s="34">
        <v>12.0</v>
      </c>
      <c r="F280" s="35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  <c r="L280" s="3">
        <f t="shared" si="4"/>
        <v>0</v>
      </c>
    </row>
    <row r="281">
      <c r="A281" s="34">
        <v>296.0</v>
      </c>
      <c r="B281" s="37">
        <v>2018.0</v>
      </c>
      <c r="C281" s="34">
        <v>3.0</v>
      </c>
      <c r="D281" s="34">
        <v>2.0</v>
      </c>
      <c r="E281" s="34">
        <v>12.0</v>
      </c>
      <c r="F281" s="35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  <c r="L281" s="3">
        <f t="shared" si="4"/>
        <v>0</v>
      </c>
    </row>
    <row r="282">
      <c r="A282" s="34">
        <v>297.0</v>
      </c>
      <c r="B282" s="37">
        <v>2018.0</v>
      </c>
      <c r="C282" s="34">
        <v>3.0</v>
      </c>
      <c r="D282" s="34">
        <v>3.0</v>
      </c>
      <c r="E282" s="34">
        <v>1.0</v>
      </c>
      <c r="F282" s="35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  <c r="L282" s="3">
        <f t="shared" si="4"/>
        <v>10.9</v>
      </c>
    </row>
    <row r="283">
      <c r="A283" s="34">
        <v>298.0</v>
      </c>
      <c r="B283" s="37">
        <v>2018.0</v>
      </c>
      <c r="C283" s="34">
        <v>3.0</v>
      </c>
      <c r="D283" s="34">
        <v>3.0</v>
      </c>
      <c r="E283" s="34">
        <v>1.0</v>
      </c>
      <c r="F283" s="35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  <c r="L283" s="3">
        <f t="shared" si="4"/>
        <v>0</v>
      </c>
    </row>
    <row r="284">
      <c r="A284" s="34">
        <v>299.0</v>
      </c>
      <c r="B284" s="37">
        <v>2018.0</v>
      </c>
      <c r="C284" s="34">
        <v>3.0</v>
      </c>
      <c r="D284" s="34">
        <v>3.0</v>
      </c>
      <c r="E284" s="34">
        <v>2.0</v>
      </c>
      <c r="F284" s="35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  <c r="L284" s="3">
        <f t="shared" si="4"/>
        <v>0</v>
      </c>
    </row>
    <row r="285">
      <c r="A285" s="34">
        <v>300.0</v>
      </c>
      <c r="B285" s="37">
        <v>2018.0</v>
      </c>
      <c r="C285" s="34">
        <v>3.0</v>
      </c>
      <c r="D285" s="34">
        <v>3.0</v>
      </c>
      <c r="E285" s="34">
        <v>2.0</v>
      </c>
      <c r="F285" s="35" t="s">
        <v>16</v>
      </c>
      <c r="G285" s="10" t="s">
        <v>176</v>
      </c>
      <c r="H285" s="10">
        <v>7.27</v>
      </c>
      <c r="I285" s="10">
        <v>6.43</v>
      </c>
      <c r="J285" s="3">
        <f t="shared" si="1"/>
        <v>13.7</v>
      </c>
      <c r="L285" s="3">
        <f t="shared" si="4"/>
        <v>0</v>
      </c>
    </row>
    <row r="286">
      <c r="A286" s="34">
        <v>301.0</v>
      </c>
      <c r="B286" s="37">
        <v>2018.0</v>
      </c>
      <c r="C286" s="34">
        <v>3.0</v>
      </c>
      <c r="D286" s="34">
        <v>3.0</v>
      </c>
      <c r="E286" s="34">
        <v>3.0</v>
      </c>
      <c r="F286" s="35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  <c r="L286" s="3">
        <f t="shared" si="4"/>
        <v>0</v>
      </c>
    </row>
    <row r="287">
      <c r="A287" s="34">
        <v>302.0</v>
      </c>
      <c r="B287" s="37">
        <v>2018.0</v>
      </c>
      <c r="C287" s="34">
        <v>3.0</v>
      </c>
      <c r="D287" s="34">
        <v>3.0</v>
      </c>
      <c r="E287" s="34">
        <v>3.0</v>
      </c>
      <c r="F287" s="35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  <c r="L287" s="3">
        <f t="shared" si="4"/>
        <v>0</v>
      </c>
    </row>
    <row r="288">
      <c r="A288" s="34">
        <v>303.0</v>
      </c>
      <c r="B288" s="37">
        <v>2018.0</v>
      </c>
      <c r="C288" s="34">
        <v>3.0</v>
      </c>
      <c r="D288" s="34">
        <v>3.0</v>
      </c>
      <c r="E288" s="34">
        <v>4.0</v>
      </c>
      <c r="F288" s="35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  <c r="L288" s="3">
        <f t="shared" si="4"/>
        <v>0</v>
      </c>
    </row>
    <row r="289">
      <c r="A289" s="34">
        <v>304.0</v>
      </c>
      <c r="B289" s="37">
        <v>2018.0</v>
      </c>
      <c r="C289" s="34">
        <v>3.0</v>
      </c>
      <c r="D289" s="34">
        <v>3.0</v>
      </c>
      <c r="E289" s="34">
        <v>4.0</v>
      </c>
      <c r="F289" s="35" t="s">
        <v>16</v>
      </c>
      <c r="G289" s="10" t="s">
        <v>179</v>
      </c>
      <c r="H289" s="10">
        <v>1.57</v>
      </c>
      <c r="I289" s="10">
        <v>1.0</v>
      </c>
      <c r="J289" s="3">
        <f t="shared" si="1"/>
        <v>2.57</v>
      </c>
      <c r="L289" s="3">
        <f t="shared" si="4"/>
        <v>0</v>
      </c>
    </row>
    <row r="290">
      <c r="A290" s="34">
        <v>305.0</v>
      </c>
      <c r="B290" s="37">
        <v>2018.0</v>
      </c>
      <c r="C290" s="34">
        <v>3.0</v>
      </c>
      <c r="D290" s="34">
        <v>3.0</v>
      </c>
      <c r="E290" s="34">
        <v>5.0</v>
      </c>
      <c r="F290" s="35" t="s">
        <v>16</v>
      </c>
      <c r="G290" s="10" t="s">
        <v>178</v>
      </c>
      <c r="H290" s="10">
        <v>7.4</v>
      </c>
      <c r="I290" s="10">
        <v>4.0</v>
      </c>
      <c r="J290" s="3">
        <f t="shared" si="1"/>
        <v>11.4</v>
      </c>
      <c r="L290" s="3">
        <f t="shared" si="4"/>
        <v>0</v>
      </c>
    </row>
    <row r="291">
      <c r="A291" s="34">
        <v>306.0</v>
      </c>
      <c r="B291" s="37">
        <v>2018.0</v>
      </c>
      <c r="C291" s="34">
        <v>3.0</v>
      </c>
      <c r="D291" s="34">
        <v>3.0</v>
      </c>
      <c r="E291" s="34">
        <v>5.0</v>
      </c>
      <c r="F291" s="35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  <c r="L291" s="3">
        <f t="shared" si="4"/>
        <v>0</v>
      </c>
    </row>
    <row r="292">
      <c r="A292" s="34">
        <v>307.0</v>
      </c>
      <c r="B292" s="37">
        <v>2018.0</v>
      </c>
      <c r="C292" s="34">
        <v>3.0</v>
      </c>
      <c r="D292" s="34">
        <v>3.0</v>
      </c>
      <c r="E292" s="34">
        <v>6.0</v>
      </c>
      <c r="F292" s="35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  <c r="L292" s="3">
        <f t="shared" si="4"/>
        <v>0</v>
      </c>
    </row>
    <row r="293">
      <c r="A293" s="34">
        <v>308.0</v>
      </c>
      <c r="B293" s="37">
        <v>2018.0</v>
      </c>
      <c r="C293" s="34">
        <v>3.0</v>
      </c>
      <c r="D293" s="34">
        <v>3.0</v>
      </c>
      <c r="E293" s="34">
        <v>6.0</v>
      </c>
      <c r="F293" s="35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  <c r="L293" s="3">
        <f t="shared" si="4"/>
        <v>0</v>
      </c>
    </row>
    <row r="294">
      <c r="A294" s="34">
        <v>309.0</v>
      </c>
      <c r="B294" s="37">
        <v>2018.0</v>
      </c>
      <c r="C294" s="34">
        <v>3.0</v>
      </c>
      <c r="D294" s="34">
        <v>3.0</v>
      </c>
      <c r="E294" s="34">
        <v>7.0</v>
      </c>
      <c r="F294" s="35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  <c r="L294" s="3">
        <f t="shared" si="4"/>
        <v>0</v>
      </c>
    </row>
    <row r="295">
      <c r="A295" s="34">
        <v>310.0</v>
      </c>
      <c r="B295" s="37">
        <v>2018.0</v>
      </c>
      <c r="C295" s="34">
        <v>3.0</v>
      </c>
      <c r="D295" s="34">
        <v>3.0</v>
      </c>
      <c r="E295" s="34">
        <v>7.0</v>
      </c>
      <c r="F295" s="35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  <c r="L295" s="3">
        <f t="shared" si="4"/>
        <v>0</v>
      </c>
    </row>
    <row r="296">
      <c r="A296" s="34">
        <v>311.0</v>
      </c>
      <c r="B296" s="37">
        <v>2018.0</v>
      </c>
      <c r="C296" s="34">
        <v>3.0</v>
      </c>
      <c r="D296" s="34">
        <v>3.0</v>
      </c>
      <c r="E296" s="34">
        <v>8.0</v>
      </c>
      <c r="F296" s="35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  <c r="L296" s="3">
        <f t="shared" si="4"/>
        <v>0</v>
      </c>
    </row>
    <row r="297">
      <c r="A297" s="34">
        <v>312.0</v>
      </c>
      <c r="B297" s="37">
        <v>2018.0</v>
      </c>
      <c r="C297" s="34">
        <v>3.0</v>
      </c>
      <c r="D297" s="34">
        <v>3.0</v>
      </c>
      <c r="E297" s="34">
        <v>8.0</v>
      </c>
      <c r="F297" s="35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  <c r="L297" s="3">
        <f t="shared" si="4"/>
        <v>0</v>
      </c>
    </row>
    <row r="298">
      <c r="A298" s="34">
        <v>313.0</v>
      </c>
      <c r="B298" s="37">
        <v>2018.0</v>
      </c>
      <c r="C298" s="34">
        <v>3.0</v>
      </c>
      <c r="D298" s="34">
        <v>3.0</v>
      </c>
      <c r="E298" s="34">
        <v>9.0</v>
      </c>
      <c r="F298" s="35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  <c r="L298" s="3">
        <f t="shared" si="4"/>
        <v>0</v>
      </c>
    </row>
    <row r="299">
      <c r="A299" s="34">
        <v>314.0</v>
      </c>
      <c r="B299" s="37">
        <v>2018.0</v>
      </c>
      <c r="C299" s="34">
        <v>3.0</v>
      </c>
      <c r="D299" s="34">
        <v>3.0</v>
      </c>
      <c r="E299" s="34">
        <v>9.0</v>
      </c>
      <c r="F299" s="35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  <c r="L299" s="3">
        <f t="shared" si="4"/>
        <v>0</v>
      </c>
    </row>
    <row r="300">
      <c r="A300" s="34">
        <v>315.0</v>
      </c>
      <c r="B300" s="37">
        <v>2018.0</v>
      </c>
      <c r="C300" s="34">
        <v>3.0</v>
      </c>
      <c r="D300" s="34">
        <v>3.0</v>
      </c>
      <c r="E300" s="34">
        <v>10.0</v>
      </c>
      <c r="F300" s="35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  <c r="L300" s="3">
        <f t="shared" si="4"/>
        <v>0</v>
      </c>
    </row>
    <row r="301">
      <c r="A301" s="34">
        <v>316.0</v>
      </c>
      <c r="B301" s="37">
        <v>2018.0</v>
      </c>
      <c r="C301" s="34">
        <v>3.0</v>
      </c>
      <c r="D301" s="34">
        <v>3.0</v>
      </c>
      <c r="E301" s="34">
        <v>10.0</v>
      </c>
      <c r="F301" s="35" t="s">
        <v>16</v>
      </c>
      <c r="G301" s="10" t="s">
        <v>169</v>
      </c>
      <c r="H301" s="10">
        <v>5.33</v>
      </c>
      <c r="I301" s="10">
        <v>5.23</v>
      </c>
      <c r="J301" s="3">
        <f t="shared" si="1"/>
        <v>10.56</v>
      </c>
      <c r="L301" s="3">
        <f t="shared" si="4"/>
        <v>0</v>
      </c>
    </row>
    <row r="302">
      <c r="A302" s="34">
        <v>317.0</v>
      </c>
      <c r="B302" s="37">
        <v>2018.0</v>
      </c>
      <c r="C302" s="34">
        <v>3.0</v>
      </c>
      <c r="D302" s="34">
        <v>3.0</v>
      </c>
      <c r="E302" s="34">
        <v>11.0</v>
      </c>
      <c r="F302" s="35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  <c r="L302" s="3">
        <f t="shared" si="4"/>
        <v>0</v>
      </c>
    </row>
    <row r="303">
      <c r="A303" s="34">
        <v>318.0</v>
      </c>
      <c r="B303" s="37">
        <v>2018.0</v>
      </c>
      <c r="C303" s="34">
        <v>3.0</v>
      </c>
      <c r="D303" s="34">
        <v>3.0</v>
      </c>
      <c r="E303" s="34">
        <v>11.0</v>
      </c>
      <c r="F303" s="35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  <c r="L303" s="3">
        <f t="shared" si="4"/>
        <v>0</v>
      </c>
    </row>
    <row r="304">
      <c r="A304" s="34">
        <v>319.0</v>
      </c>
      <c r="B304" s="37">
        <v>2018.0</v>
      </c>
      <c r="C304" s="34">
        <v>3.0</v>
      </c>
      <c r="D304" s="34">
        <v>3.0</v>
      </c>
      <c r="E304" s="34">
        <v>12.0</v>
      </c>
      <c r="F304" s="35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  <c r="L304" s="3">
        <f t="shared" si="4"/>
        <v>0</v>
      </c>
    </row>
    <row r="305">
      <c r="A305" s="34">
        <v>320.0</v>
      </c>
      <c r="B305" s="37">
        <v>2018.0</v>
      </c>
      <c r="C305" s="34">
        <v>3.0</v>
      </c>
      <c r="D305" s="34">
        <v>3.0</v>
      </c>
      <c r="E305" s="34">
        <v>12.0</v>
      </c>
      <c r="F305" s="35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  <c r="L305" s="3">
        <f t="shared" si="4"/>
        <v>0</v>
      </c>
    </row>
    <row r="306">
      <c r="A306" s="34">
        <v>321.0</v>
      </c>
      <c r="B306" s="37">
        <v>2018.0</v>
      </c>
      <c r="C306" s="34">
        <v>3.0</v>
      </c>
      <c r="D306" s="34">
        <v>4.0</v>
      </c>
      <c r="E306" s="34">
        <v>1.0</v>
      </c>
      <c r="F306" s="35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  <c r="L306" s="3">
        <f t="shared" si="4"/>
        <v>0</v>
      </c>
    </row>
    <row r="307">
      <c r="A307" s="34">
        <v>322.0</v>
      </c>
      <c r="B307" s="37">
        <v>2018.0</v>
      </c>
      <c r="C307" s="34">
        <v>3.0</v>
      </c>
      <c r="D307" s="34">
        <v>4.0</v>
      </c>
      <c r="E307" s="34">
        <v>1.0</v>
      </c>
      <c r="F307" s="35" t="s">
        <v>16</v>
      </c>
      <c r="G307" s="10" t="s">
        <v>176</v>
      </c>
      <c r="H307" s="10">
        <v>5.57</v>
      </c>
      <c r="I307" s="10">
        <v>5.37</v>
      </c>
      <c r="J307" s="3">
        <f t="shared" si="1"/>
        <v>10.94</v>
      </c>
      <c r="L307" s="3">
        <f t="shared" si="4"/>
        <v>0</v>
      </c>
    </row>
    <row r="308">
      <c r="A308" s="34">
        <v>323.0</v>
      </c>
      <c r="B308" s="37">
        <v>2018.0</v>
      </c>
      <c r="C308" s="34">
        <v>3.0</v>
      </c>
      <c r="D308" s="34">
        <v>4.0</v>
      </c>
      <c r="E308" s="34">
        <v>1.0</v>
      </c>
      <c r="F308" s="35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  <c r="L308" s="3">
        <f t="shared" si="4"/>
        <v>0</v>
      </c>
    </row>
    <row r="309">
      <c r="A309" s="34">
        <v>324.0</v>
      </c>
      <c r="B309" s="37">
        <v>2018.0</v>
      </c>
      <c r="C309" s="34">
        <v>3.0</v>
      </c>
      <c r="D309" s="34">
        <v>4.0</v>
      </c>
      <c r="E309" s="34">
        <v>2.0</v>
      </c>
      <c r="F309" s="35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  <c r="L309" s="3">
        <f t="shared" si="4"/>
        <v>0</v>
      </c>
    </row>
    <row r="310">
      <c r="A310" s="34">
        <v>325.0</v>
      </c>
      <c r="B310" s="37">
        <v>2018.0</v>
      </c>
      <c r="C310" s="34">
        <v>3.0</v>
      </c>
      <c r="D310" s="34">
        <v>4.0</v>
      </c>
      <c r="E310" s="34">
        <v>2.0</v>
      </c>
      <c r="F310" s="35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  <c r="L310" s="3">
        <f t="shared" si="4"/>
        <v>0</v>
      </c>
    </row>
    <row r="311">
      <c r="A311" s="34">
        <v>326.0</v>
      </c>
      <c r="B311" s="37">
        <v>2018.0</v>
      </c>
      <c r="C311" s="34">
        <v>3.0</v>
      </c>
      <c r="D311" s="34">
        <v>4.0</v>
      </c>
      <c r="E311" s="34">
        <v>2.0</v>
      </c>
      <c r="F311" s="35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  <c r="L311" s="3">
        <f t="shared" si="4"/>
        <v>0</v>
      </c>
    </row>
    <row r="312">
      <c r="A312" s="34">
        <v>327.0</v>
      </c>
      <c r="B312" s="37">
        <v>2018.0</v>
      </c>
      <c r="C312" s="34">
        <v>3.0</v>
      </c>
      <c r="D312" s="34">
        <v>4.0</v>
      </c>
      <c r="E312" s="34">
        <v>3.0</v>
      </c>
      <c r="F312" s="35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  <c r="L312" s="3">
        <f t="shared" si="4"/>
        <v>0</v>
      </c>
    </row>
    <row r="313">
      <c r="A313" s="34">
        <v>328.0</v>
      </c>
      <c r="B313" s="37">
        <v>2018.0</v>
      </c>
      <c r="C313" s="34">
        <v>3.0</v>
      </c>
      <c r="D313" s="34">
        <v>4.0</v>
      </c>
      <c r="E313" s="34">
        <v>3.0</v>
      </c>
      <c r="F313" s="35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  <c r="L313" s="3">
        <f t="shared" si="4"/>
        <v>0</v>
      </c>
    </row>
    <row r="314">
      <c r="A314" s="34">
        <v>329.0</v>
      </c>
      <c r="B314" s="37">
        <v>2018.0</v>
      </c>
      <c r="C314" s="34">
        <v>3.0</v>
      </c>
      <c r="D314" s="34">
        <v>4.0</v>
      </c>
      <c r="E314" s="34">
        <v>3.0</v>
      </c>
      <c r="F314" s="35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  <c r="L314" s="3">
        <f t="shared" si="4"/>
        <v>0</v>
      </c>
    </row>
    <row r="315">
      <c r="A315" s="34">
        <v>330.0</v>
      </c>
      <c r="B315" s="37">
        <v>2018.0</v>
      </c>
      <c r="C315" s="34">
        <v>3.0</v>
      </c>
      <c r="D315" s="34">
        <v>4.0</v>
      </c>
      <c r="E315" s="34">
        <v>4.0</v>
      </c>
      <c r="F315" s="35" t="s">
        <v>16</v>
      </c>
      <c r="G315" s="10" t="s">
        <v>169</v>
      </c>
      <c r="H315" s="10">
        <v>7.17</v>
      </c>
      <c r="I315" s="10">
        <v>6.77</v>
      </c>
      <c r="J315" s="3">
        <f t="shared" si="1"/>
        <v>13.94</v>
      </c>
      <c r="L315" s="3">
        <f t="shared" si="4"/>
        <v>0</v>
      </c>
    </row>
    <row r="316">
      <c r="A316" s="34">
        <v>331.0</v>
      </c>
      <c r="B316" s="37">
        <v>2018.0</v>
      </c>
      <c r="C316" s="34">
        <v>3.0</v>
      </c>
      <c r="D316" s="34">
        <v>4.0</v>
      </c>
      <c r="E316" s="34">
        <v>4.0</v>
      </c>
      <c r="F316" s="35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  <c r="L316" s="3">
        <f t="shared" si="4"/>
        <v>0</v>
      </c>
    </row>
    <row r="317">
      <c r="A317" s="34">
        <v>332.0</v>
      </c>
      <c r="B317" s="37">
        <v>2018.0</v>
      </c>
      <c r="C317" s="34">
        <v>3.0</v>
      </c>
      <c r="D317" s="34">
        <v>4.0</v>
      </c>
      <c r="E317" s="34">
        <v>4.0</v>
      </c>
      <c r="F317" s="35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  <c r="L317" s="3">
        <f t="shared" si="4"/>
        <v>0</v>
      </c>
    </row>
    <row r="318">
      <c r="A318" s="34">
        <v>333.0</v>
      </c>
      <c r="B318" s="37">
        <v>2018.0</v>
      </c>
      <c r="C318" s="34">
        <v>3.0</v>
      </c>
      <c r="D318" s="34">
        <v>5.0</v>
      </c>
      <c r="E318" s="34">
        <v>1.0</v>
      </c>
      <c r="F318" s="35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  <c r="L318" s="3">
        <f t="shared" si="4"/>
        <v>0</v>
      </c>
    </row>
    <row r="319">
      <c r="A319" s="34">
        <v>334.0</v>
      </c>
      <c r="B319" s="37">
        <v>2018.0</v>
      </c>
      <c r="C319" s="34">
        <v>3.0</v>
      </c>
      <c r="D319" s="34">
        <v>5.0</v>
      </c>
      <c r="E319" s="34">
        <v>1.0</v>
      </c>
      <c r="F319" s="35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  <c r="L319" s="3">
        <f t="shared" si="4"/>
        <v>0</v>
      </c>
    </row>
    <row r="320">
      <c r="A320" s="34">
        <v>335.0</v>
      </c>
      <c r="B320" s="37">
        <v>2018.0</v>
      </c>
      <c r="C320" s="34">
        <v>3.0</v>
      </c>
      <c r="D320" s="34">
        <v>5.0</v>
      </c>
      <c r="E320" s="34">
        <v>2.0</v>
      </c>
      <c r="F320" s="35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  <c r="L320" s="3">
        <f t="shared" si="4"/>
        <v>0</v>
      </c>
    </row>
    <row r="321">
      <c r="A321" s="34">
        <v>336.0</v>
      </c>
      <c r="B321" s="37">
        <v>2018.0</v>
      </c>
      <c r="C321" s="34">
        <v>3.0</v>
      </c>
      <c r="D321" s="34">
        <v>5.0</v>
      </c>
      <c r="E321" s="34">
        <v>2.0</v>
      </c>
      <c r="F321" s="35" t="s">
        <v>16</v>
      </c>
      <c r="G321" s="10" t="s">
        <v>176</v>
      </c>
      <c r="H321" s="10">
        <v>5.83</v>
      </c>
      <c r="I321" s="10">
        <v>4.0</v>
      </c>
      <c r="J321" s="3">
        <f t="shared" si="1"/>
        <v>9.83</v>
      </c>
      <c r="L321" s="3">
        <f t="shared" si="4"/>
        <v>0</v>
      </c>
    </row>
    <row r="322">
      <c r="A322" s="34">
        <v>337.0</v>
      </c>
      <c r="B322" s="37">
        <v>2018.0</v>
      </c>
      <c r="C322" s="34">
        <v>3.0</v>
      </c>
      <c r="D322" s="34">
        <v>5.0</v>
      </c>
      <c r="E322" s="34">
        <v>3.0</v>
      </c>
      <c r="F322" s="35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  <c r="L322" s="3">
        <f t="shared" si="4"/>
        <v>0</v>
      </c>
    </row>
    <row r="323">
      <c r="A323" s="34">
        <v>338.0</v>
      </c>
      <c r="B323" s="37">
        <v>2018.0</v>
      </c>
      <c r="C323" s="34">
        <v>3.0</v>
      </c>
      <c r="D323" s="34">
        <v>5.0</v>
      </c>
      <c r="E323" s="34">
        <v>3.0</v>
      </c>
      <c r="F323" s="35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  <c r="L323" s="3">
        <f t="shared" si="4"/>
        <v>0</v>
      </c>
    </row>
    <row r="324">
      <c r="A324" s="34">
        <v>339.0</v>
      </c>
      <c r="B324" s="37">
        <v>2018.0</v>
      </c>
      <c r="C324" s="34">
        <v>3.0</v>
      </c>
      <c r="D324" s="34">
        <v>5.0</v>
      </c>
      <c r="E324" s="34">
        <v>4.0</v>
      </c>
      <c r="F324" s="35" t="s">
        <v>16</v>
      </c>
      <c r="G324" s="10" t="s">
        <v>169</v>
      </c>
      <c r="H324" s="10">
        <v>4.5</v>
      </c>
      <c r="I324" s="10">
        <v>3.8</v>
      </c>
      <c r="J324" s="3">
        <f t="shared" si="1"/>
        <v>8.3</v>
      </c>
      <c r="L324" s="3">
        <f t="shared" si="4"/>
        <v>0</v>
      </c>
    </row>
    <row r="325">
      <c r="A325" s="34">
        <v>340.0</v>
      </c>
      <c r="B325" s="37">
        <v>2018.0</v>
      </c>
      <c r="C325" s="34">
        <v>3.0</v>
      </c>
      <c r="D325" s="34">
        <v>5.0</v>
      </c>
      <c r="E325" s="34">
        <v>4.0</v>
      </c>
      <c r="F325" s="35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  <c r="L325" s="3">
        <f t="shared" si="4"/>
        <v>0</v>
      </c>
    </row>
    <row r="326">
      <c r="A326" s="34">
        <v>341.0</v>
      </c>
      <c r="B326" s="37">
        <v>2018.0</v>
      </c>
      <c r="C326" s="34">
        <v>3.0</v>
      </c>
      <c r="D326" s="37">
        <v>6.0</v>
      </c>
      <c r="E326" s="34">
        <v>1.0</v>
      </c>
      <c r="F326" s="35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  <c r="L326" s="3">
        <f t="shared" si="4"/>
        <v>0</v>
      </c>
    </row>
    <row r="327">
      <c r="A327" s="34">
        <v>342.0</v>
      </c>
      <c r="B327" s="37">
        <v>2018.0</v>
      </c>
      <c r="C327" s="34">
        <v>3.0</v>
      </c>
      <c r="D327" s="37">
        <v>6.0</v>
      </c>
      <c r="E327" s="34">
        <v>1.0</v>
      </c>
      <c r="F327" s="35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  <c r="L327" s="3">
        <f t="shared" si="4"/>
        <v>0</v>
      </c>
    </row>
    <row r="328">
      <c r="A328" s="34">
        <v>343.0</v>
      </c>
      <c r="B328" s="37">
        <v>2018.0</v>
      </c>
      <c r="C328" s="34">
        <v>3.0</v>
      </c>
      <c r="D328" s="37">
        <v>6.0</v>
      </c>
      <c r="E328" s="34">
        <v>2.0</v>
      </c>
      <c r="F328" s="35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  <c r="L328" s="3">
        <f t="shared" si="4"/>
        <v>0</v>
      </c>
    </row>
    <row r="329">
      <c r="A329" s="34">
        <v>344.0</v>
      </c>
      <c r="B329" s="37">
        <v>2018.0</v>
      </c>
      <c r="C329" s="34">
        <v>3.0</v>
      </c>
      <c r="D329" s="37">
        <v>6.0</v>
      </c>
      <c r="E329" s="34">
        <v>2.0</v>
      </c>
      <c r="F329" s="35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  <c r="L329" s="3">
        <f t="shared" si="4"/>
        <v>0</v>
      </c>
    </row>
    <row r="330">
      <c r="A330" s="34">
        <v>345.0</v>
      </c>
      <c r="B330" s="37">
        <v>2018.0</v>
      </c>
      <c r="C330" s="34">
        <v>3.0</v>
      </c>
      <c r="D330" s="37">
        <v>7.0</v>
      </c>
      <c r="E330" s="37">
        <v>1.0</v>
      </c>
      <c r="F330" s="35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  <c r="L330" s="3">
        <f t="shared" si="4"/>
        <v>0</v>
      </c>
    </row>
    <row r="331">
      <c r="A331" s="34">
        <v>346.0</v>
      </c>
      <c r="B331" s="37">
        <v>2018.0</v>
      </c>
      <c r="C331" s="34">
        <v>3.0</v>
      </c>
      <c r="D331" s="37">
        <v>7.0</v>
      </c>
      <c r="E331" s="37">
        <v>1.0</v>
      </c>
      <c r="F331" s="35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>
        <f t="shared" si="4"/>
        <v>0</v>
      </c>
      <c r="M331" s="3">
        <f>SUM(L222:L331)</f>
        <v>34.26</v>
      </c>
    </row>
    <row r="332">
      <c r="A332" s="34">
        <v>355.0</v>
      </c>
      <c r="B332" s="37">
        <v>2018.0</v>
      </c>
      <c r="C332" s="37">
        <v>4.0</v>
      </c>
      <c r="D332" s="34">
        <v>1.0</v>
      </c>
      <c r="E332" s="34">
        <v>1.0</v>
      </c>
      <c r="F332" s="35" t="s">
        <v>16</v>
      </c>
      <c r="G332" s="57" t="s">
        <v>17</v>
      </c>
      <c r="H332" s="10">
        <v>6.0</v>
      </c>
      <c r="I332" s="10">
        <v>4.1</v>
      </c>
      <c r="J332" s="3">
        <f t="shared" si="1"/>
        <v>10.1</v>
      </c>
      <c r="L332" s="3">
        <f t="shared" ref="L332:L441" si="5">IF(G332="Barron Mamiya",J332,0)</f>
        <v>0</v>
      </c>
    </row>
    <row r="333">
      <c r="A333" s="34">
        <v>356.0</v>
      </c>
      <c r="B333" s="37">
        <v>2018.0</v>
      </c>
      <c r="C333" s="37">
        <v>4.0</v>
      </c>
      <c r="D333" s="34">
        <v>1.0</v>
      </c>
      <c r="E333" s="34">
        <v>1.0</v>
      </c>
      <c r="F333" s="35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  <c r="L333" s="3">
        <f t="shared" si="5"/>
        <v>0</v>
      </c>
    </row>
    <row r="334">
      <c r="A334" s="34">
        <v>357.0</v>
      </c>
      <c r="B334" s="37">
        <v>2018.0</v>
      </c>
      <c r="C334" s="37">
        <v>4.0</v>
      </c>
      <c r="D334" s="34">
        <v>1.0</v>
      </c>
      <c r="E334" s="34">
        <v>1.0</v>
      </c>
      <c r="F334" s="35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  <c r="L334" s="3">
        <f t="shared" si="5"/>
        <v>0</v>
      </c>
    </row>
    <row r="335">
      <c r="A335" s="34">
        <v>358.0</v>
      </c>
      <c r="B335" s="37">
        <v>2018.0</v>
      </c>
      <c r="C335" s="37">
        <v>4.0</v>
      </c>
      <c r="D335" s="34">
        <v>1.0</v>
      </c>
      <c r="E335" s="34">
        <v>2.0</v>
      </c>
      <c r="F335" s="35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  <c r="L335" s="3">
        <f t="shared" si="5"/>
        <v>0</v>
      </c>
    </row>
    <row r="336">
      <c r="A336" s="34">
        <v>359.0</v>
      </c>
      <c r="B336" s="37">
        <v>2018.0</v>
      </c>
      <c r="C336" s="37">
        <v>4.0</v>
      </c>
      <c r="D336" s="34">
        <v>1.0</v>
      </c>
      <c r="E336" s="34">
        <v>2.0</v>
      </c>
      <c r="F336" s="35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  <c r="L336" s="3">
        <f t="shared" si="5"/>
        <v>0</v>
      </c>
    </row>
    <row r="337">
      <c r="A337" s="34">
        <v>360.0</v>
      </c>
      <c r="B337" s="37">
        <v>2018.0</v>
      </c>
      <c r="C337" s="37">
        <v>4.0</v>
      </c>
      <c r="D337" s="34">
        <v>1.0</v>
      </c>
      <c r="E337" s="34">
        <v>2.0</v>
      </c>
      <c r="F337" s="35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  <c r="L337" s="3">
        <f t="shared" si="5"/>
        <v>0</v>
      </c>
    </row>
    <row r="338">
      <c r="A338" s="34">
        <v>361.0</v>
      </c>
      <c r="B338" s="37">
        <v>2018.0</v>
      </c>
      <c r="C338" s="37">
        <v>4.0</v>
      </c>
      <c r="D338" s="34">
        <v>1.0</v>
      </c>
      <c r="E338" s="34">
        <v>3.0</v>
      </c>
      <c r="F338" s="35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  <c r="L338" s="3">
        <f t="shared" si="5"/>
        <v>0</v>
      </c>
    </row>
    <row r="339">
      <c r="A339" s="34">
        <v>362.0</v>
      </c>
      <c r="B339" s="37">
        <v>2018.0</v>
      </c>
      <c r="C339" s="37">
        <v>4.0</v>
      </c>
      <c r="D339" s="34">
        <v>1.0</v>
      </c>
      <c r="E339" s="34">
        <v>3.0</v>
      </c>
      <c r="F339" s="35" t="s">
        <v>16</v>
      </c>
      <c r="G339" s="10" t="s">
        <v>176</v>
      </c>
      <c r="H339" s="10">
        <v>4.5</v>
      </c>
      <c r="I339" s="10">
        <v>3.5</v>
      </c>
      <c r="J339" s="3">
        <f t="shared" si="1"/>
        <v>8</v>
      </c>
      <c r="L339" s="3">
        <f t="shared" si="5"/>
        <v>0</v>
      </c>
    </row>
    <row r="340">
      <c r="A340" s="34">
        <v>363.0</v>
      </c>
      <c r="B340" s="37">
        <v>2018.0</v>
      </c>
      <c r="C340" s="37">
        <v>4.0</v>
      </c>
      <c r="D340" s="34">
        <v>1.0</v>
      </c>
      <c r="E340" s="34">
        <v>3.0</v>
      </c>
      <c r="F340" s="35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  <c r="L340" s="3">
        <f t="shared" si="5"/>
        <v>0</v>
      </c>
    </row>
    <row r="341">
      <c r="A341" s="34">
        <v>364.0</v>
      </c>
      <c r="B341" s="37">
        <v>2018.0</v>
      </c>
      <c r="C341" s="37">
        <v>4.0</v>
      </c>
      <c r="D341" s="34">
        <v>1.0</v>
      </c>
      <c r="E341" s="34">
        <v>4.0</v>
      </c>
      <c r="F341" s="35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  <c r="L341" s="3">
        <f t="shared" si="5"/>
        <v>0</v>
      </c>
    </row>
    <row r="342">
      <c r="A342" s="34">
        <v>365.0</v>
      </c>
      <c r="B342" s="37">
        <v>2018.0</v>
      </c>
      <c r="C342" s="37">
        <v>4.0</v>
      </c>
      <c r="D342" s="34">
        <v>1.0</v>
      </c>
      <c r="E342" s="34">
        <v>4.0</v>
      </c>
      <c r="F342" s="35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  <c r="L342" s="3">
        <f t="shared" si="5"/>
        <v>0</v>
      </c>
    </row>
    <row r="343">
      <c r="A343" s="34">
        <v>366.0</v>
      </c>
      <c r="B343" s="37">
        <v>2018.0</v>
      </c>
      <c r="C343" s="37">
        <v>4.0</v>
      </c>
      <c r="D343" s="34">
        <v>1.0</v>
      </c>
      <c r="E343" s="34">
        <v>4.0</v>
      </c>
      <c r="F343" s="35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  <c r="L343" s="3">
        <f t="shared" si="5"/>
        <v>0</v>
      </c>
    </row>
    <row r="344">
      <c r="A344" s="34">
        <v>367.0</v>
      </c>
      <c r="B344" s="37">
        <v>2018.0</v>
      </c>
      <c r="C344" s="37">
        <v>4.0</v>
      </c>
      <c r="D344" s="34">
        <v>1.0</v>
      </c>
      <c r="E344" s="34">
        <v>5.0</v>
      </c>
      <c r="F344" s="35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  <c r="L344" s="3">
        <f t="shared" si="5"/>
        <v>0</v>
      </c>
    </row>
    <row r="345">
      <c r="A345" s="34">
        <v>368.0</v>
      </c>
      <c r="B345" s="37">
        <v>2018.0</v>
      </c>
      <c r="C345" s="37">
        <v>4.0</v>
      </c>
      <c r="D345" s="34">
        <v>1.0</v>
      </c>
      <c r="E345" s="34">
        <v>5.0</v>
      </c>
      <c r="F345" s="35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  <c r="L345" s="3">
        <f t="shared" si="5"/>
        <v>0</v>
      </c>
    </row>
    <row r="346">
      <c r="A346" s="34">
        <v>369.0</v>
      </c>
      <c r="B346" s="37">
        <v>2018.0</v>
      </c>
      <c r="C346" s="37">
        <v>4.0</v>
      </c>
      <c r="D346" s="34">
        <v>1.0</v>
      </c>
      <c r="E346" s="34">
        <v>5.0</v>
      </c>
      <c r="F346" s="35" t="s">
        <v>16</v>
      </c>
      <c r="G346" s="10" t="s">
        <v>182</v>
      </c>
      <c r="H346" s="10">
        <v>2.17</v>
      </c>
      <c r="I346" s="10">
        <v>0.8</v>
      </c>
      <c r="J346" s="3">
        <f t="shared" si="1"/>
        <v>2.97</v>
      </c>
      <c r="L346" s="3">
        <f t="shared" si="5"/>
        <v>2.97</v>
      </c>
    </row>
    <row r="347">
      <c r="A347" s="34">
        <v>370.0</v>
      </c>
      <c r="B347" s="37">
        <v>2018.0</v>
      </c>
      <c r="C347" s="37">
        <v>4.0</v>
      </c>
      <c r="D347" s="34">
        <v>1.0</v>
      </c>
      <c r="E347" s="34">
        <v>6.0</v>
      </c>
      <c r="F347" s="35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  <c r="L347" s="3">
        <f t="shared" si="5"/>
        <v>0</v>
      </c>
    </row>
    <row r="348">
      <c r="A348" s="34">
        <v>371.0</v>
      </c>
      <c r="B348" s="37">
        <v>2018.0</v>
      </c>
      <c r="C348" s="37">
        <v>4.0</v>
      </c>
      <c r="D348" s="34">
        <v>1.0</v>
      </c>
      <c r="E348" s="34">
        <v>6.0</v>
      </c>
      <c r="F348" s="35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  <c r="L348" s="3">
        <f t="shared" si="5"/>
        <v>0</v>
      </c>
    </row>
    <row r="349">
      <c r="A349" s="34">
        <v>372.0</v>
      </c>
      <c r="B349" s="37">
        <v>2018.0</v>
      </c>
      <c r="C349" s="37">
        <v>4.0</v>
      </c>
      <c r="D349" s="34">
        <v>1.0</v>
      </c>
      <c r="E349" s="34">
        <v>6.0</v>
      </c>
      <c r="F349" s="35" t="s">
        <v>16</v>
      </c>
      <c r="G349" s="10" t="s">
        <v>183</v>
      </c>
      <c r="H349" s="10">
        <v>3.17</v>
      </c>
      <c r="I349" s="10">
        <v>3.1</v>
      </c>
      <c r="J349" s="3">
        <f t="shared" si="1"/>
        <v>6.27</v>
      </c>
      <c r="L349" s="3">
        <f t="shared" si="5"/>
        <v>0</v>
      </c>
    </row>
    <row r="350">
      <c r="A350" s="34">
        <v>373.0</v>
      </c>
      <c r="B350" s="37">
        <v>2018.0</v>
      </c>
      <c r="C350" s="37">
        <v>4.0</v>
      </c>
      <c r="D350" s="34">
        <v>1.0</v>
      </c>
      <c r="E350" s="34">
        <v>7.0</v>
      </c>
      <c r="F350" s="35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  <c r="L350" s="3">
        <f t="shared" si="5"/>
        <v>0</v>
      </c>
    </row>
    <row r="351">
      <c r="A351" s="34">
        <v>374.0</v>
      </c>
      <c r="B351" s="37">
        <v>2018.0</v>
      </c>
      <c r="C351" s="37">
        <v>4.0</v>
      </c>
      <c r="D351" s="34">
        <v>1.0</v>
      </c>
      <c r="E351" s="34">
        <v>7.0</v>
      </c>
      <c r="F351" s="35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  <c r="L351" s="3">
        <f t="shared" si="5"/>
        <v>0</v>
      </c>
    </row>
    <row r="352">
      <c r="A352" s="34">
        <v>375.0</v>
      </c>
      <c r="B352" s="37">
        <v>2018.0</v>
      </c>
      <c r="C352" s="37">
        <v>4.0</v>
      </c>
      <c r="D352" s="34">
        <v>1.0</v>
      </c>
      <c r="E352" s="34">
        <v>7.0</v>
      </c>
      <c r="F352" s="35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  <c r="L352" s="3">
        <f t="shared" si="5"/>
        <v>0</v>
      </c>
    </row>
    <row r="353">
      <c r="A353" s="34">
        <v>376.0</v>
      </c>
      <c r="B353" s="37">
        <v>2018.0</v>
      </c>
      <c r="C353" s="37">
        <v>4.0</v>
      </c>
      <c r="D353" s="34">
        <v>1.0</v>
      </c>
      <c r="E353" s="34">
        <v>8.0</v>
      </c>
      <c r="F353" s="35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  <c r="L353" s="3">
        <f t="shared" si="5"/>
        <v>0</v>
      </c>
    </row>
    <row r="354">
      <c r="A354" s="34">
        <v>377.0</v>
      </c>
      <c r="B354" s="37">
        <v>2018.0</v>
      </c>
      <c r="C354" s="37">
        <v>4.0</v>
      </c>
      <c r="D354" s="34">
        <v>1.0</v>
      </c>
      <c r="E354" s="34">
        <v>8.0</v>
      </c>
      <c r="F354" s="35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  <c r="L354" s="3">
        <f t="shared" si="5"/>
        <v>0</v>
      </c>
    </row>
    <row r="355">
      <c r="A355" s="34">
        <v>378.0</v>
      </c>
      <c r="B355" s="37">
        <v>2018.0</v>
      </c>
      <c r="C355" s="37">
        <v>4.0</v>
      </c>
      <c r="D355" s="34">
        <v>1.0</v>
      </c>
      <c r="E355" s="34">
        <v>8.0</v>
      </c>
      <c r="F355" s="35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  <c r="L355" s="3">
        <f t="shared" si="5"/>
        <v>0</v>
      </c>
    </row>
    <row r="356">
      <c r="A356" s="34">
        <v>379.0</v>
      </c>
      <c r="B356" s="37">
        <v>2018.0</v>
      </c>
      <c r="C356" s="37">
        <v>4.0</v>
      </c>
      <c r="D356" s="34">
        <v>1.0</v>
      </c>
      <c r="E356" s="34">
        <v>9.0</v>
      </c>
      <c r="F356" s="35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  <c r="L356" s="3">
        <f t="shared" si="5"/>
        <v>0</v>
      </c>
    </row>
    <row r="357">
      <c r="A357" s="34">
        <v>380.0</v>
      </c>
      <c r="B357" s="37">
        <v>2018.0</v>
      </c>
      <c r="C357" s="37">
        <v>4.0</v>
      </c>
      <c r="D357" s="34">
        <v>1.0</v>
      </c>
      <c r="E357" s="34">
        <v>9.0</v>
      </c>
      <c r="F357" s="35" t="s">
        <v>16</v>
      </c>
      <c r="G357" s="10" t="s">
        <v>178</v>
      </c>
      <c r="H357" s="10">
        <v>8.5</v>
      </c>
      <c r="I357" s="10">
        <v>6.57</v>
      </c>
      <c r="J357" s="3">
        <f t="shared" si="1"/>
        <v>15.07</v>
      </c>
      <c r="L357" s="3">
        <f t="shared" si="5"/>
        <v>0</v>
      </c>
    </row>
    <row r="358">
      <c r="A358" s="34">
        <v>381.0</v>
      </c>
      <c r="B358" s="37">
        <v>2018.0</v>
      </c>
      <c r="C358" s="37">
        <v>4.0</v>
      </c>
      <c r="D358" s="34">
        <v>1.0</v>
      </c>
      <c r="E358" s="34">
        <v>9.0</v>
      </c>
      <c r="F358" s="35" t="s">
        <v>16</v>
      </c>
      <c r="G358" s="10" t="s">
        <v>142</v>
      </c>
      <c r="H358" s="10">
        <v>5.67</v>
      </c>
      <c r="I358" s="10">
        <v>4.73</v>
      </c>
      <c r="J358" s="3">
        <f t="shared" si="1"/>
        <v>10.4</v>
      </c>
      <c r="L358" s="3">
        <f t="shared" si="5"/>
        <v>0</v>
      </c>
    </row>
    <row r="359">
      <c r="A359" s="34">
        <v>382.0</v>
      </c>
      <c r="B359" s="37">
        <v>2018.0</v>
      </c>
      <c r="C359" s="37">
        <v>4.0</v>
      </c>
      <c r="D359" s="34">
        <v>1.0</v>
      </c>
      <c r="E359" s="34">
        <v>10.0</v>
      </c>
      <c r="F359" s="35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  <c r="L359" s="3">
        <f t="shared" si="5"/>
        <v>0</v>
      </c>
    </row>
    <row r="360">
      <c r="A360" s="34">
        <v>383.0</v>
      </c>
      <c r="B360" s="37">
        <v>2018.0</v>
      </c>
      <c r="C360" s="37">
        <v>4.0</v>
      </c>
      <c r="D360" s="34">
        <v>1.0</v>
      </c>
      <c r="E360" s="34">
        <v>10.0</v>
      </c>
      <c r="F360" s="35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  <c r="L360" s="3">
        <f t="shared" si="5"/>
        <v>0</v>
      </c>
    </row>
    <row r="361">
      <c r="A361" s="34">
        <v>384.0</v>
      </c>
      <c r="B361" s="37">
        <v>2018.0</v>
      </c>
      <c r="C361" s="37">
        <v>4.0</v>
      </c>
      <c r="D361" s="34">
        <v>1.0</v>
      </c>
      <c r="E361" s="34">
        <v>10.0</v>
      </c>
      <c r="F361" s="35" t="s">
        <v>16</v>
      </c>
      <c r="G361" s="10" t="s">
        <v>177</v>
      </c>
      <c r="H361" s="10">
        <v>4.4</v>
      </c>
      <c r="I361" s="10">
        <v>4.17</v>
      </c>
      <c r="J361" s="3">
        <f t="shared" si="1"/>
        <v>8.57</v>
      </c>
      <c r="L361" s="3">
        <f t="shared" si="5"/>
        <v>0</v>
      </c>
    </row>
    <row r="362">
      <c r="A362" s="34">
        <v>385.0</v>
      </c>
      <c r="B362" s="37">
        <v>2018.0</v>
      </c>
      <c r="C362" s="37">
        <v>4.0</v>
      </c>
      <c r="D362" s="34">
        <v>1.0</v>
      </c>
      <c r="E362" s="34">
        <v>11.0</v>
      </c>
      <c r="F362" s="35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  <c r="L362" s="3">
        <f t="shared" si="5"/>
        <v>0</v>
      </c>
    </row>
    <row r="363">
      <c r="A363" s="34">
        <v>386.0</v>
      </c>
      <c r="B363" s="37">
        <v>2018.0</v>
      </c>
      <c r="C363" s="37">
        <v>4.0</v>
      </c>
      <c r="D363" s="34">
        <v>1.0</v>
      </c>
      <c r="E363" s="34">
        <v>11.0</v>
      </c>
      <c r="F363" s="35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  <c r="L363" s="3">
        <f t="shared" si="5"/>
        <v>0</v>
      </c>
    </row>
    <row r="364">
      <c r="A364" s="34">
        <v>387.0</v>
      </c>
      <c r="B364" s="37">
        <v>2018.0</v>
      </c>
      <c r="C364" s="37">
        <v>4.0</v>
      </c>
      <c r="D364" s="34">
        <v>1.0</v>
      </c>
      <c r="E364" s="34">
        <v>11.0</v>
      </c>
      <c r="F364" s="35" t="s">
        <v>16</v>
      </c>
      <c r="G364" s="10" t="s">
        <v>179</v>
      </c>
      <c r="H364" s="10">
        <v>4.07</v>
      </c>
      <c r="I364" s="10">
        <v>3.77</v>
      </c>
      <c r="J364" s="3">
        <f t="shared" si="1"/>
        <v>7.84</v>
      </c>
      <c r="L364" s="3">
        <f t="shared" si="5"/>
        <v>0</v>
      </c>
    </row>
    <row r="365">
      <c r="A365" s="34">
        <v>388.0</v>
      </c>
      <c r="B365" s="37">
        <v>2018.0</v>
      </c>
      <c r="C365" s="37">
        <v>4.0</v>
      </c>
      <c r="D365" s="34">
        <v>1.0</v>
      </c>
      <c r="E365" s="34">
        <v>12.0</v>
      </c>
      <c r="F365" s="35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  <c r="L365" s="3">
        <f t="shared" si="5"/>
        <v>0</v>
      </c>
    </row>
    <row r="366">
      <c r="A366" s="34">
        <v>389.0</v>
      </c>
      <c r="B366" s="37">
        <v>2018.0</v>
      </c>
      <c r="C366" s="37">
        <v>4.0</v>
      </c>
      <c r="D366" s="34">
        <v>1.0</v>
      </c>
      <c r="E366" s="34">
        <v>12.0</v>
      </c>
      <c r="F366" s="35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  <c r="L366" s="3">
        <f t="shared" si="5"/>
        <v>0</v>
      </c>
    </row>
    <row r="367">
      <c r="A367" s="34">
        <v>390.0</v>
      </c>
      <c r="B367" s="37">
        <v>2018.0</v>
      </c>
      <c r="C367" s="37">
        <v>4.0</v>
      </c>
      <c r="D367" s="34">
        <v>1.0</v>
      </c>
      <c r="E367" s="34">
        <v>12.0</v>
      </c>
      <c r="F367" s="35" t="s">
        <v>16</v>
      </c>
      <c r="G367" s="10" t="s">
        <v>169</v>
      </c>
      <c r="H367" s="10">
        <v>1.37</v>
      </c>
      <c r="I367" s="10">
        <v>0.8</v>
      </c>
      <c r="J367" s="3">
        <f t="shared" si="1"/>
        <v>2.17</v>
      </c>
      <c r="L367" s="3">
        <f t="shared" si="5"/>
        <v>0</v>
      </c>
    </row>
    <row r="368">
      <c r="A368" s="34">
        <v>391.0</v>
      </c>
      <c r="B368" s="37">
        <v>2018.0</v>
      </c>
      <c r="C368" s="37">
        <v>4.0</v>
      </c>
      <c r="D368" s="34">
        <v>2.0</v>
      </c>
      <c r="E368" s="34">
        <v>1.0</v>
      </c>
      <c r="F368" s="35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  <c r="L368" s="3">
        <f t="shared" si="5"/>
        <v>0</v>
      </c>
    </row>
    <row r="369">
      <c r="A369" s="34">
        <v>392.0</v>
      </c>
      <c r="B369" s="37">
        <v>2018.0</v>
      </c>
      <c r="C369" s="37">
        <v>4.0</v>
      </c>
      <c r="D369" s="34">
        <v>2.0</v>
      </c>
      <c r="E369" s="34">
        <v>1.0</v>
      </c>
      <c r="F369" s="35" t="s">
        <v>16</v>
      </c>
      <c r="G369" s="10" t="s">
        <v>183</v>
      </c>
      <c r="H369" s="10">
        <v>6.0</v>
      </c>
      <c r="I369" s="10">
        <v>5.0</v>
      </c>
      <c r="J369" s="3">
        <f t="shared" si="1"/>
        <v>11</v>
      </c>
      <c r="L369" s="3">
        <f t="shared" si="5"/>
        <v>0</v>
      </c>
    </row>
    <row r="370">
      <c r="A370" s="34">
        <v>393.0</v>
      </c>
      <c r="B370" s="37">
        <v>2018.0</v>
      </c>
      <c r="C370" s="37">
        <v>4.0</v>
      </c>
      <c r="D370" s="34">
        <v>2.0</v>
      </c>
      <c r="E370" s="34">
        <v>2.0</v>
      </c>
      <c r="F370" s="35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  <c r="L370" s="3">
        <f t="shared" si="5"/>
        <v>0</v>
      </c>
    </row>
    <row r="371">
      <c r="A371" s="34">
        <v>394.0</v>
      </c>
      <c r="B371" s="37">
        <v>2018.0</v>
      </c>
      <c r="C371" s="37">
        <v>4.0</v>
      </c>
      <c r="D371" s="34">
        <v>2.0</v>
      </c>
      <c r="E371" s="34">
        <v>2.0</v>
      </c>
      <c r="F371" s="35" t="s">
        <v>16</v>
      </c>
      <c r="G371" s="10" t="s">
        <v>182</v>
      </c>
      <c r="H371" s="10">
        <v>6.17</v>
      </c>
      <c r="I371" s="10">
        <v>4.97</v>
      </c>
      <c r="J371" s="3">
        <f t="shared" si="1"/>
        <v>11.14</v>
      </c>
      <c r="L371" s="3">
        <f t="shared" si="5"/>
        <v>11.14</v>
      </c>
    </row>
    <row r="372">
      <c r="A372" s="34">
        <v>395.0</v>
      </c>
      <c r="B372" s="37">
        <v>2018.0</v>
      </c>
      <c r="C372" s="37">
        <v>4.0</v>
      </c>
      <c r="D372" s="34">
        <v>2.0</v>
      </c>
      <c r="E372" s="34">
        <v>3.0</v>
      </c>
      <c r="F372" s="35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  <c r="L372" s="3">
        <f t="shared" si="5"/>
        <v>0</v>
      </c>
    </row>
    <row r="373">
      <c r="A373" s="34">
        <v>396.0</v>
      </c>
      <c r="B373" s="37">
        <v>2018.0</v>
      </c>
      <c r="C373" s="37">
        <v>4.0</v>
      </c>
      <c r="D373" s="34">
        <v>2.0</v>
      </c>
      <c r="E373" s="34">
        <v>3.0</v>
      </c>
      <c r="F373" s="35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  <c r="L373" s="3">
        <f t="shared" si="5"/>
        <v>0</v>
      </c>
    </row>
    <row r="374">
      <c r="A374" s="34">
        <v>397.0</v>
      </c>
      <c r="B374" s="37">
        <v>2018.0</v>
      </c>
      <c r="C374" s="37">
        <v>4.0</v>
      </c>
      <c r="D374" s="34">
        <v>2.0</v>
      </c>
      <c r="E374" s="34">
        <v>4.0</v>
      </c>
      <c r="F374" s="35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  <c r="L374" s="3">
        <f t="shared" si="5"/>
        <v>0</v>
      </c>
    </row>
    <row r="375">
      <c r="A375" s="34">
        <v>398.0</v>
      </c>
      <c r="B375" s="37">
        <v>2018.0</v>
      </c>
      <c r="C375" s="37">
        <v>4.0</v>
      </c>
      <c r="D375" s="34">
        <v>2.0</v>
      </c>
      <c r="E375" s="34">
        <v>4.0</v>
      </c>
      <c r="F375" s="35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  <c r="L375" s="3">
        <f t="shared" si="5"/>
        <v>0</v>
      </c>
    </row>
    <row r="376">
      <c r="A376" s="34">
        <v>399.0</v>
      </c>
      <c r="B376" s="37">
        <v>2018.0</v>
      </c>
      <c r="C376" s="37">
        <v>4.0</v>
      </c>
      <c r="D376" s="34">
        <v>2.0</v>
      </c>
      <c r="E376" s="34">
        <v>5.0</v>
      </c>
      <c r="F376" s="35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  <c r="L376" s="3">
        <f t="shared" si="5"/>
        <v>0</v>
      </c>
    </row>
    <row r="377">
      <c r="A377" s="34">
        <v>400.0</v>
      </c>
      <c r="B377" s="37">
        <v>2018.0</v>
      </c>
      <c r="C377" s="37">
        <v>4.0</v>
      </c>
      <c r="D377" s="34">
        <v>2.0</v>
      </c>
      <c r="E377" s="34">
        <v>5.0</v>
      </c>
      <c r="F377" s="35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  <c r="L377" s="3">
        <f t="shared" si="5"/>
        <v>0</v>
      </c>
    </row>
    <row r="378">
      <c r="A378" s="34">
        <v>401.0</v>
      </c>
      <c r="B378" s="37">
        <v>2018.0</v>
      </c>
      <c r="C378" s="37">
        <v>4.0</v>
      </c>
      <c r="D378" s="34">
        <v>2.0</v>
      </c>
      <c r="E378" s="34">
        <v>6.0</v>
      </c>
      <c r="F378" s="35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  <c r="L378" s="3">
        <f t="shared" si="5"/>
        <v>0</v>
      </c>
    </row>
    <row r="379">
      <c r="A379" s="34">
        <v>402.0</v>
      </c>
      <c r="B379" s="37">
        <v>2018.0</v>
      </c>
      <c r="C379" s="37">
        <v>4.0</v>
      </c>
      <c r="D379" s="34">
        <v>2.0</v>
      </c>
      <c r="E379" s="34">
        <v>6.0</v>
      </c>
      <c r="F379" s="35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  <c r="L379" s="3">
        <f t="shared" si="5"/>
        <v>0</v>
      </c>
    </row>
    <row r="380">
      <c r="A380" s="34">
        <v>403.0</v>
      </c>
      <c r="B380" s="37">
        <v>2018.0</v>
      </c>
      <c r="C380" s="37">
        <v>4.0</v>
      </c>
      <c r="D380" s="34">
        <v>2.0</v>
      </c>
      <c r="E380" s="34">
        <v>7.0</v>
      </c>
      <c r="F380" s="35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  <c r="L380" s="3">
        <f t="shared" si="5"/>
        <v>0</v>
      </c>
    </row>
    <row r="381">
      <c r="A381" s="34">
        <v>404.0</v>
      </c>
      <c r="B381" s="37">
        <v>2018.0</v>
      </c>
      <c r="C381" s="37">
        <v>4.0</v>
      </c>
      <c r="D381" s="34">
        <v>2.0</v>
      </c>
      <c r="E381" s="34">
        <v>7.0</v>
      </c>
      <c r="F381" s="35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  <c r="L381" s="3">
        <f t="shared" si="5"/>
        <v>0</v>
      </c>
    </row>
    <row r="382">
      <c r="A382" s="34">
        <v>405.0</v>
      </c>
      <c r="B382" s="37">
        <v>2018.0</v>
      </c>
      <c r="C382" s="37">
        <v>4.0</v>
      </c>
      <c r="D382" s="34">
        <v>2.0</v>
      </c>
      <c r="E382" s="34">
        <v>8.0</v>
      </c>
      <c r="F382" s="35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  <c r="L382" s="3">
        <f t="shared" si="5"/>
        <v>0</v>
      </c>
    </row>
    <row r="383">
      <c r="A383" s="34">
        <v>406.0</v>
      </c>
      <c r="B383" s="37">
        <v>2018.0</v>
      </c>
      <c r="C383" s="37">
        <v>4.0</v>
      </c>
      <c r="D383" s="34">
        <v>2.0</v>
      </c>
      <c r="E383" s="34">
        <v>8.0</v>
      </c>
      <c r="F383" s="35" t="s">
        <v>16</v>
      </c>
      <c r="G383" s="10" t="s">
        <v>184</v>
      </c>
      <c r="H383" s="10">
        <v>4.77</v>
      </c>
      <c r="I383" s="10">
        <v>2.23</v>
      </c>
      <c r="J383" s="3">
        <f t="shared" si="1"/>
        <v>7</v>
      </c>
      <c r="L383" s="3">
        <f t="shared" si="5"/>
        <v>0</v>
      </c>
    </row>
    <row r="384">
      <c r="A384" s="34">
        <v>407.0</v>
      </c>
      <c r="B384" s="37">
        <v>2018.0</v>
      </c>
      <c r="C384" s="37">
        <v>4.0</v>
      </c>
      <c r="D384" s="34">
        <v>2.0</v>
      </c>
      <c r="E384" s="34">
        <v>9.0</v>
      </c>
      <c r="F384" s="35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  <c r="L384" s="3">
        <f t="shared" si="5"/>
        <v>0</v>
      </c>
    </row>
    <row r="385">
      <c r="A385" s="34">
        <v>408.0</v>
      </c>
      <c r="B385" s="37">
        <v>2018.0</v>
      </c>
      <c r="C385" s="37">
        <v>4.0</v>
      </c>
      <c r="D385" s="34">
        <v>2.0</v>
      </c>
      <c r="E385" s="34">
        <v>9.0</v>
      </c>
      <c r="F385" s="35" t="s">
        <v>16</v>
      </c>
      <c r="G385" s="10" t="s">
        <v>142</v>
      </c>
      <c r="H385" s="10">
        <v>6.6</v>
      </c>
      <c r="I385" s="10">
        <v>5.73</v>
      </c>
      <c r="J385" s="3">
        <f t="shared" si="1"/>
        <v>12.33</v>
      </c>
      <c r="L385" s="3">
        <f t="shared" si="5"/>
        <v>0</v>
      </c>
    </row>
    <row r="386">
      <c r="A386" s="34">
        <v>409.0</v>
      </c>
      <c r="B386" s="37">
        <v>2018.0</v>
      </c>
      <c r="C386" s="37">
        <v>4.0</v>
      </c>
      <c r="D386" s="34">
        <v>2.0</v>
      </c>
      <c r="E386" s="34">
        <v>10.0</v>
      </c>
      <c r="F386" s="35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  <c r="L386" s="3">
        <f t="shared" si="5"/>
        <v>0</v>
      </c>
    </row>
    <row r="387">
      <c r="A387" s="34">
        <v>410.0</v>
      </c>
      <c r="B387" s="37">
        <v>2018.0</v>
      </c>
      <c r="C387" s="37">
        <v>4.0</v>
      </c>
      <c r="D387" s="34">
        <v>2.0</v>
      </c>
      <c r="E387" s="34">
        <v>10.0</v>
      </c>
      <c r="F387" s="35" t="s">
        <v>16</v>
      </c>
      <c r="G387" s="10" t="s">
        <v>177</v>
      </c>
      <c r="H387" s="10">
        <v>5.17</v>
      </c>
      <c r="I387" s="10">
        <v>3.5</v>
      </c>
      <c r="J387" s="3">
        <f t="shared" si="1"/>
        <v>8.67</v>
      </c>
      <c r="L387" s="3">
        <f t="shared" si="5"/>
        <v>0</v>
      </c>
    </row>
    <row r="388">
      <c r="A388" s="34">
        <v>411.0</v>
      </c>
      <c r="B388" s="37">
        <v>2018.0</v>
      </c>
      <c r="C388" s="37">
        <v>4.0</v>
      </c>
      <c r="D388" s="34">
        <v>2.0</v>
      </c>
      <c r="E388" s="34">
        <v>11.0</v>
      </c>
      <c r="F388" s="35" t="s">
        <v>16</v>
      </c>
      <c r="G388" s="10" t="s">
        <v>176</v>
      </c>
      <c r="H388" s="10">
        <v>7.33</v>
      </c>
      <c r="I388" s="10">
        <v>4.07</v>
      </c>
      <c r="J388" s="3">
        <f t="shared" si="1"/>
        <v>11.4</v>
      </c>
      <c r="L388" s="3">
        <f t="shared" si="5"/>
        <v>0</v>
      </c>
    </row>
    <row r="389">
      <c r="A389" s="34">
        <v>412.0</v>
      </c>
      <c r="B389" s="37">
        <v>2018.0</v>
      </c>
      <c r="C389" s="37">
        <v>4.0</v>
      </c>
      <c r="D389" s="34">
        <v>2.0</v>
      </c>
      <c r="E389" s="34">
        <v>11.0</v>
      </c>
      <c r="F389" s="35" t="s">
        <v>16</v>
      </c>
      <c r="G389" s="10" t="s">
        <v>169</v>
      </c>
      <c r="H389" s="10">
        <v>5.77</v>
      </c>
      <c r="I389" s="10">
        <v>5.5</v>
      </c>
      <c r="J389" s="3">
        <f t="shared" si="1"/>
        <v>11.27</v>
      </c>
      <c r="L389" s="3">
        <f t="shared" si="5"/>
        <v>0</v>
      </c>
    </row>
    <row r="390">
      <c r="A390" s="34">
        <v>413.0</v>
      </c>
      <c r="B390" s="37">
        <v>2018.0</v>
      </c>
      <c r="C390" s="37">
        <v>4.0</v>
      </c>
      <c r="D390" s="34">
        <v>2.0</v>
      </c>
      <c r="E390" s="34">
        <v>12.0</v>
      </c>
      <c r="F390" s="35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  <c r="L390" s="3">
        <f t="shared" si="5"/>
        <v>0</v>
      </c>
    </row>
    <row r="391">
      <c r="A391" s="34">
        <v>414.0</v>
      </c>
      <c r="B391" s="37">
        <v>2018.0</v>
      </c>
      <c r="C391" s="37">
        <v>4.0</v>
      </c>
      <c r="D391" s="34">
        <v>2.0</v>
      </c>
      <c r="E391" s="34">
        <v>12.0</v>
      </c>
      <c r="F391" s="35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  <c r="L391" s="3">
        <f t="shared" si="5"/>
        <v>0</v>
      </c>
    </row>
    <row r="392">
      <c r="A392" s="34">
        <v>415.0</v>
      </c>
      <c r="B392" s="37">
        <v>2018.0</v>
      </c>
      <c r="C392" s="37">
        <v>4.0</v>
      </c>
      <c r="D392" s="34">
        <v>3.0</v>
      </c>
      <c r="E392" s="34">
        <v>1.0</v>
      </c>
      <c r="F392" s="35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  <c r="L392" s="3">
        <f t="shared" si="5"/>
        <v>0</v>
      </c>
    </row>
    <row r="393">
      <c r="A393" s="34">
        <v>416.0</v>
      </c>
      <c r="B393" s="37">
        <v>2018.0</v>
      </c>
      <c r="C393" s="37">
        <v>4.0</v>
      </c>
      <c r="D393" s="34">
        <v>3.0</v>
      </c>
      <c r="E393" s="34">
        <v>1.0</v>
      </c>
      <c r="F393" s="35" t="s">
        <v>16</v>
      </c>
      <c r="G393" s="10" t="s">
        <v>142</v>
      </c>
      <c r="H393" s="10">
        <v>7.17</v>
      </c>
      <c r="I393" s="10">
        <v>6.17</v>
      </c>
      <c r="J393" s="3">
        <f t="shared" si="1"/>
        <v>13.34</v>
      </c>
      <c r="L393" s="3">
        <f t="shared" si="5"/>
        <v>0</v>
      </c>
    </row>
    <row r="394">
      <c r="A394" s="34">
        <v>417.0</v>
      </c>
      <c r="B394" s="37">
        <v>2018.0</v>
      </c>
      <c r="C394" s="37">
        <v>4.0</v>
      </c>
      <c r="D394" s="34">
        <v>3.0</v>
      </c>
      <c r="E394" s="34">
        <v>2.0</v>
      </c>
      <c r="F394" s="35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  <c r="L394" s="3">
        <f t="shared" si="5"/>
        <v>0</v>
      </c>
    </row>
    <row r="395">
      <c r="A395" s="34">
        <v>418.0</v>
      </c>
      <c r="B395" s="37">
        <v>2018.0</v>
      </c>
      <c r="C395" s="37">
        <v>4.0</v>
      </c>
      <c r="D395" s="34">
        <v>3.0</v>
      </c>
      <c r="E395" s="34">
        <v>2.0</v>
      </c>
      <c r="F395" s="35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  <c r="L395" s="3">
        <f t="shared" si="5"/>
        <v>0</v>
      </c>
    </row>
    <row r="396">
      <c r="A396" s="34">
        <v>419.0</v>
      </c>
      <c r="B396" s="37">
        <v>2018.0</v>
      </c>
      <c r="C396" s="37">
        <v>4.0</v>
      </c>
      <c r="D396" s="34">
        <v>3.0</v>
      </c>
      <c r="E396" s="34">
        <v>3.0</v>
      </c>
      <c r="F396" s="35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  <c r="L396" s="3">
        <f t="shared" si="5"/>
        <v>0</v>
      </c>
    </row>
    <row r="397">
      <c r="A397" s="34">
        <v>420.0</v>
      </c>
      <c r="B397" s="37">
        <v>2018.0</v>
      </c>
      <c r="C397" s="37">
        <v>4.0</v>
      </c>
      <c r="D397" s="34">
        <v>3.0</v>
      </c>
      <c r="E397" s="34">
        <v>3.0</v>
      </c>
      <c r="F397" s="35" t="s">
        <v>16</v>
      </c>
      <c r="G397" s="10" t="s">
        <v>179</v>
      </c>
      <c r="H397" s="10">
        <v>6.4</v>
      </c>
      <c r="I397" s="10">
        <v>5.6</v>
      </c>
      <c r="J397" s="3">
        <f t="shared" si="1"/>
        <v>12</v>
      </c>
      <c r="L397" s="3">
        <f t="shared" si="5"/>
        <v>0</v>
      </c>
    </row>
    <row r="398">
      <c r="A398" s="34">
        <v>421.0</v>
      </c>
      <c r="B398" s="37">
        <v>2018.0</v>
      </c>
      <c r="C398" s="37">
        <v>4.0</v>
      </c>
      <c r="D398" s="34">
        <v>3.0</v>
      </c>
      <c r="E398" s="34">
        <v>4.0</v>
      </c>
      <c r="F398" s="35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  <c r="L398" s="3">
        <f t="shared" si="5"/>
        <v>0</v>
      </c>
    </row>
    <row r="399">
      <c r="A399" s="34">
        <v>422.0</v>
      </c>
      <c r="B399" s="37">
        <v>2018.0</v>
      </c>
      <c r="C399" s="37">
        <v>4.0</v>
      </c>
      <c r="D399" s="34">
        <v>3.0</v>
      </c>
      <c r="E399" s="34">
        <v>4.0</v>
      </c>
      <c r="F399" s="35" t="s">
        <v>16</v>
      </c>
      <c r="G399" s="10" t="s">
        <v>176</v>
      </c>
      <c r="H399" s="10">
        <v>6.5</v>
      </c>
      <c r="I399" s="10">
        <v>2.33</v>
      </c>
      <c r="J399" s="3">
        <f t="shared" si="1"/>
        <v>8.83</v>
      </c>
      <c r="L399" s="3">
        <f t="shared" si="5"/>
        <v>0</v>
      </c>
    </row>
    <row r="400">
      <c r="A400" s="34">
        <v>423.0</v>
      </c>
      <c r="B400" s="37">
        <v>2018.0</v>
      </c>
      <c r="C400" s="37">
        <v>4.0</v>
      </c>
      <c r="D400" s="34">
        <v>3.0</v>
      </c>
      <c r="E400" s="34">
        <v>5.0</v>
      </c>
      <c r="F400" s="35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  <c r="L400" s="3">
        <f t="shared" si="5"/>
        <v>0</v>
      </c>
    </row>
    <row r="401">
      <c r="A401" s="34">
        <v>424.0</v>
      </c>
      <c r="B401" s="37">
        <v>2018.0</v>
      </c>
      <c r="C401" s="37">
        <v>4.0</v>
      </c>
      <c r="D401" s="34">
        <v>3.0</v>
      </c>
      <c r="E401" s="34">
        <v>5.0</v>
      </c>
      <c r="F401" s="35" t="s">
        <v>16</v>
      </c>
      <c r="G401" s="10" t="s">
        <v>178</v>
      </c>
      <c r="H401" s="10">
        <v>8.67</v>
      </c>
      <c r="I401" s="10">
        <v>7.17</v>
      </c>
      <c r="J401" s="3">
        <f t="shared" si="1"/>
        <v>15.84</v>
      </c>
      <c r="L401" s="3">
        <f t="shared" si="5"/>
        <v>0</v>
      </c>
    </row>
    <row r="402">
      <c r="A402" s="34">
        <v>425.0</v>
      </c>
      <c r="B402" s="37">
        <v>2018.0</v>
      </c>
      <c r="C402" s="37">
        <v>4.0</v>
      </c>
      <c r="D402" s="34">
        <v>3.0</v>
      </c>
      <c r="E402" s="34">
        <v>6.0</v>
      </c>
      <c r="F402" s="35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  <c r="L402" s="3">
        <f t="shared" si="5"/>
        <v>0</v>
      </c>
    </row>
    <row r="403">
      <c r="A403" s="34">
        <v>426.0</v>
      </c>
      <c r="B403" s="37">
        <v>2018.0</v>
      </c>
      <c r="C403" s="37">
        <v>4.0</v>
      </c>
      <c r="D403" s="34">
        <v>3.0</v>
      </c>
      <c r="E403" s="34">
        <v>6.0</v>
      </c>
      <c r="F403" s="35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  <c r="L403" s="3">
        <f t="shared" si="5"/>
        <v>0</v>
      </c>
    </row>
    <row r="404">
      <c r="A404" s="34">
        <v>427.0</v>
      </c>
      <c r="B404" s="37">
        <v>2018.0</v>
      </c>
      <c r="C404" s="37">
        <v>4.0</v>
      </c>
      <c r="D404" s="34">
        <v>3.0</v>
      </c>
      <c r="E404" s="34">
        <v>7.0</v>
      </c>
      <c r="F404" s="35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  <c r="L404" s="3">
        <f t="shared" si="5"/>
        <v>0</v>
      </c>
    </row>
    <row r="405">
      <c r="A405" s="34">
        <v>428.0</v>
      </c>
      <c r="B405" s="37">
        <v>2018.0</v>
      </c>
      <c r="C405" s="37">
        <v>4.0</v>
      </c>
      <c r="D405" s="34">
        <v>3.0</v>
      </c>
      <c r="E405" s="34">
        <v>7.0</v>
      </c>
      <c r="F405" s="35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  <c r="L405" s="3">
        <f t="shared" si="5"/>
        <v>0</v>
      </c>
    </row>
    <row r="406">
      <c r="A406" s="34">
        <v>429.0</v>
      </c>
      <c r="B406" s="37">
        <v>2018.0</v>
      </c>
      <c r="C406" s="37">
        <v>4.0</v>
      </c>
      <c r="D406" s="34">
        <v>3.0</v>
      </c>
      <c r="E406" s="34">
        <v>8.0</v>
      </c>
      <c r="F406" s="35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  <c r="L406" s="3">
        <f t="shared" si="5"/>
        <v>0</v>
      </c>
    </row>
    <row r="407">
      <c r="A407" s="34">
        <v>430.0</v>
      </c>
      <c r="B407" s="37">
        <v>2018.0</v>
      </c>
      <c r="C407" s="37">
        <v>4.0</v>
      </c>
      <c r="D407" s="34">
        <v>3.0</v>
      </c>
      <c r="E407" s="34">
        <v>8.0</v>
      </c>
      <c r="F407" s="35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  <c r="L407" s="3">
        <f t="shared" si="5"/>
        <v>0</v>
      </c>
    </row>
    <row r="408">
      <c r="A408" s="34">
        <v>431.0</v>
      </c>
      <c r="B408" s="37">
        <v>2018.0</v>
      </c>
      <c r="C408" s="37">
        <v>4.0</v>
      </c>
      <c r="D408" s="34">
        <v>3.0</v>
      </c>
      <c r="E408" s="34">
        <v>9.0</v>
      </c>
      <c r="F408" s="35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  <c r="L408" s="3">
        <f t="shared" si="5"/>
        <v>0</v>
      </c>
    </row>
    <row r="409">
      <c r="A409" s="34">
        <v>432.0</v>
      </c>
      <c r="B409" s="37">
        <v>2018.0</v>
      </c>
      <c r="C409" s="37">
        <v>4.0</v>
      </c>
      <c r="D409" s="34">
        <v>3.0</v>
      </c>
      <c r="E409" s="34">
        <v>9.0</v>
      </c>
      <c r="F409" s="35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  <c r="L409" s="3">
        <f t="shared" si="5"/>
        <v>0</v>
      </c>
    </row>
    <row r="410">
      <c r="A410" s="34">
        <v>433.0</v>
      </c>
      <c r="B410" s="37">
        <v>2018.0</v>
      </c>
      <c r="C410" s="37">
        <v>4.0</v>
      </c>
      <c r="D410" s="34">
        <v>3.0</v>
      </c>
      <c r="E410" s="34">
        <v>10.0</v>
      </c>
      <c r="F410" s="35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  <c r="L410" s="3">
        <f t="shared" si="5"/>
        <v>0</v>
      </c>
    </row>
    <row r="411">
      <c r="A411" s="34">
        <v>434.0</v>
      </c>
      <c r="B411" s="37">
        <v>2018.0</v>
      </c>
      <c r="C411" s="37">
        <v>4.0</v>
      </c>
      <c r="D411" s="34">
        <v>3.0</v>
      </c>
      <c r="E411" s="34">
        <v>10.0</v>
      </c>
      <c r="F411" s="35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  <c r="L411" s="3">
        <f t="shared" si="5"/>
        <v>0</v>
      </c>
    </row>
    <row r="412">
      <c r="A412" s="34">
        <v>435.0</v>
      </c>
      <c r="B412" s="37">
        <v>2018.0</v>
      </c>
      <c r="C412" s="37">
        <v>4.0</v>
      </c>
      <c r="D412" s="34">
        <v>3.0</v>
      </c>
      <c r="E412" s="34">
        <v>11.0</v>
      </c>
      <c r="F412" s="35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  <c r="L412" s="3">
        <f t="shared" si="5"/>
        <v>0</v>
      </c>
    </row>
    <row r="413">
      <c r="A413" s="34">
        <v>436.0</v>
      </c>
      <c r="B413" s="37">
        <v>2018.0</v>
      </c>
      <c r="C413" s="37">
        <v>4.0</v>
      </c>
      <c r="D413" s="34">
        <v>3.0</v>
      </c>
      <c r="E413" s="34">
        <v>11.0</v>
      </c>
      <c r="F413" s="35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  <c r="L413" s="3">
        <f t="shared" si="5"/>
        <v>0</v>
      </c>
    </row>
    <row r="414">
      <c r="A414" s="34">
        <v>437.0</v>
      </c>
      <c r="B414" s="37">
        <v>2018.0</v>
      </c>
      <c r="C414" s="37">
        <v>4.0</v>
      </c>
      <c r="D414" s="34">
        <v>3.0</v>
      </c>
      <c r="E414" s="34">
        <v>12.0</v>
      </c>
      <c r="F414" s="35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  <c r="L414" s="3">
        <f t="shared" si="5"/>
        <v>0</v>
      </c>
    </row>
    <row r="415">
      <c r="A415" s="34">
        <v>438.0</v>
      </c>
      <c r="B415" s="37">
        <v>2018.0</v>
      </c>
      <c r="C415" s="37">
        <v>4.0</v>
      </c>
      <c r="D415" s="34">
        <v>3.0</v>
      </c>
      <c r="E415" s="34">
        <v>12.0</v>
      </c>
      <c r="F415" s="35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  <c r="L415" s="3">
        <f t="shared" si="5"/>
        <v>0</v>
      </c>
    </row>
    <row r="416">
      <c r="A416" s="34">
        <v>439.0</v>
      </c>
      <c r="B416" s="37">
        <v>2018.0</v>
      </c>
      <c r="C416" s="37">
        <v>4.0</v>
      </c>
      <c r="D416" s="34">
        <v>4.0</v>
      </c>
      <c r="E416" s="34">
        <v>1.0</v>
      </c>
      <c r="F416" s="35" t="s">
        <v>16</v>
      </c>
      <c r="G416" s="10" t="s">
        <v>142</v>
      </c>
      <c r="H416" s="10">
        <v>6.03</v>
      </c>
      <c r="I416" s="10">
        <v>5.63</v>
      </c>
      <c r="J416" s="3">
        <f t="shared" si="1"/>
        <v>11.66</v>
      </c>
      <c r="L416" s="3">
        <f t="shared" si="5"/>
        <v>0</v>
      </c>
    </row>
    <row r="417">
      <c r="A417" s="34">
        <v>440.0</v>
      </c>
      <c r="B417" s="37">
        <v>2018.0</v>
      </c>
      <c r="C417" s="37">
        <v>4.0</v>
      </c>
      <c r="D417" s="34">
        <v>4.0</v>
      </c>
      <c r="E417" s="34">
        <v>1.0</v>
      </c>
      <c r="F417" s="35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  <c r="L417" s="3">
        <f t="shared" si="5"/>
        <v>0</v>
      </c>
    </row>
    <row r="418">
      <c r="A418" s="34">
        <v>441.0</v>
      </c>
      <c r="B418" s="37">
        <v>2018.0</v>
      </c>
      <c r="C418" s="37">
        <v>4.0</v>
      </c>
      <c r="D418" s="34">
        <v>4.0</v>
      </c>
      <c r="E418" s="34">
        <v>1.0</v>
      </c>
      <c r="F418" s="35" t="s">
        <v>16</v>
      </c>
      <c r="G418" s="10" t="s">
        <v>179</v>
      </c>
      <c r="H418" s="10">
        <v>7.0</v>
      </c>
      <c r="I418" s="10">
        <v>6.6</v>
      </c>
      <c r="J418" s="3">
        <f t="shared" si="1"/>
        <v>13.6</v>
      </c>
      <c r="L418" s="3">
        <f t="shared" si="5"/>
        <v>0</v>
      </c>
    </row>
    <row r="419">
      <c r="A419" s="34">
        <v>442.0</v>
      </c>
      <c r="B419" s="37">
        <v>2018.0</v>
      </c>
      <c r="C419" s="37">
        <v>4.0</v>
      </c>
      <c r="D419" s="34">
        <v>4.0</v>
      </c>
      <c r="E419" s="34">
        <v>2.0</v>
      </c>
      <c r="F419" s="35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  <c r="L419" s="3">
        <f t="shared" si="5"/>
        <v>0</v>
      </c>
    </row>
    <row r="420">
      <c r="A420" s="34">
        <v>443.0</v>
      </c>
      <c r="B420" s="37">
        <v>2018.0</v>
      </c>
      <c r="C420" s="37">
        <v>4.0</v>
      </c>
      <c r="D420" s="34">
        <v>4.0</v>
      </c>
      <c r="E420" s="34">
        <v>2.0</v>
      </c>
      <c r="F420" s="35" t="s">
        <v>16</v>
      </c>
      <c r="G420" s="10" t="s">
        <v>178</v>
      </c>
      <c r="H420" s="10">
        <v>7.23</v>
      </c>
      <c r="I420" s="10">
        <v>6.5</v>
      </c>
      <c r="J420" s="3">
        <f t="shared" si="1"/>
        <v>13.73</v>
      </c>
      <c r="L420" s="3">
        <f t="shared" si="5"/>
        <v>0</v>
      </c>
    </row>
    <row r="421">
      <c r="A421" s="34">
        <v>444.0</v>
      </c>
      <c r="B421" s="37">
        <v>2018.0</v>
      </c>
      <c r="C421" s="37">
        <v>4.0</v>
      </c>
      <c r="D421" s="34">
        <v>4.0</v>
      </c>
      <c r="E421" s="34">
        <v>2.0</v>
      </c>
      <c r="F421" s="35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  <c r="L421" s="3">
        <f t="shared" si="5"/>
        <v>0</v>
      </c>
    </row>
    <row r="422">
      <c r="A422" s="34">
        <v>445.0</v>
      </c>
      <c r="B422" s="37">
        <v>2018.0</v>
      </c>
      <c r="C422" s="37">
        <v>4.0</v>
      </c>
      <c r="D422" s="34">
        <v>4.0</v>
      </c>
      <c r="E422" s="34">
        <v>3.0</v>
      </c>
      <c r="F422" s="35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  <c r="L422" s="3">
        <f t="shared" si="5"/>
        <v>0</v>
      </c>
    </row>
    <row r="423">
      <c r="A423" s="34">
        <v>446.0</v>
      </c>
      <c r="B423" s="37">
        <v>2018.0</v>
      </c>
      <c r="C423" s="37">
        <v>4.0</v>
      </c>
      <c r="D423" s="34">
        <v>4.0</v>
      </c>
      <c r="E423" s="34">
        <v>3.0</v>
      </c>
      <c r="F423" s="35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  <c r="L423" s="3">
        <f t="shared" si="5"/>
        <v>0</v>
      </c>
    </row>
    <row r="424">
      <c r="A424" s="34">
        <v>447.0</v>
      </c>
      <c r="B424" s="37">
        <v>2018.0</v>
      </c>
      <c r="C424" s="37">
        <v>4.0</v>
      </c>
      <c r="D424" s="34">
        <v>4.0</v>
      </c>
      <c r="E424" s="34">
        <v>3.0</v>
      </c>
      <c r="F424" s="35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  <c r="L424" s="3">
        <f t="shared" si="5"/>
        <v>0</v>
      </c>
    </row>
    <row r="425">
      <c r="A425" s="34">
        <v>448.0</v>
      </c>
      <c r="B425" s="37">
        <v>2018.0</v>
      </c>
      <c r="C425" s="37">
        <v>4.0</v>
      </c>
      <c r="D425" s="34">
        <v>4.0</v>
      </c>
      <c r="E425" s="34">
        <v>4.0</v>
      </c>
      <c r="F425" s="35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  <c r="L425" s="3">
        <f t="shared" si="5"/>
        <v>0</v>
      </c>
    </row>
    <row r="426">
      <c r="A426" s="34">
        <v>449.0</v>
      </c>
      <c r="B426" s="37">
        <v>2018.0</v>
      </c>
      <c r="C426" s="37">
        <v>4.0</v>
      </c>
      <c r="D426" s="34">
        <v>4.0</v>
      </c>
      <c r="E426" s="34">
        <v>4.0</v>
      </c>
      <c r="F426" s="35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  <c r="L426" s="3">
        <f t="shared" si="5"/>
        <v>0</v>
      </c>
    </row>
    <row r="427">
      <c r="A427" s="34">
        <v>450.0</v>
      </c>
      <c r="B427" s="37">
        <v>2018.0</v>
      </c>
      <c r="C427" s="37">
        <v>4.0</v>
      </c>
      <c r="D427" s="34">
        <v>4.0</v>
      </c>
      <c r="E427" s="34">
        <v>4.0</v>
      </c>
      <c r="F427" s="35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  <c r="L427" s="3">
        <f t="shared" si="5"/>
        <v>0</v>
      </c>
    </row>
    <row r="428">
      <c r="A428" s="34">
        <v>451.0</v>
      </c>
      <c r="B428" s="37">
        <v>2018.0</v>
      </c>
      <c r="C428" s="37">
        <v>4.0</v>
      </c>
      <c r="D428" s="34">
        <v>5.0</v>
      </c>
      <c r="E428" s="34">
        <v>1.0</v>
      </c>
      <c r="F428" s="35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  <c r="L428" s="3">
        <f t="shared" si="5"/>
        <v>0</v>
      </c>
    </row>
    <row r="429">
      <c r="A429" s="34">
        <v>452.0</v>
      </c>
      <c r="B429" s="37">
        <v>2018.0</v>
      </c>
      <c r="C429" s="37">
        <v>4.0</v>
      </c>
      <c r="D429" s="34">
        <v>5.0</v>
      </c>
      <c r="E429" s="34">
        <v>1.0</v>
      </c>
      <c r="F429" s="35" t="s">
        <v>16</v>
      </c>
      <c r="G429" s="10" t="s">
        <v>178</v>
      </c>
      <c r="H429" s="10">
        <v>8.5</v>
      </c>
      <c r="I429" s="10">
        <v>5.93</v>
      </c>
      <c r="J429" s="3">
        <f t="shared" si="1"/>
        <v>14.43</v>
      </c>
      <c r="L429" s="3">
        <f t="shared" si="5"/>
        <v>0</v>
      </c>
    </row>
    <row r="430">
      <c r="A430" s="34">
        <v>453.0</v>
      </c>
      <c r="B430" s="37">
        <v>2018.0</v>
      </c>
      <c r="C430" s="37">
        <v>4.0</v>
      </c>
      <c r="D430" s="34">
        <v>5.0</v>
      </c>
      <c r="E430" s="34">
        <v>2.0</v>
      </c>
      <c r="F430" s="35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  <c r="L430" s="3">
        <f t="shared" si="5"/>
        <v>0</v>
      </c>
    </row>
    <row r="431">
      <c r="A431" s="34">
        <v>454.0</v>
      </c>
      <c r="B431" s="37">
        <v>2018.0</v>
      </c>
      <c r="C431" s="37">
        <v>4.0</v>
      </c>
      <c r="D431" s="34">
        <v>5.0</v>
      </c>
      <c r="E431" s="34">
        <v>2.0</v>
      </c>
      <c r="F431" s="35" t="s">
        <v>16</v>
      </c>
      <c r="G431" s="10" t="s">
        <v>179</v>
      </c>
      <c r="H431" s="10">
        <v>7.53</v>
      </c>
      <c r="I431" s="10">
        <v>7.33</v>
      </c>
      <c r="J431" s="3">
        <f t="shared" si="1"/>
        <v>14.86</v>
      </c>
      <c r="L431" s="3">
        <f t="shared" si="5"/>
        <v>0</v>
      </c>
    </row>
    <row r="432">
      <c r="A432" s="34">
        <v>455.0</v>
      </c>
      <c r="B432" s="37">
        <v>2018.0</v>
      </c>
      <c r="C432" s="37">
        <v>4.0</v>
      </c>
      <c r="D432" s="34">
        <v>5.0</v>
      </c>
      <c r="E432" s="34">
        <v>3.0</v>
      </c>
      <c r="F432" s="35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  <c r="L432" s="3">
        <f t="shared" si="5"/>
        <v>0</v>
      </c>
    </row>
    <row r="433">
      <c r="A433" s="34">
        <v>456.0</v>
      </c>
      <c r="B433" s="37">
        <v>2018.0</v>
      </c>
      <c r="C433" s="37">
        <v>4.0</v>
      </c>
      <c r="D433" s="34">
        <v>5.0</v>
      </c>
      <c r="E433" s="34">
        <v>3.0</v>
      </c>
      <c r="F433" s="35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  <c r="L433" s="3">
        <f t="shared" si="5"/>
        <v>0</v>
      </c>
    </row>
    <row r="434">
      <c r="A434" s="34">
        <v>457.0</v>
      </c>
      <c r="B434" s="37">
        <v>2018.0</v>
      </c>
      <c r="C434" s="37">
        <v>4.0</v>
      </c>
      <c r="D434" s="34">
        <v>5.0</v>
      </c>
      <c r="E434" s="34">
        <v>4.0</v>
      </c>
      <c r="F434" s="35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  <c r="L434" s="3">
        <f t="shared" si="5"/>
        <v>0</v>
      </c>
    </row>
    <row r="435">
      <c r="A435" s="34">
        <v>458.0</v>
      </c>
      <c r="B435" s="37">
        <v>2018.0</v>
      </c>
      <c r="C435" s="37">
        <v>4.0</v>
      </c>
      <c r="D435" s="34">
        <v>5.0</v>
      </c>
      <c r="E435" s="34">
        <v>4.0</v>
      </c>
      <c r="F435" s="35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  <c r="L435" s="3">
        <f t="shared" si="5"/>
        <v>0</v>
      </c>
    </row>
    <row r="436">
      <c r="A436" s="34">
        <v>459.0</v>
      </c>
      <c r="B436" s="37">
        <v>2018.0</v>
      </c>
      <c r="C436" s="37">
        <v>4.0</v>
      </c>
      <c r="D436" s="37">
        <v>6.0</v>
      </c>
      <c r="E436" s="34">
        <v>1.0</v>
      </c>
      <c r="F436" s="35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  <c r="L436" s="3">
        <f t="shared" si="5"/>
        <v>0</v>
      </c>
    </row>
    <row r="437">
      <c r="A437" s="34">
        <v>460.0</v>
      </c>
      <c r="B437" s="37">
        <v>2018.0</v>
      </c>
      <c r="C437" s="37">
        <v>4.0</v>
      </c>
      <c r="D437" s="37">
        <v>6.0</v>
      </c>
      <c r="E437" s="34">
        <v>1.0</v>
      </c>
      <c r="F437" s="35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  <c r="L437" s="3">
        <f t="shared" si="5"/>
        <v>0</v>
      </c>
    </row>
    <row r="438">
      <c r="A438" s="34">
        <v>461.0</v>
      </c>
      <c r="B438" s="37">
        <v>2018.0</v>
      </c>
      <c r="C438" s="37">
        <v>4.0</v>
      </c>
      <c r="D438" s="37">
        <v>6.0</v>
      </c>
      <c r="E438" s="34">
        <v>2.0</v>
      </c>
      <c r="F438" s="35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  <c r="L438" s="3">
        <f t="shared" si="5"/>
        <v>0</v>
      </c>
    </row>
    <row r="439">
      <c r="A439" s="34">
        <v>462.0</v>
      </c>
      <c r="B439" s="37">
        <v>2018.0</v>
      </c>
      <c r="C439" s="37">
        <v>4.0</v>
      </c>
      <c r="D439" s="37">
        <v>6.0</v>
      </c>
      <c r="E439" s="34">
        <v>2.0</v>
      </c>
      <c r="F439" s="35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  <c r="L439" s="3">
        <f t="shared" si="5"/>
        <v>0</v>
      </c>
    </row>
    <row r="440">
      <c r="A440" s="34">
        <v>463.0</v>
      </c>
      <c r="B440" s="37">
        <v>2018.0</v>
      </c>
      <c r="C440" s="37">
        <v>4.0</v>
      </c>
      <c r="D440" s="37">
        <v>7.0</v>
      </c>
      <c r="E440" s="37">
        <v>1.0</v>
      </c>
      <c r="F440" s="35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  <c r="L440" s="3">
        <f t="shared" si="5"/>
        <v>0</v>
      </c>
    </row>
    <row r="441">
      <c r="A441" s="34">
        <v>464.0</v>
      </c>
      <c r="B441" s="37">
        <v>2018.0</v>
      </c>
      <c r="C441" s="37">
        <v>4.0</v>
      </c>
      <c r="D441" s="37">
        <v>7.0</v>
      </c>
      <c r="E441" s="37">
        <v>1.0</v>
      </c>
      <c r="F441" s="35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>
        <f t="shared" si="5"/>
        <v>0</v>
      </c>
      <c r="M441" s="3">
        <f>SUM(L332:L441)</f>
        <v>14.11</v>
      </c>
    </row>
    <row r="442">
      <c r="A442" s="34">
        <v>473.0</v>
      </c>
      <c r="B442" s="37">
        <v>2018.0</v>
      </c>
      <c r="C442" s="37">
        <v>5.0</v>
      </c>
      <c r="D442" s="34">
        <v>1.0</v>
      </c>
      <c r="E442" s="34">
        <v>1.0</v>
      </c>
      <c r="F442" s="35" t="s">
        <v>16</v>
      </c>
      <c r="G442" s="58" t="s">
        <v>34</v>
      </c>
      <c r="H442" s="10">
        <v>2.83</v>
      </c>
      <c r="I442" s="10">
        <v>2.5</v>
      </c>
      <c r="J442" s="3">
        <f t="shared" si="1"/>
        <v>5.33</v>
      </c>
      <c r="L442" s="3">
        <f t="shared" ref="L442:L551" si="6">IF(G442="Filipe Toledo",J442,0)</f>
        <v>0</v>
      </c>
    </row>
    <row r="443">
      <c r="A443" s="34">
        <v>474.0</v>
      </c>
      <c r="B443" s="37">
        <v>2018.0</v>
      </c>
      <c r="C443" s="37">
        <v>5.0</v>
      </c>
      <c r="D443" s="34">
        <v>1.0</v>
      </c>
      <c r="E443" s="34">
        <v>1.0</v>
      </c>
      <c r="F443" s="35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  <c r="L443" s="3">
        <f t="shared" si="6"/>
        <v>0</v>
      </c>
    </row>
    <row r="444">
      <c r="A444" s="34">
        <v>475.0</v>
      </c>
      <c r="B444" s="37">
        <v>2018.0</v>
      </c>
      <c r="C444" s="37">
        <v>5.0</v>
      </c>
      <c r="D444" s="34">
        <v>1.0</v>
      </c>
      <c r="E444" s="34">
        <v>1.0</v>
      </c>
      <c r="F444" s="35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  <c r="L444" s="3">
        <f t="shared" si="6"/>
        <v>0</v>
      </c>
    </row>
    <row r="445">
      <c r="A445" s="34">
        <v>476.0</v>
      </c>
      <c r="B445" s="37">
        <v>2018.0</v>
      </c>
      <c r="C445" s="37">
        <v>5.0</v>
      </c>
      <c r="D445" s="34">
        <v>1.0</v>
      </c>
      <c r="E445" s="34">
        <v>2.0</v>
      </c>
      <c r="F445" s="35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  <c r="L445" s="3">
        <f t="shared" si="6"/>
        <v>0</v>
      </c>
    </row>
    <row r="446">
      <c r="A446" s="34">
        <v>477.0</v>
      </c>
      <c r="B446" s="37">
        <v>2018.0</v>
      </c>
      <c r="C446" s="37">
        <v>5.0</v>
      </c>
      <c r="D446" s="34">
        <v>1.0</v>
      </c>
      <c r="E446" s="34">
        <v>2.0</v>
      </c>
      <c r="F446" s="35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  <c r="L446" s="3">
        <f t="shared" si="6"/>
        <v>0</v>
      </c>
    </row>
    <row r="447">
      <c r="A447" s="34">
        <v>478.0</v>
      </c>
      <c r="B447" s="37">
        <v>2018.0</v>
      </c>
      <c r="C447" s="37">
        <v>5.0</v>
      </c>
      <c r="D447" s="34">
        <v>1.0</v>
      </c>
      <c r="E447" s="34">
        <v>2.0</v>
      </c>
      <c r="F447" s="35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  <c r="L447" s="3">
        <f t="shared" si="6"/>
        <v>0</v>
      </c>
    </row>
    <row r="448">
      <c r="A448" s="34">
        <v>479.0</v>
      </c>
      <c r="B448" s="37">
        <v>2018.0</v>
      </c>
      <c r="C448" s="37">
        <v>5.0</v>
      </c>
      <c r="D448" s="34">
        <v>1.0</v>
      </c>
      <c r="E448" s="34">
        <v>3.0</v>
      </c>
      <c r="F448" s="35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  <c r="L448" s="3">
        <f t="shared" si="6"/>
        <v>0</v>
      </c>
    </row>
    <row r="449">
      <c r="A449" s="34">
        <v>480.0</v>
      </c>
      <c r="B449" s="37">
        <v>2018.0</v>
      </c>
      <c r="C449" s="37">
        <v>5.0</v>
      </c>
      <c r="D449" s="34">
        <v>1.0</v>
      </c>
      <c r="E449" s="34">
        <v>3.0</v>
      </c>
      <c r="F449" s="35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  <c r="L449" s="3">
        <f t="shared" si="6"/>
        <v>0</v>
      </c>
    </row>
    <row r="450">
      <c r="A450" s="34">
        <v>481.0</v>
      </c>
      <c r="B450" s="37">
        <v>2018.0</v>
      </c>
      <c r="C450" s="37">
        <v>5.0</v>
      </c>
      <c r="D450" s="34">
        <v>1.0</v>
      </c>
      <c r="E450" s="34">
        <v>3.0</v>
      </c>
      <c r="F450" s="35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  <c r="L450" s="3">
        <f t="shared" si="6"/>
        <v>0</v>
      </c>
    </row>
    <row r="451">
      <c r="A451" s="34">
        <v>482.0</v>
      </c>
      <c r="B451" s="37">
        <v>2018.0</v>
      </c>
      <c r="C451" s="37">
        <v>5.0</v>
      </c>
      <c r="D451" s="34">
        <v>1.0</v>
      </c>
      <c r="E451" s="34">
        <v>4.0</v>
      </c>
      <c r="F451" s="35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  <c r="L451" s="3">
        <f t="shared" si="6"/>
        <v>0</v>
      </c>
    </row>
    <row r="452">
      <c r="A452" s="34">
        <v>483.0</v>
      </c>
      <c r="B452" s="37">
        <v>2018.0</v>
      </c>
      <c r="C452" s="37">
        <v>5.0</v>
      </c>
      <c r="D452" s="34">
        <v>1.0</v>
      </c>
      <c r="E452" s="34">
        <v>4.0</v>
      </c>
      <c r="F452" s="35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  <c r="L452" s="3">
        <f t="shared" si="6"/>
        <v>0</v>
      </c>
    </row>
    <row r="453">
      <c r="A453" s="34">
        <v>484.0</v>
      </c>
      <c r="B453" s="37">
        <v>2018.0</v>
      </c>
      <c r="C453" s="37">
        <v>5.0</v>
      </c>
      <c r="D453" s="34">
        <v>1.0</v>
      </c>
      <c r="E453" s="34">
        <v>4.0</v>
      </c>
      <c r="F453" s="35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  <c r="L453" s="3">
        <f t="shared" si="6"/>
        <v>0</v>
      </c>
    </row>
    <row r="454">
      <c r="A454" s="34">
        <v>485.0</v>
      </c>
      <c r="B454" s="37">
        <v>2018.0</v>
      </c>
      <c r="C454" s="37">
        <v>5.0</v>
      </c>
      <c r="D454" s="34">
        <v>1.0</v>
      </c>
      <c r="E454" s="34">
        <v>5.0</v>
      </c>
      <c r="F454" s="35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  <c r="L454" s="3">
        <f t="shared" si="6"/>
        <v>0</v>
      </c>
    </row>
    <row r="455">
      <c r="A455" s="34">
        <v>486.0</v>
      </c>
      <c r="B455" s="37">
        <v>2018.0</v>
      </c>
      <c r="C455" s="37">
        <v>5.0</v>
      </c>
      <c r="D455" s="34">
        <v>1.0</v>
      </c>
      <c r="E455" s="34">
        <v>5.0</v>
      </c>
      <c r="F455" s="35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  <c r="L455" s="3">
        <f t="shared" si="6"/>
        <v>0</v>
      </c>
    </row>
    <row r="456">
      <c r="A456" s="34">
        <v>487.0</v>
      </c>
      <c r="B456" s="37">
        <v>2018.0</v>
      </c>
      <c r="C456" s="37">
        <v>5.0</v>
      </c>
      <c r="D456" s="34">
        <v>1.0</v>
      </c>
      <c r="E456" s="34">
        <v>5.0</v>
      </c>
      <c r="F456" s="35" t="s">
        <v>16</v>
      </c>
      <c r="G456" s="10" t="s">
        <v>185</v>
      </c>
      <c r="H456" s="10">
        <v>6.83</v>
      </c>
      <c r="I456" s="10">
        <v>2.13</v>
      </c>
      <c r="J456" s="3">
        <f t="shared" si="1"/>
        <v>8.96</v>
      </c>
      <c r="L456" s="3">
        <f t="shared" si="6"/>
        <v>0</v>
      </c>
    </row>
    <row r="457">
      <c r="A457" s="34">
        <v>488.0</v>
      </c>
      <c r="B457" s="37">
        <v>2018.0</v>
      </c>
      <c r="C457" s="37">
        <v>5.0</v>
      </c>
      <c r="D457" s="34">
        <v>1.0</v>
      </c>
      <c r="E457" s="34">
        <v>6.0</v>
      </c>
      <c r="F457" s="35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  <c r="L457" s="3">
        <f t="shared" si="6"/>
        <v>0</v>
      </c>
    </row>
    <row r="458">
      <c r="A458" s="34">
        <v>489.0</v>
      </c>
      <c r="B458" s="37">
        <v>2018.0</v>
      </c>
      <c r="C458" s="37">
        <v>5.0</v>
      </c>
      <c r="D458" s="34">
        <v>1.0</v>
      </c>
      <c r="E458" s="34">
        <v>6.0</v>
      </c>
      <c r="F458" s="35" t="s">
        <v>16</v>
      </c>
      <c r="G458" s="10" t="s">
        <v>142</v>
      </c>
      <c r="H458" s="10">
        <v>6.0</v>
      </c>
      <c r="I458" s="10">
        <v>4.0</v>
      </c>
      <c r="J458" s="3">
        <f t="shared" si="1"/>
        <v>10</v>
      </c>
      <c r="L458" s="3">
        <f t="shared" si="6"/>
        <v>0</v>
      </c>
    </row>
    <row r="459">
      <c r="A459" s="34">
        <v>490.0</v>
      </c>
      <c r="B459" s="37">
        <v>2018.0</v>
      </c>
      <c r="C459" s="37">
        <v>5.0</v>
      </c>
      <c r="D459" s="34">
        <v>1.0</v>
      </c>
      <c r="E459" s="34">
        <v>6.0</v>
      </c>
      <c r="F459" s="35" t="s">
        <v>16</v>
      </c>
      <c r="G459" s="10" t="s">
        <v>186</v>
      </c>
      <c r="H459" s="10">
        <v>2.9</v>
      </c>
      <c r="I459" s="10">
        <v>0.5</v>
      </c>
      <c r="J459" s="3">
        <f t="shared" si="1"/>
        <v>3.4</v>
      </c>
      <c r="L459" s="3">
        <f t="shared" si="6"/>
        <v>0</v>
      </c>
    </row>
    <row r="460">
      <c r="A460" s="34">
        <v>491.0</v>
      </c>
      <c r="B460" s="37">
        <v>2018.0</v>
      </c>
      <c r="C460" s="37">
        <v>5.0</v>
      </c>
      <c r="D460" s="34">
        <v>1.0</v>
      </c>
      <c r="E460" s="34">
        <v>7.0</v>
      </c>
      <c r="F460" s="35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  <c r="L460" s="3">
        <f t="shared" si="6"/>
        <v>6.14</v>
      </c>
    </row>
    <row r="461">
      <c r="A461" s="34">
        <v>492.0</v>
      </c>
      <c r="B461" s="37">
        <v>2018.0</v>
      </c>
      <c r="C461" s="37">
        <v>5.0</v>
      </c>
      <c r="D461" s="34">
        <v>1.0</v>
      </c>
      <c r="E461" s="34">
        <v>7.0</v>
      </c>
      <c r="F461" s="35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  <c r="L461" s="3">
        <f t="shared" si="6"/>
        <v>0</v>
      </c>
    </row>
    <row r="462">
      <c r="A462" s="34">
        <v>493.0</v>
      </c>
      <c r="B462" s="37">
        <v>2018.0</v>
      </c>
      <c r="C462" s="37">
        <v>5.0</v>
      </c>
      <c r="D462" s="34">
        <v>1.0</v>
      </c>
      <c r="E462" s="34">
        <v>7.0</v>
      </c>
      <c r="F462" s="35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  <c r="L462" s="3">
        <f t="shared" si="6"/>
        <v>0</v>
      </c>
    </row>
    <row r="463">
      <c r="A463" s="34">
        <v>494.0</v>
      </c>
      <c r="B463" s="37">
        <v>2018.0</v>
      </c>
      <c r="C463" s="37">
        <v>5.0</v>
      </c>
      <c r="D463" s="34">
        <v>1.0</v>
      </c>
      <c r="E463" s="34">
        <v>8.0</v>
      </c>
      <c r="F463" s="35" t="s">
        <v>16</v>
      </c>
      <c r="G463" s="10" t="s">
        <v>187</v>
      </c>
      <c r="H463" s="10">
        <v>4.0</v>
      </c>
      <c r="I463" s="10">
        <v>1.0</v>
      </c>
      <c r="J463" s="3">
        <f t="shared" si="1"/>
        <v>5</v>
      </c>
      <c r="L463" s="3">
        <f t="shared" si="6"/>
        <v>0</v>
      </c>
    </row>
    <row r="464">
      <c r="A464" s="34">
        <v>495.0</v>
      </c>
      <c r="B464" s="37">
        <v>2018.0</v>
      </c>
      <c r="C464" s="37">
        <v>5.0</v>
      </c>
      <c r="D464" s="34">
        <v>1.0</v>
      </c>
      <c r="E464" s="34">
        <v>8.0</v>
      </c>
      <c r="F464" s="35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  <c r="L464" s="3">
        <f t="shared" si="6"/>
        <v>0</v>
      </c>
    </row>
    <row r="465">
      <c r="A465" s="34">
        <v>496.0</v>
      </c>
      <c r="B465" s="37">
        <v>2018.0</v>
      </c>
      <c r="C465" s="37">
        <v>5.0</v>
      </c>
      <c r="D465" s="34">
        <v>1.0</v>
      </c>
      <c r="E465" s="34">
        <v>8.0</v>
      </c>
      <c r="F465" s="35" t="s">
        <v>16</v>
      </c>
      <c r="G465" s="10" t="s">
        <v>169</v>
      </c>
      <c r="H465" s="10">
        <v>1.6</v>
      </c>
      <c r="I465" s="10">
        <v>0.0</v>
      </c>
      <c r="J465" s="3">
        <f t="shared" si="1"/>
        <v>1.6</v>
      </c>
      <c r="L465" s="3">
        <f t="shared" si="6"/>
        <v>0</v>
      </c>
    </row>
    <row r="466">
      <c r="A466" s="34">
        <v>497.0</v>
      </c>
      <c r="B466" s="37">
        <v>2018.0</v>
      </c>
      <c r="C466" s="37">
        <v>5.0</v>
      </c>
      <c r="D466" s="34">
        <v>1.0</v>
      </c>
      <c r="E466" s="34">
        <v>9.0</v>
      </c>
      <c r="F466" s="35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  <c r="L466" s="3">
        <f t="shared" si="6"/>
        <v>0</v>
      </c>
    </row>
    <row r="467">
      <c r="A467" s="34">
        <v>498.0</v>
      </c>
      <c r="B467" s="37">
        <v>2018.0</v>
      </c>
      <c r="C467" s="37">
        <v>5.0</v>
      </c>
      <c r="D467" s="34">
        <v>1.0</v>
      </c>
      <c r="E467" s="34">
        <v>9.0</v>
      </c>
      <c r="F467" s="35" t="s">
        <v>16</v>
      </c>
      <c r="G467" s="10" t="s">
        <v>178</v>
      </c>
      <c r="H467" s="10">
        <v>2.03</v>
      </c>
      <c r="I467" s="10">
        <v>1.8</v>
      </c>
      <c r="J467" s="3">
        <f t="shared" si="1"/>
        <v>3.83</v>
      </c>
      <c r="L467" s="3">
        <f t="shared" si="6"/>
        <v>0</v>
      </c>
    </row>
    <row r="468">
      <c r="A468" s="34">
        <v>499.0</v>
      </c>
      <c r="B468" s="37">
        <v>2018.0</v>
      </c>
      <c r="C468" s="37">
        <v>5.0</v>
      </c>
      <c r="D468" s="34">
        <v>1.0</v>
      </c>
      <c r="E468" s="34">
        <v>9.0</v>
      </c>
      <c r="F468" s="35" t="s">
        <v>16</v>
      </c>
      <c r="G468" s="10" t="s">
        <v>179</v>
      </c>
      <c r="H468" s="10">
        <v>4.93</v>
      </c>
      <c r="I468" s="10">
        <v>2.6</v>
      </c>
      <c r="J468" s="3">
        <f t="shared" si="1"/>
        <v>7.53</v>
      </c>
      <c r="L468" s="3">
        <f t="shared" si="6"/>
        <v>0</v>
      </c>
    </row>
    <row r="469">
      <c r="A469" s="34">
        <v>500.0</v>
      </c>
      <c r="B469" s="37">
        <v>2018.0</v>
      </c>
      <c r="C469" s="37">
        <v>5.0</v>
      </c>
      <c r="D469" s="34">
        <v>1.0</v>
      </c>
      <c r="E469" s="34">
        <v>10.0</v>
      </c>
      <c r="F469" s="35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  <c r="L469" s="3">
        <f t="shared" si="6"/>
        <v>0</v>
      </c>
    </row>
    <row r="470">
      <c r="A470" s="34">
        <v>501.0</v>
      </c>
      <c r="B470" s="37">
        <v>2018.0</v>
      </c>
      <c r="C470" s="37">
        <v>5.0</v>
      </c>
      <c r="D470" s="34">
        <v>1.0</v>
      </c>
      <c r="E470" s="34">
        <v>10.0</v>
      </c>
      <c r="F470" s="35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  <c r="L470" s="3">
        <f t="shared" si="6"/>
        <v>0</v>
      </c>
    </row>
    <row r="471">
      <c r="A471" s="34">
        <v>502.0</v>
      </c>
      <c r="B471" s="37">
        <v>2018.0</v>
      </c>
      <c r="C471" s="37">
        <v>5.0</v>
      </c>
      <c r="D471" s="34">
        <v>1.0</v>
      </c>
      <c r="E471" s="34">
        <v>10.0</v>
      </c>
      <c r="F471" s="35" t="s">
        <v>16</v>
      </c>
      <c r="G471" s="10" t="s">
        <v>176</v>
      </c>
      <c r="H471" s="10">
        <v>1.3</v>
      </c>
      <c r="I471" s="10">
        <v>0.93</v>
      </c>
      <c r="J471" s="3">
        <f t="shared" si="1"/>
        <v>2.23</v>
      </c>
      <c r="L471" s="3">
        <f t="shared" si="6"/>
        <v>0</v>
      </c>
    </row>
    <row r="472">
      <c r="A472" s="34">
        <v>503.0</v>
      </c>
      <c r="B472" s="37">
        <v>2018.0</v>
      </c>
      <c r="C472" s="37">
        <v>5.0</v>
      </c>
      <c r="D472" s="34">
        <v>1.0</v>
      </c>
      <c r="E472" s="34">
        <v>11.0</v>
      </c>
      <c r="F472" s="35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  <c r="L472" s="3">
        <f t="shared" si="6"/>
        <v>0</v>
      </c>
    </row>
    <row r="473">
      <c r="A473" s="34">
        <v>504.0</v>
      </c>
      <c r="B473" s="37">
        <v>2018.0</v>
      </c>
      <c r="C473" s="37">
        <v>5.0</v>
      </c>
      <c r="D473" s="34">
        <v>1.0</v>
      </c>
      <c r="E473" s="34">
        <v>11.0</v>
      </c>
      <c r="F473" s="35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  <c r="L473" s="3">
        <f t="shared" si="6"/>
        <v>0</v>
      </c>
    </row>
    <row r="474">
      <c r="A474" s="34">
        <v>505.0</v>
      </c>
      <c r="B474" s="37">
        <v>2018.0</v>
      </c>
      <c r="C474" s="37">
        <v>5.0</v>
      </c>
      <c r="D474" s="34">
        <v>1.0</v>
      </c>
      <c r="E474" s="34">
        <v>11.0</v>
      </c>
      <c r="F474" s="35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  <c r="L474" s="3">
        <f t="shared" si="6"/>
        <v>0</v>
      </c>
    </row>
    <row r="475">
      <c r="A475" s="34">
        <v>506.0</v>
      </c>
      <c r="B475" s="37">
        <v>2018.0</v>
      </c>
      <c r="C475" s="37">
        <v>5.0</v>
      </c>
      <c r="D475" s="34">
        <v>1.0</v>
      </c>
      <c r="E475" s="34">
        <v>12.0</v>
      </c>
      <c r="F475" s="35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  <c r="L475" s="3">
        <f t="shared" si="6"/>
        <v>0</v>
      </c>
    </row>
    <row r="476">
      <c r="A476" s="34">
        <v>507.0</v>
      </c>
      <c r="B476" s="37">
        <v>2018.0</v>
      </c>
      <c r="C476" s="37">
        <v>5.0</v>
      </c>
      <c r="D476" s="34">
        <v>1.0</v>
      </c>
      <c r="E476" s="34">
        <v>12.0</v>
      </c>
      <c r="F476" s="35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  <c r="L476" s="3">
        <f t="shared" si="6"/>
        <v>0</v>
      </c>
    </row>
    <row r="477">
      <c r="A477" s="34">
        <v>508.0</v>
      </c>
      <c r="B477" s="37">
        <v>2018.0</v>
      </c>
      <c r="C477" s="37">
        <v>5.0</v>
      </c>
      <c r="D477" s="34">
        <v>1.0</v>
      </c>
      <c r="E477" s="34">
        <v>12.0</v>
      </c>
      <c r="F477" s="35" t="s">
        <v>16</v>
      </c>
      <c r="G477" s="10" t="s">
        <v>177</v>
      </c>
      <c r="H477" s="10">
        <v>0.7</v>
      </c>
      <c r="I477" s="10">
        <v>0.6</v>
      </c>
      <c r="J477" s="3">
        <f t="shared" si="1"/>
        <v>1.3</v>
      </c>
      <c r="L477" s="3">
        <f t="shared" si="6"/>
        <v>0</v>
      </c>
    </row>
    <row r="478">
      <c r="A478" s="34">
        <v>509.0</v>
      </c>
      <c r="B478" s="37">
        <v>2018.0</v>
      </c>
      <c r="C478" s="37">
        <v>5.0</v>
      </c>
      <c r="D478" s="34">
        <v>2.0</v>
      </c>
      <c r="E478" s="34">
        <v>1.0</v>
      </c>
      <c r="F478" s="35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  <c r="L478" s="3">
        <f t="shared" si="6"/>
        <v>0</v>
      </c>
    </row>
    <row r="479">
      <c r="A479" s="34">
        <v>510.0</v>
      </c>
      <c r="B479" s="37">
        <v>2018.0</v>
      </c>
      <c r="C479" s="37">
        <v>5.0</v>
      </c>
      <c r="D479" s="34">
        <v>2.0</v>
      </c>
      <c r="E479" s="34">
        <v>1.0</v>
      </c>
      <c r="F479" s="35" t="s">
        <v>16</v>
      </c>
      <c r="G479" s="10" t="s">
        <v>186</v>
      </c>
      <c r="H479" s="10">
        <v>2.93</v>
      </c>
      <c r="I479" s="10">
        <v>2.5</v>
      </c>
      <c r="J479" s="3">
        <f t="shared" si="1"/>
        <v>5.43</v>
      </c>
      <c r="L479" s="3">
        <f t="shared" si="6"/>
        <v>0</v>
      </c>
    </row>
    <row r="480">
      <c r="A480" s="34">
        <v>511.0</v>
      </c>
      <c r="B480" s="37">
        <v>2018.0</v>
      </c>
      <c r="C480" s="37">
        <v>5.0</v>
      </c>
      <c r="D480" s="34">
        <v>2.0</v>
      </c>
      <c r="E480" s="34">
        <v>2.0</v>
      </c>
      <c r="F480" s="35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  <c r="L480" s="3">
        <f t="shared" si="6"/>
        <v>0</v>
      </c>
    </row>
    <row r="481">
      <c r="A481" s="34">
        <v>512.0</v>
      </c>
      <c r="B481" s="37">
        <v>2018.0</v>
      </c>
      <c r="C481" s="37">
        <v>5.0</v>
      </c>
      <c r="D481" s="34">
        <v>2.0</v>
      </c>
      <c r="E481" s="34">
        <v>2.0</v>
      </c>
      <c r="F481" s="35" t="s">
        <v>16</v>
      </c>
      <c r="G481" s="10" t="s">
        <v>185</v>
      </c>
      <c r="H481" s="10">
        <v>5.67</v>
      </c>
      <c r="I481" s="10">
        <v>4.1</v>
      </c>
      <c r="J481" s="3">
        <f t="shared" si="1"/>
        <v>9.77</v>
      </c>
      <c r="L481" s="3">
        <f t="shared" si="6"/>
        <v>0</v>
      </c>
    </row>
    <row r="482">
      <c r="A482" s="34">
        <v>513.0</v>
      </c>
      <c r="B482" s="37">
        <v>2018.0</v>
      </c>
      <c r="C482" s="37">
        <v>5.0</v>
      </c>
      <c r="D482" s="34">
        <v>2.0</v>
      </c>
      <c r="E482" s="34">
        <v>3.0</v>
      </c>
      <c r="F482" s="35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  <c r="L482" s="3">
        <f t="shared" si="6"/>
        <v>0</v>
      </c>
    </row>
    <row r="483">
      <c r="A483" s="34">
        <v>514.0</v>
      </c>
      <c r="B483" s="37">
        <v>2018.0</v>
      </c>
      <c r="C483" s="37">
        <v>5.0</v>
      </c>
      <c r="D483" s="34">
        <v>2.0</v>
      </c>
      <c r="E483" s="34">
        <v>3.0</v>
      </c>
      <c r="F483" s="35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  <c r="L483" s="3">
        <f t="shared" si="6"/>
        <v>0</v>
      </c>
    </row>
    <row r="484">
      <c r="A484" s="34">
        <v>515.0</v>
      </c>
      <c r="B484" s="37">
        <v>2018.0</v>
      </c>
      <c r="C484" s="37">
        <v>5.0</v>
      </c>
      <c r="D484" s="34">
        <v>2.0</v>
      </c>
      <c r="E484" s="34">
        <v>4.0</v>
      </c>
      <c r="F484" s="35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  <c r="L484" s="3">
        <f t="shared" si="6"/>
        <v>0</v>
      </c>
    </row>
    <row r="485">
      <c r="A485" s="34">
        <v>516.0</v>
      </c>
      <c r="B485" s="37">
        <v>2018.0</v>
      </c>
      <c r="C485" s="37">
        <v>5.0</v>
      </c>
      <c r="D485" s="34">
        <v>2.0</v>
      </c>
      <c r="E485" s="34">
        <v>4.0</v>
      </c>
      <c r="F485" s="35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  <c r="L485" s="3">
        <f t="shared" si="6"/>
        <v>0</v>
      </c>
    </row>
    <row r="486">
      <c r="A486" s="34">
        <v>517.0</v>
      </c>
      <c r="B486" s="37">
        <v>2018.0</v>
      </c>
      <c r="C486" s="37">
        <v>5.0</v>
      </c>
      <c r="D486" s="34">
        <v>2.0</v>
      </c>
      <c r="E486" s="34">
        <v>5.0</v>
      </c>
      <c r="F486" s="35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  <c r="L486" s="3">
        <f t="shared" si="6"/>
        <v>0</v>
      </c>
    </row>
    <row r="487">
      <c r="A487" s="34">
        <v>518.0</v>
      </c>
      <c r="B487" s="37">
        <v>2018.0</v>
      </c>
      <c r="C487" s="37">
        <v>5.0</v>
      </c>
      <c r="D487" s="34">
        <v>2.0</v>
      </c>
      <c r="E487" s="34">
        <v>5.0</v>
      </c>
      <c r="F487" s="35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  <c r="L487" s="3">
        <f t="shared" si="6"/>
        <v>0</v>
      </c>
    </row>
    <row r="488">
      <c r="A488" s="34">
        <v>519.0</v>
      </c>
      <c r="B488" s="37">
        <v>2018.0</v>
      </c>
      <c r="C488" s="37">
        <v>5.0</v>
      </c>
      <c r="D488" s="34">
        <v>2.0</v>
      </c>
      <c r="E488" s="34">
        <v>6.0</v>
      </c>
      <c r="F488" s="35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  <c r="L488" s="3">
        <f t="shared" si="6"/>
        <v>0</v>
      </c>
    </row>
    <row r="489">
      <c r="A489" s="34">
        <v>520.0</v>
      </c>
      <c r="B489" s="37">
        <v>2018.0</v>
      </c>
      <c r="C489" s="37">
        <v>5.0</v>
      </c>
      <c r="D489" s="34">
        <v>2.0</v>
      </c>
      <c r="E489" s="34">
        <v>6.0</v>
      </c>
      <c r="F489" s="35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  <c r="L489" s="3">
        <f t="shared" si="6"/>
        <v>0</v>
      </c>
    </row>
    <row r="490">
      <c r="A490" s="34">
        <v>521.0</v>
      </c>
      <c r="B490" s="37">
        <v>2018.0</v>
      </c>
      <c r="C490" s="37">
        <v>5.0</v>
      </c>
      <c r="D490" s="34">
        <v>2.0</v>
      </c>
      <c r="E490" s="34">
        <v>7.0</v>
      </c>
      <c r="F490" s="35" t="s">
        <v>16</v>
      </c>
      <c r="G490" s="10" t="s">
        <v>178</v>
      </c>
      <c r="H490" s="10">
        <v>6.5</v>
      </c>
      <c r="I490" s="10">
        <v>5.43</v>
      </c>
      <c r="J490" s="3">
        <f t="shared" si="1"/>
        <v>11.93</v>
      </c>
      <c r="L490" s="3">
        <f t="shared" si="6"/>
        <v>0</v>
      </c>
    </row>
    <row r="491">
      <c r="A491" s="34">
        <v>522.0</v>
      </c>
      <c r="B491" s="37">
        <v>2018.0</v>
      </c>
      <c r="C491" s="37">
        <v>5.0</v>
      </c>
      <c r="D491" s="34">
        <v>2.0</v>
      </c>
      <c r="E491" s="34">
        <v>7.0</v>
      </c>
      <c r="F491" s="35" t="s">
        <v>16</v>
      </c>
      <c r="G491" s="10" t="s">
        <v>169</v>
      </c>
      <c r="H491" s="10">
        <v>7.83</v>
      </c>
      <c r="I491" s="10">
        <v>5.93</v>
      </c>
      <c r="J491" s="3">
        <f t="shared" si="1"/>
        <v>13.76</v>
      </c>
      <c r="L491" s="3">
        <f t="shared" si="6"/>
        <v>0</v>
      </c>
    </row>
    <row r="492">
      <c r="A492" s="34">
        <v>523.0</v>
      </c>
      <c r="B492" s="37">
        <v>2018.0</v>
      </c>
      <c r="C492" s="37">
        <v>5.0</v>
      </c>
      <c r="D492" s="34">
        <v>2.0</v>
      </c>
      <c r="E492" s="34">
        <v>8.0</v>
      </c>
      <c r="F492" s="35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  <c r="L492" s="3">
        <f t="shared" si="6"/>
        <v>0</v>
      </c>
    </row>
    <row r="493">
      <c r="A493" s="34">
        <v>524.0</v>
      </c>
      <c r="B493" s="37">
        <v>2018.0</v>
      </c>
      <c r="C493" s="37">
        <v>5.0</v>
      </c>
      <c r="D493" s="34">
        <v>2.0</v>
      </c>
      <c r="E493" s="34">
        <v>8.0</v>
      </c>
      <c r="F493" s="35" t="s">
        <v>16</v>
      </c>
      <c r="G493" s="10" t="s">
        <v>176</v>
      </c>
      <c r="H493" s="10">
        <v>7.57</v>
      </c>
      <c r="I493" s="10">
        <v>6.77</v>
      </c>
      <c r="J493" s="3">
        <f t="shared" si="1"/>
        <v>14.34</v>
      </c>
      <c r="L493" s="3">
        <f t="shared" si="6"/>
        <v>0</v>
      </c>
    </row>
    <row r="494">
      <c r="A494" s="34">
        <v>525.0</v>
      </c>
      <c r="B494" s="37">
        <v>2018.0</v>
      </c>
      <c r="C494" s="37">
        <v>5.0</v>
      </c>
      <c r="D494" s="34">
        <v>2.0</v>
      </c>
      <c r="E494" s="34">
        <v>9.0</v>
      </c>
      <c r="F494" s="35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  <c r="L494" s="3">
        <f t="shared" si="6"/>
        <v>0</v>
      </c>
    </row>
    <row r="495">
      <c r="A495" s="34">
        <v>526.0</v>
      </c>
      <c r="B495" s="37">
        <v>2018.0</v>
      </c>
      <c r="C495" s="37">
        <v>5.0</v>
      </c>
      <c r="D495" s="34">
        <v>2.0</v>
      </c>
      <c r="E495" s="34">
        <v>9.0</v>
      </c>
      <c r="F495" s="35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  <c r="L495" s="3">
        <f t="shared" si="6"/>
        <v>0</v>
      </c>
    </row>
    <row r="496">
      <c r="A496" s="34">
        <v>527.0</v>
      </c>
      <c r="B496" s="37">
        <v>2018.0</v>
      </c>
      <c r="C496" s="37">
        <v>5.0</v>
      </c>
      <c r="D496" s="34">
        <v>2.0</v>
      </c>
      <c r="E496" s="34">
        <v>10.0</v>
      </c>
      <c r="F496" s="35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  <c r="L496" s="3">
        <f t="shared" si="6"/>
        <v>0</v>
      </c>
    </row>
    <row r="497">
      <c r="A497" s="34">
        <v>528.0</v>
      </c>
      <c r="B497" s="37">
        <v>2018.0</v>
      </c>
      <c r="C497" s="37">
        <v>5.0</v>
      </c>
      <c r="D497" s="34">
        <v>2.0</v>
      </c>
      <c r="E497" s="34">
        <v>10.0</v>
      </c>
      <c r="F497" s="35" t="s">
        <v>16</v>
      </c>
      <c r="G497" s="10" t="s">
        <v>177</v>
      </c>
      <c r="H497" s="10">
        <v>6.77</v>
      </c>
      <c r="I497" s="10">
        <v>5.73</v>
      </c>
      <c r="J497" s="3">
        <f t="shared" si="1"/>
        <v>12.5</v>
      </c>
      <c r="L497" s="3">
        <f t="shared" si="6"/>
        <v>0</v>
      </c>
    </row>
    <row r="498">
      <c r="A498" s="34">
        <v>529.0</v>
      </c>
      <c r="B498" s="37">
        <v>2018.0</v>
      </c>
      <c r="C498" s="37">
        <v>5.0</v>
      </c>
      <c r="D498" s="34">
        <v>2.0</v>
      </c>
      <c r="E498" s="34">
        <v>11.0</v>
      </c>
      <c r="F498" s="35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  <c r="L498" s="3">
        <f t="shared" si="6"/>
        <v>0</v>
      </c>
    </row>
    <row r="499">
      <c r="A499" s="34">
        <v>530.0</v>
      </c>
      <c r="B499" s="37">
        <v>2018.0</v>
      </c>
      <c r="C499" s="37">
        <v>5.0</v>
      </c>
      <c r="D499" s="34">
        <v>2.0</v>
      </c>
      <c r="E499" s="34">
        <v>11.0</v>
      </c>
      <c r="F499" s="35" t="s">
        <v>16</v>
      </c>
      <c r="G499" s="10" t="s">
        <v>142</v>
      </c>
      <c r="H499" s="10">
        <v>5.17</v>
      </c>
      <c r="I499" s="10">
        <v>4.2</v>
      </c>
      <c r="J499" s="3">
        <f t="shared" si="1"/>
        <v>9.37</v>
      </c>
      <c r="L499" s="3">
        <f t="shared" si="6"/>
        <v>0</v>
      </c>
    </row>
    <row r="500">
      <c r="A500" s="34">
        <v>531.0</v>
      </c>
      <c r="B500" s="37">
        <v>2018.0</v>
      </c>
      <c r="C500" s="37">
        <v>5.0</v>
      </c>
      <c r="D500" s="34">
        <v>2.0</v>
      </c>
      <c r="E500" s="34">
        <v>12.0</v>
      </c>
      <c r="F500" s="35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  <c r="L500" s="3">
        <f t="shared" si="6"/>
        <v>0</v>
      </c>
    </row>
    <row r="501">
      <c r="A501" s="34">
        <v>532.0</v>
      </c>
      <c r="B501" s="37">
        <v>2018.0</v>
      </c>
      <c r="C501" s="37">
        <v>5.0</v>
      </c>
      <c r="D501" s="34">
        <v>2.0</v>
      </c>
      <c r="E501" s="34">
        <v>12.0</v>
      </c>
      <c r="F501" s="35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  <c r="L501" s="3">
        <f t="shared" si="6"/>
        <v>0</v>
      </c>
    </row>
    <row r="502">
      <c r="A502" s="34">
        <v>533.0</v>
      </c>
      <c r="B502" s="37">
        <v>2018.0</v>
      </c>
      <c r="C502" s="37">
        <v>5.0</v>
      </c>
      <c r="D502" s="34">
        <v>3.0</v>
      </c>
      <c r="E502" s="34">
        <v>1.0</v>
      </c>
      <c r="F502" s="35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  <c r="L502" s="3">
        <f t="shared" si="6"/>
        <v>0</v>
      </c>
    </row>
    <row r="503">
      <c r="A503" s="34">
        <v>534.0</v>
      </c>
      <c r="B503" s="37">
        <v>2018.0</v>
      </c>
      <c r="C503" s="37">
        <v>5.0</v>
      </c>
      <c r="D503" s="34">
        <v>3.0</v>
      </c>
      <c r="E503" s="34">
        <v>1.0</v>
      </c>
      <c r="F503" s="35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  <c r="L503" s="3">
        <f t="shared" si="6"/>
        <v>0</v>
      </c>
    </row>
    <row r="504">
      <c r="A504" s="34">
        <v>535.0</v>
      </c>
      <c r="B504" s="37">
        <v>2018.0</v>
      </c>
      <c r="C504" s="37">
        <v>5.0</v>
      </c>
      <c r="D504" s="34">
        <v>3.0</v>
      </c>
      <c r="E504" s="34">
        <v>2.0</v>
      </c>
      <c r="F504" s="35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  <c r="L504" s="3">
        <f t="shared" si="6"/>
        <v>0</v>
      </c>
    </row>
    <row r="505">
      <c r="A505" s="34">
        <v>536.0</v>
      </c>
      <c r="B505" s="37">
        <v>2018.0</v>
      </c>
      <c r="C505" s="37">
        <v>5.0</v>
      </c>
      <c r="D505" s="34">
        <v>3.0</v>
      </c>
      <c r="E505" s="34">
        <v>2.0</v>
      </c>
      <c r="F505" s="35" t="s">
        <v>16</v>
      </c>
      <c r="G505" s="10" t="s">
        <v>142</v>
      </c>
      <c r="H505" s="10">
        <v>7.4</v>
      </c>
      <c r="I505" s="10">
        <v>6.93</v>
      </c>
      <c r="J505" s="3">
        <f t="shared" si="1"/>
        <v>14.33</v>
      </c>
      <c r="L505" s="3">
        <f t="shared" si="6"/>
        <v>0</v>
      </c>
    </row>
    <row r="506">
      <c r="A506" s="34">
        <v>537.0</v>
      </c>
      <c r="B506" s="37">
        <v>2018.0</v>
      </c>
      <c r="C506" s="37">
        <v>5.0</v>
      </c>
      <c r="D506" s="34">
        <v>3.0</v>
      </c>
      <c r="E506" s="34">
        <v>3.0</v>
      </c>
      <c r="F506" s="35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  <c r="L506" s="3">
        <f t="shared" si="6"/>
        <v>0</v>
      </c>
    </row>
    <row r="507">
      <c r="A507" s="34">
        <v>538.0</v>
      </c>
      <c r="B507" s="37">
        <v>2018.0</v>
      </c>
      <c r="C507" s="37">
        <v>5.0</v>
      </c>
      <c r="D507" s="34">
        <v>3.0</v>
      </c>
      <c r="E507" s="34">
        <v>3.0</v>
      </c>
      <c r="F507" s="35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  <c r="L507" s="3">
        <f t="shared" si="6"/>
        <v>0</v>
      </c>
    </row>
    <row r="508">
      <c r="A508" s="34">
        <v>539.0</v>
      </c>
      <c r="B508" s="37">
        <v>2018.0</v>
      </c>
      <c r="C508" s="37">
        <v>5.0</v>
      </c>
      <c r="D508" s="34">
        <v>3.0</v>
      </c>
      <c r="E508" s="34">
        <v>4.0</v>
      </c>
      <c r="F508" s="35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  <c r="L508" s="3">
        <f t="shared" si="6"/>
        <v>0</v>
      </c>
    </row>
    <row r="509">
      <c r="A509" s="34">
        <v>540.0</v>
      </c>
      <c r="B509" s="37">
        <v>2018.0</v>
      </c>
      <c r="C509" s="37">
        <v>5.0</v>
      </c>
      <c r="D509" s="34">
        <v>3.0</v>
      </c>
      <c r="E509" s="34">
        <v>4.0</v>
      </c>
      <c r="F509" s="35" t="s">
        <v>16</v>
      </c>
      <c r="G509" s="10" t="s">
        <v>176</v>
      </c>
      <c r="H509" s="10">
        <v>8.27</v>
      </c>
      <c r="I509" s="10">
        <v>6.5</v>
      </c>
      <c r="J509" s="3">
        <f t="shared" si="1"/>
        <v>14.77</v>
      </c>
      <c r="L509" s="3">
        <f t="shared" si="6"/>
        <v>0</v>
      </c>
    </row>
    <row r="510">
      <c r="A510" s="34">
        <v>541.0</v>
      </c>
      <c r="B510" s="37">
        <v>2018.0</v>
      </c>
      <c r="C510" s="37">
        <v>5.0</v>
      </c>
      <c r="D510" s="34">
        <v>3.0</v>
      </c>
      <c r="E510" s="34">
        <v>5.0</v>
      </c>
      <c r="F510" s="35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  <c r="L510" s="3">
        <f t="shared" si="6"/>
        <v>0</v>
      </c>
    </row>
    <row r="511">
      <c r="A511" s="34">
        <v>542.0</v>
      </c>
      <c r="B511" s="37">
        <v>2018.0</v>
      </c>
      <c r="C511" s="37">
        <v>5.0</v>
      </c>
      <c r="D511" s="34">
        <v>3.0</v>
      </c>
      <c r="E511" s="34">
        <v>5.0</v>
      </c>
      <c r="F511" s="35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  <c r="L511" s="3">
        <f t="shared" si="6"/>
        <v>0</v>
      </c>
    </row>
    <row r="512">
      <c r="A512" s="34">
        <v>543.0</v>
      </c>
      <c r="B512" s="37">
        <v>2018.0</v>
      </c>
      <c r="C512" s="37">
        <v>5.0</v>
      </c>
      <c r="D512" s="34">
        <v>3.0</v>
      </c>
      <c r="E512" s="34">
        <v>6.0</v>
      </c>
      <c r="F512" s="35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  <c r="L512" s="3">
        <f t="shared" si="6"/>
        <v>0</v>
      </c>
    </row>
    <row r="513">
      <c r="A513" s="34">
        <v>544.0</v>
      </c>
      <c r="B513" s="37">
        <v>2018.0</v>
      </c>
      <c r="C513" s="37">
        <v>5.0</v>
      </c>
      <c r="D513" s="34">
        <v>3.0</v>
      </c>
      <c r="E513" s="34">
        <v>6.0</v>
      </c>
      <c r="F513" s="35" t="s">
        <v>16</v>
      </c>
      <c r="G513" s="10" t="s">
        <v>185</v>
      </c>
      <c r="H513" s="10">
        <v>4.5</v>
      </c>
      <c r="I513" s="10">
        <v>2.77</v>
      </c>
      <c r="J513" s="3">
        <f t="shared" si="1"/>
        <v>7.27</v>
      </c>
      <c r="L513" s="3">
        <f t="shared" si="6"/>
        <v>0</v>
      </c>
    </row>
    <row r="514">
      <c r="A514" s="34">
        <v>545.0</v>
      </c>
      <c r="B514" s="37">
        <v>2018.0</v>
      </c>
      <c r="C514" s="37">
        <v>5.0</v>
      </c>
      <c r="D514" s="34">
        <v>3.0</v>
      </c>
      <c r="E514" s="34">
        <v>7.0</v>
      </c>
      <c r="F514" s="35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  <c r="L514" s="3">
        <f t="shared" si="6"/>
        <v>0</v>
      </c>
    </row>
    <row r="515">
      <c r="A515" s="34">
        <v>546.0</v>
      </c>
      <c r="B515" s="37">
        <v>2018.0</v>
      </c>
      <c r="C515" s="37">
        <v>5.0</v>
      </c>
      <c r="D515" s="34">
        <v>3.0</v>
      </c>
      <c r="E515" s="34">
        <v>7.0</v>
      </c>
      <c r="F515" s="35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  <c r="L515" s="3">
        <f t="shared" si="6"/>
        <v>0</v>
      </c>
    </row>
    <row r="516">
      <c r="A516" s="34">
        <v>547.0</v>
      </c>
      <c r="B516" s="37">
        <v>2018.0</v>
      </c>
      <c r="C516" s="37">
        <v>5.0</v>
      </c>
      <c r="D516" s="34">
        <v>3.0</v>
      </c>
      <c r="E516" s="34">
        <v>8.0</v>
      </c>
      <c r="F516" s="35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  <c r="L516" s="3">
        <f t="shared" si="6"/>
        <v>0</v>
      </c>
    </row>
    <row r="517">
      <c r="A517" s="34">
        <v>548.0</v>
      </c>
      <c r="B517" s="37">
        <v>2018.0</v>
      </c>
      <c r="C517" s="37">
        <v>5.0</v>
      </c>
      <c r="D517" s="34">
        <v>3.0</v>
      </c>
      <c r="E517" s="34">
        <v>8.0</v>
      </c>
      <c r="F517" s="35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  <c r="L517" s="3">
        <f t="shared" si="6"/>
        <v>0</v>
      </c>
    </row>
    <row r="518">
      <c r="A518" s="34">
        <v>549.0</v>
      </c>
      <c r="B518" s="37">
        <v>2018.0</v>
      </c>
      <c r="C518" s="37">
        <v>5.0</v>
      </c>
      <c r="D518" s="34">
        <v>3.0</v>
      </c>
      <c r="E518" s="34">
        <v>9.0</v>
      </c>
      <c r="F518" s="35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  <c r="L518" s="3">
        <f t="shared" si="6"/>
        <v>0</v>
      </c>
    </row>
    <row r="519">
      <c r="A519" s="34">
        <v>550.0</v>
      </c>
      <c r="B519" s="37">
        <v>2018.0</v>
      </c>
      <c r="C519" s="37">
        <v>5.0</v>
      </c>
      <c r="D519" s="34">
        <v>3.0</v>
      </c>
      <c r="E519" s="34">
        <v>9.0</v>
      </c>
      <c r="F519" s="35" t="s">
        <v>16</v>
      </c>
      <c r="G519" s="10" t="s">
        <v>179</v>
      </c>
      <c r="H519" s="10">
        <v>7.17</v>
      </c>
      <c r="I519" s="10">
        <v>5.83</v>
      </c>
      <c r="J519" s="3">
        <f t="shared" si="1"/>
        <v>13</v>
      </c>
      <c r="L519" s="3">
        <f t="shared" si="6"/>
        <v>0</v>
      </c>
    </row>
    <row r="520">
      <c r="A520" s="34">
        <v>551.0</v>
      </c>
      <c r="B520" s="37">
        <v>2018.0</v>
      </c>
      <c r="C520" s="37">
        <v>5.0</v>
      </c>
      <c r="D520" s="34">
        <v>3.0</v>
      </c>
      <c r="E520" s="34">
        <v>10.0</v>
      </c>
      <c r="F520" s="35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  <c r="L520" s="3">
        <f t="shared" si="6"/>
        <v>12.54</v>
      </c>
    </row>
    <row r="521">
      <c r="A521" s="34">
        <v>552.0</v>
      </c>
      <c r="B521" s="37">
        <v>2018.0</v>
      </c>
      <c r="C521" s="37">
        <v>5.0</v>
      </c>
      <c r="D521" s="34">
        <v>3.0</v>
      </c>
      <c r="E521" s="34">
        <v>10.0</v>
      </c>
      <c r="F521" s="35" t="s">
        <v>16</v>
      </c>
      <c r="G521" s="10" t="s">
        <v>169</v>
      </c>
      <c r="H521" s="10">
        <v>6.33</v>
      </c>
      <c r="I521" s="10">
        <v>5.5</v>
      </c>
      <c r="J521" s="3">
        <f t="shared" si="1"/>
        <v>11.83</v>
      </c>
      <c r="L521" s="3">
        <f t="shared" si="6"/>
        <v>0</v>
      </c>
    </row>
    <row r="522">
      <c r="A522" s="34">
        <v>553.0</v>
      </c>
      <c r="B522" s="37">
        <v>2018.0</v>
      </c>
      <c r="C522" s="37">
        <v>5.0</v>
      </c>
      <c r="D522" s="34">
        <v>3.0</v>
      </c>
      <c r="E522" s="34">
        <v>11.0</v>
      </c>
      <c r="F522" s="35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  <c r="L522" s="3">
        <f t="shared" si="6"/>
        <v>0</v>
      </c>
    </row>
    <row r="523">
      <c r="A523" s="34">
        <v>554.0</v>
      </c>
      <c r="B523" s="37">
        <v>2018.0</v>
      </c>
      <c r="C523" s="37">
        <v>5.0</v>
      </c>
      <c r="D523" s="34">
        <v>3.0</v>
      </c>
      <c r="E523" s="34">
        <v>11.0</v>
      </c>
      <c r="F523" s="35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  <c r="L523" s="3">
        <f t="shared" si="6"/>
        <v>0</v>
      </c>
    </row>
    <row r="524">
      <c r="A524" s="34">
        <v>555.0</v>
      </c>
      <c r="B524" s="37">
        <v>2018.0</v>
      </c>
      <c r="C524" s="37">
        <v>5.0</v>
      </c>
      <c r="D524" s="34">
        <v>3.0</v>
      </c>
      <c r="E524" s="34">
        <v>12.0</v>
      </c>
      <c r="F524" s="35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  <c r="L524" s="3">
        <f t="shared" si="6"/>
        <v>0</v>
      </c>
    </row>
    <row r="525">
      <c r="A525" s="34">
        <v>556.0</v>
      </c>
      <c r="B525" s="37">
        <v>2018.0</v>
      </c>
      <c r="C525" s="37">
        <v>5.0</v>
      </c>
      <c r="D525" s="34">
        <v>3.0</v>
      </c>
      <c r="E525" s="34">
        <v>12.0</v>
      </c>
      <c r="F525" s="35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  <c r="L525" s="3">
        <f t="shared" si="6"/>
        <v>0</v>
      </c>
    </row>
    <row r="526">
      <c r="A526" s="34">
        <v>557.0</v>
      </c>
      <c r="B526" s="37">
        <v>2018.0</v>
      </c>
      <c r="C526" s="37">
        <v>5.0</v>
      </c>
      <c r="D526" s="34">
        <v>4.0</v>
      </c>
      <c r="E526" s="34">
        <v>1.0</v>
      </c>
      <c r="F526" s="35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  <c r="L526" s="3">
        <f t="shared" si="6"/>
        <v>0</v>
      </c>
    </row>
    <row r="527">
      <c r="A527" s="34">
        <v>558.0</v>
      </c>
      <c r="B527" s="37">
        <v>2018.0</v>
      </c>
      <c r="C527" s="37">
        <v>5.0</v>
      </c>
      <c r="D527" s="34">
        <v>4.0</v>
      </c>
      <c r="E527" s="34">
        <v>1.0</v>
      </c>
      <c r="F527" s="35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  <c r="L527" s="3">
        <f t="shared" si="6"/>
        <v>0</v>
      </c>
    </row>
    <row r="528">
      <c r="A528" s="34">
        <v>559.0</v>
      </c>
      <c r="B528" s="37">
        <v>2018.0</v>
      </c>
      <c r="C528" s="37">
        <v>5.0</v>
      </c>
      <c r="D528" s="34">
        <v>4.0</v>
      </c>
      <c r="E528" s="34">
        <v>1.0</v>
      </c>
      <c r="F528" s="35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  <c r="L528" s="3">
        <f t="shared" si="6"/>
        <v>0</v>
      </c>
    </row>
    <row r="529">
      <c r="A529" s="34">
        <v>560.0</v>
      </c>
      <c r="B529" s="37">
        <v>2018.0</v>
      </c>
      <c r="C529" s="37">
        <v>5.0</v>
      </c>
      <c r="D529" s="34">
        <v>4.0</v>
      </c>
      <c r="E529" s="34">
        <v>2.0</v>
      </c>
      <c r="F529" s="35" t="s">
        <v>16</v>
      </c>
      <c r="G529" s="10" t="s">
        <v>176</v>
      </c>
      <c r="H529" s="10">
        <v>6.1</v>
      </c>
      <c r="I529" s="10">
        <v>5.4</v>
      </c>
      <c r="J529" s="3">
        <f t="shared" si="1"/>
        <v>11.5</v>
      </c>
      <c r="L529" s="3">
        <f t="shared" si="6"/>
        <v>0</v>
      </c>
    </row>
    <row r="530">
      <c r="A530" s="34">
        <v>561.0</v>
      </c>
      <c r="B530" s="37">
        <v>2018.0</v>
      </c>
      <c r="C530" s="37">
        <v>5.0</v>
      </c>
      <c r="D530" s="34">
        <v>4.0</v>
      </c>
      <c r="E530" s="34">
        <v>2.0</v>
      </c>
      <c r="F530" s="35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  <c r="L530" s="3">
        <f t="shared" si="6"/>
        <v>0</v>
      </c>
    </row>
    <row r="531">
      <c r="A531" s="34">
        <v>562.0</v>
      </c>
      <c r="B531" s="37">
        <v>2018.0</v>
      </c>
      <c r="C531" s="37">
        <v>5.0</v>
      </c>
      <c r="D531" s="34">
        <v>4.0</v>
      </c>
      <c r="E531" s="34">
        <v>2.0</v>
      </c>
      <c r="F531" s="35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  <c r="L531" s="3">
        <f t="shared" si="6"/>
        <v>0</v>
      </c>
    </row>
    <row r="532">
      <c r="A532" s="34">
        <v>563.0</v>
      </c>
      <c r="B532" s="37">
        <v>2018.0</v>
      </c>
      <c r="C532" s="37">
        <v>5.0</v>
      </c>
      <c r="D532" s="34">
        <v>4.0</v>
      </c>
      <c r="E532" s="34">
        <v>3.0</v>
      </c>
      <c r="F532" s="35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  <c r="L532" s="3">
        <f t="shared" si="6"/>
        <v>0</v>
      </c>
    </row>
    <row r="533">
      <c r="A533" s="34">
        <v>564.0</v>
      </c>
      <c r="B533" s="37">
        <v>2018.0</v>
      </c>
      <c r="C533" s="37">
        <v>5.0</v>
      </c>
      <c r="D533" s="34">
        <v>4.0</v>
      </c>
      <c r="E533" s="34">
        <v>3.0</v>
      </c>
      <c r="F533" s="35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  <c r="L533" s="3">
        <f t="shared" si="6"/>
        <v>0</v>
      </c>
    </row>
    <row r="534">
      <c r="A534" s="34">
        <v>565.0</v>
      </c>
      <c r="B534" s="37">
        <v>2018.0</v>
      </c>
      <c r="C534" s="37">
        <v>5.0</v>
      </c>
      <c r="D534" s="34">
        <v>4.0</v>
      </c>
      <c r="E534" s="34">
        <v>3.0</v>
      </c>
      <c r="F534" s="35" t="s">
        <v>16</v>
      </c>
      <c r="G534" s="10" t="s">
        <v>179</v>
      </c>
      <c r="H534" s="10">
        <v>7.93</v>
      </c>
      <c r="I534" s="10">
        <v>6.73</v>
      </c>
      <c r="J534" s="3">
        <f t="shared" si="1"/>
        <v>14.66</v>
      </c>
      <c r="L534" s="3">
        <f t="shared" si="6"/>
        <v>0</v>
      </c>
    </row>
    <row r="535">
      <c r="A535" s="34">
        <v>566.0</v>
      </c>
      <c r="B535" s="37">
        <v>2018.0</v>
      </c>
      <c r="C535" s="37">
        <v>5.0</v>
      </c>
      <c r="D535" s="34">
        <v>4.0</v>
      </c>
      <c r="E535" s="34">
        <v>4.0</v>
      </c>
      <c r="F535" s="35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  <c r="L535" s="3">
        <f t="shared" si="6"/>
        <v>10.5</v>
      </c>
    </row>
    <row r="536">
      <c r="A536" s="34">
        <v>567.0</v>
      </c>
      <c r="B536" s="37">
        <v>2018.0</v>
      </c>
      <c r="C536" s="37">
        <v>5.0</v>
      </c>
      <c r="D536" s="34">
        <v>4.0</v>
      </c>
      <c r="E536" s="34">
        <v>4.0</v>
      </c>
      <c r="F536" s="35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  <c r="L536" s="3">
        <f t="shared" si="6"/>
        <v>0</v>
      </c>
    </row>
    <row r="537">
      <c r="A537" s="34">
        <v>568.0</v>
      </c>
      <c r="B537" s="37">
        <v>2018.0</v>
      </c>
      <c r="C537" s="37">
        <v>5.0</v>
      </c>
      <c r="D537" s="34">
        <v>4.0</v>
      </c>
      <c r="E537" s="34">
        <v>4.0</v>
      </c>
      <c r="F537" s="35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  <c r="L537" s="3">
        <f t="shared" si="6"/>
        <v>0</v>
      </c>
    </row>
    <row r="538">
      <c r="A538" s="34">
        <v>569.0</v>
      </c>
      <c r="B538" s="37">
        <v>2018.0</v>
      </c>
      <c r="C538" s="37">
        <v>5.0</v>
      </c>
      <c r="D538" s="34">
        <v>5.0</v>
      </c>
      <c r="E538" s="34">
        <v>1.0</v>
      </c>
      <c r="F538" s="35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  <c r="L538" s="3">
        <f t="shared" si="6"/>
        <v>0</v>
      </c>
    </row>
    <row r="539">
      <c r="A539" s="34">
        <v>570.0</v>
      </c>
      <c r="B539" s="37">
        <v>2018.0</v>
      </c>
      <c r="C539" s="37">
        <v>5.0</v>
      </c>
      <c r="D539" s="34">
        <v>5.0</v>
      </c>
      <c r="E539" s="34">
        <v>1.0</v>
      </c>
      <c r="F539" s="35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  <c r="L539" s="3">
        <f t="shared" si="6"/>
        <v>0</v>
      </c>
    </row>
    <row r="540">
      <c r="A540" s="34">
        <v>571.0</v>
      </c>
      <c r="B540" s="37">
        <v>2018.0</v>
      </c>
      <c r="C540" s="37">
        <v>5.0</v>
      </c>
      <c r="D540" s="34">
        <v>5.0</v>
      </c>
      <c r="E540" s="34">
        <v>2.0</v>
      </c>
      <c r="F540" s="35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  <c r="L540" s="3">
        <f t="shared" si="6"/>
        <v>0</v>
      </c>
    </row>
    <row r="541">
      <c r="A541" s="34">
        <v>572.0</v>
      </c>
      <c r="B541" s="37">
        <v>2018.0</v>
      </c>
      <c r="C541" s="37">
        <v>5.0</v>
      </c>
      <c r="D541" s="34">
        <v>5.0</v>
      </c>
      <c r="E541" s="34">
        <v>2.0</v>
      </c>
      <c r="F541" s="35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  <c r="L541" s="3">
        <f t="shared" si="6"/>
        <v>0</v>
      </c>
    </row>
    <row r="542">
      <c r="A542" s="34">
        <v>573.0</v>
      </c>
      <c r="B542" s="37">
        <v>2018.0</v>
      </c>
      <c r="C542" s="37">
        <v>5.0</v>
      </c>
      <c r="D542" s="34">
        <v>5.0</v>
      </c>
      <c r="E542" s="34">
        <v>3.0</v>
      </c>
      <c r="F542" s="35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  <c r="L542" s="3">
        <f t="shared" si="6"/>
        <v>0</v>
      </c>
    </row>
    <row r="543">
      <c r="A543" s="34">
        <v>574.0</v>
      </c>
      <c r="B543" s="37">
        <v>2018.0</v>
      </c>
      <c r="C543" s="37">
        <v>5.0</v>
      </c>
      <c r="D543" s="34">
        <v>5.0</v>
      </c>
      <c r="E543" s="34">
        <v>3.0</v>
      </c>
      <c r="F543" s="35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  <c r="L543" s="3">
        <f t="shared" si="6"/>
        <v>0</v>
      </c>
    </row>
    <row r="544">
      <c r="A544" s="34">
        <v>575.0</v>
      </c>
      <c r="B544" s="37">
        <v>2018.0</v>
      </c>
      <c r="C544" s="37">
        <v>5.0</v>
      </c>
      <c r="D544" s="34">
        <v>5.0</v>
      </c>
      <c r="E544" s="34">
        <v>4.0</v>
      </c>
      <c r="F544" s="35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  <c r="L544" s="3">
        <f t="shared" si="6"/>
        <v>11.67</v>
      </c>
    </row>
    <row r="545">
      <c r="A545" s="34">
        <v>576.0</v>
      </c>
      <c r="B545" s="37">
        <v>2018.0</v>
      </c>
      <c r="C545" s="37">
        <v>5.0</v>
      </c>
      <c r="D545" s="34">
        <v>5.0</v>
      </c>
      <c r="E545" s="34">
        <v>4.0</v>
      </c>
      <c r="F545" s="35" t="s">
        <v>16</v>
      </c>
      <c r="G545" s="10" t="s">
        <v>179</v>
      </c>
      <c r="H545" s="10">
        <v>7.67</v>
      </c>
      <c r="I545" s="10">
        <v>6.57</v>
      </c>
      <c r="J545" s="3">
        <f t="shared" si="1"/>
        <v>14.24</v>
      </c>
      <c r="K545" s="10"/>
      <c r="L545" s="3">
        <f t="shared" si="6"/>
        <v>0</v>
      </c>
    </row>
    <row r="546">
      <c r="A546" s="34">
        <v>577.0</v>
      </c>
      <c r="B546" s="37">
        <v>2018.0</v>
      </c>
      <c r="C546" s="37">
        <v>5.0</v>
      </c>
      <c r="D546" s="37">
        <v>6.0</v>
      </c>
      <c r="E546" s="34">
        <v>1.0</v>
      </c>
      <c r="F546" s="35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  <c r="L546" s="3">
        <f t="shared" si="6"/>
        <v>0</v>
      </c>
    </row>
    <row r="547">
      <c r="A547" s="34">
        <v>578.0</v>
      </c>
      <c r="B547" s="37">
        <v>2018.0</v>
      </c>
      <c r="C547" s="37">
        <v>5.0</v>
      </c>
      <c r="D547" s="37">
        <v>6.0</v>
      </c>
      <c r="E547" s="34">
        <v>1.0</v>
      </c>
      <c r="F547" s="35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  <c r="L547" s="3">
        <f t="shared" si="6"/>
        <v>0</v>
      </c>
    </row>
    <row r="548">
      <c r="A548" s="34">
        <v>579.0</v>
      </c>
      <c r="B548" s="37">
        <v>2018.0</v>
      </c>
      <c r="C548" s="37">
        <v>5.0</v>
      </c>
      <c r="D548" s="37">
        <v>6.0</v>
      </c>
      <c r="E548" s="34">
        <v>2.0</v>
      </c>
      <c r="F548" s="35" t="s">
        <v>16</v>
      </c>
      <c r="G548" s="10" t="s">
        <v>179</v>
      </c>
      <c r="H548" s="10">
        <v>8.83</v>
      </c>
      <c r="I548" s="10">
        <v>6.33</v>
      </c>
      <c r="J548" s="3">
        <f t="shared" si="1"/>
        <v>15.16</v>
      </c>
      <c r="L548" s="3">
        <f t="shared" si="6"/>
        <v>0</v>
      </c>
    </row>
    <row r="549">
      <c r="A549" s="34">
        <v>580.0</v>
      </c>
      <c r="B549" s="37">
        <v>2018.0</v>
      </c>
      <c r="C549" s="37">
        <v>5.0</v>
      </c>
      <c r="D549" s="37">
        <v>6.0</v>
      </c>
      <c r="E549" s="34">
        <v>2.0</v>
      </c>
      <c r="F549" s="35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  <c r="L549" s="3">
        <f t="shared" si="6"/>
        <v>0</v>
      </c>
    </row>
    <row r="550">
      <c r="A550" s="34">
        <v>581.0</v>
      </c>
      <c r="B550" s="37">
        <v>2018.0</v>
      </c>
      <c r="C550" s="37">
        <v>5.0</v>
      </c>
      <c r="D550" s="37">
        <v>7.0</v>
      </c>
      <c r="E550" s="37">
        <v>1.0</v>
      </c>
      <c r="F550" s="35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  <c r="L550" s="3">
        <f t="shared" si="6"/>
        <v>0</v>
      </c>
    </row>
    <row r="551">
      <c r="A551" s="34">
        <v>582.0</v>
      </c>
      <c r="B551" s="37">
        <v>2018.0</v>
      </c>
      <c r="C551" s="37">
        <v>5.0</v>
      </c>
      <c r="D551" s="37">
        <v>7.0</v>
      </c>
      <c r="E551" s="37">
        <v>1.0</v>
      </c>
      <c r="F551" s="35" t="s">
        <v>16</v>
      </c>
      <c r="G551" s="10" t="s">
        <v>179</v>
      </c>
      <c r="H551" s="10">
        <v>8.07</v>
      </c>
      <c r="I551" s="10">
        <v>7.5</v>
      </c>
      <c r="J551" s="3">
        <f t="shared" si="1"/>
        <v>15.57</v>
      </c>
      <c r="L551" s="3">
        <f t="shared" si="6"/>
        <v>0</v>
      </c>
      <c r="M551" s="3">
        <f>SUM(L442:L551)</f>
        <v>40.85</v>
      </c>
    </row>
    <row r="552">
      <c r="A552" s="34">
        <v>591.0</v>
      </c>
      <c r="B552" s="37">
        <v>2018.0</v>
      </c>
      <c r="C552" s="37">
        <v>6.0</v>
      </c>
      <c r="D552" s="34">
        <v>1.0</v>
      </c>
      <c r="E552" s="34">
        <v>1.0</v>
      </c>
      <c r="F552" s="35" t="s">
        <v>16</v>
      </c>
      <c r="G552" s="59" t="s">
        <v>28</v>
      </c>
      <c r="H552" s="10">
        <v>5.17</v>
      </c>
      <c r="I552" s="10">
        <v>5.0</v>
      </c>
      <c r="J552" s="3">
        <f t="shared" si="1"/>
        <v>10.17</v>
      </c>
      <c r="L552" s="3">
        <f t="shared" ref="L552:L661" si="7">IF(G552="Matthew McGillivray",J552,0)</f>
        <v>0</v>
      </c>
    </row>
    <row r="553">
      <c r="A553" s="34">
        <v>592.0</v>
      </c>
      <c r="B553" s="37">
        <v>2018.0</v>
      </c>
      <c r="C553" s="37">
        <v>6.0</v>
      </c>
      <c r="D553" s="34">
        <v>1.0</v>
      </c>
      <c r="E553" s="34">
        <v>1.0</v>
      </c>
      <c r="F553" s="35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  <c r="L553" s="3">
        <f t="shared" si="7"/>
        <v>0</v>
      </c>
    </row>
    <row r="554">
      <c r="A554" s="34">
        <v>593.0</v>
      </c>
      <c r="B554" s="37">
        <v>2018.0</v>
      </c>
      <c r="C554" s="37">
        <v>6.0</v>
      </c>
      <c r="D554" s="34">
        <v>1.0</v>
      </c>
      <c r="E554" s="34">
        <v>1.0</v>
      </c>
      <c r="F554" s="35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  <c r="L554" s="3">
        <f t="shared" si="7"/>
        <v>0</v>
      </c>
    </row>
    <row r="555">
      <c r="A555" s="34">
        <v>594.0</v>
      </c>
      <c r="B555" s="37">
        <v>2018.0</v>
      </c>
      <c r="C555" s="37">
        <v>6.0</v>
      </c>
      <c r="D555" s="34">
        <v>1.0</v>
      </c>
      <c r="E555" s="34">
        <v>2.0</v>
      </c>
      <c r="F555" s="35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  <c r="L555" s="3">
        <f t="shared" si="7"/>
        <v>0</v>
      </c>
    </row>
    <row r="556">
      <c r="A556" s="34">
        <v>595.0</v>
      </c>
      <c r="B556" s="37">
        <v>2018.0</v>
      </c>
      <c r="C556" s="37">
        <v>6.0</v>
      </c>
      <c r="D556" s="34">
        <v>1.0</v>
      </c>
      <c r="E556" s="34">
        <v>2.0</v>
      </c>
      <c r="F556" s="35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  <c r="L556" s="3">
        <f t="shared" si="7"/>
        <v>0</v>
      </c>
    </row>
    <row r="557">
      <c r="A557" s="34">
        <v>596.0</v>
      </c>
      <c r="B557" s="37">
        <v>2018.0</v>
      </c>
      <c r="C557" s="37">
        <v>6.0</v>
      </c>
      <c r="D557" s="34">
        <v>1.0</v>
      </c>
      <c r="E557" s="34">
        <v>2.0</v>
      </c>
      <c r="F557" s="35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  <c r="L557" s="3">
        <f t="shared" si="7"/>
        <v>0</v>
      </c>
    </row>
    <row r="558">
      <c r="A558" s="34">
        <v>597.0</v>
      </c>
      <c r="B558" s="37">
        <v>2018.0</v>
      </c>
      <c r="C558" s="37">
        <v>6.0</v>
      </c>
      <c r="D558" s="34">
        <v>1.0</v>
      </c>
      <c r="E558" s="34">
        <v>3.0</v>
      </c>
      <c r="F558" s="35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  <c r="L558" s="3">
        <f t="shared" si="7"/>
        <v>0</v>
      </c>
    </row>
    <row r="559">
      <c r="A559" s="34">
        <v>598.0</v>
      </c>
      <c r="B559" s="37">
        <v>2018.0</v>
      </c>
      <c r="C559" s="37">
        <v>6.0</v>
      </c>
      <c r="D559" s="34">
        <v>1.0</v>
      </c>
      <c r="E559" s="34">
        <v>3.0</v>
      </c>
      <c r="F559" s="35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  <c r="L559" s="3">
        <f t="shared" si="7"/>
        <v>0</v>
      </c>
    </row>
    <row r="560">
      <c r="A560" s="34">
        <v>599.0</v>
      </c>
      <c r="B560" s="37">
        <v>2018.0</v>
      </c>
      <c r="C560" s="37">
        <v>6.0</v>
      </c>
      <c r="D560" s="34">
        <v>1.0</v>
      </c>
      <c r="E560" s="34">
        <v>3.0</v>
      </c>
      <c r="F560" s="35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  <c r="L560" s="3">
        <f t="shared" si="7"/>
        <v>0</v>
      </c>
    </row>
    <row r="561">
      <c r="A561" s="34">
        <v>600.0</v>
      </c>
      <c r="B561" s="37">
        <v>2018.0</v>
      </c>
      <c r="C561" s="37">
        <v>6.0</v>
      </c>
      <c r="D561" s="34">
        <v>1.0</v>
      </c>
      <c r="E561" s="34">
        <v>4.0</v>
      </c>
      <c r="F561" s="35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  <c r="L561" s="3">
        <f t="shared" si="7"/>
        <v>0</v>
      </c>
    </row>
    <row r="562">
      <c r="A562" s="34">
        <v>601.0</v>
      </c>
      <c r="B562" s="37">
        <v>2018.0</v>
      </c>
      <c r="C562" s="37">
        <v>6.0</v>
      </c>
      <c r="D562" s="34">
        <v>1.0</v>
      </c>
      <c r="E562" s="34">
        <v>4.0</v>
      </c>
      <c r="F562" s="35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  <c r="L562" s="3">
        <f t="shared" si="7"/>
        <v>0</v>
      </c>
    </row>
    <row r="563">
      <c r="A563" s="34">
        <v>602.0</v>
      </c>
      <c r="B563" s="37">
        <v>2018.0</v>
      </c>
      <c r="C563" s="37">
        <v>6.0</v>
      </c>
      <c r="D563" s="34">
        <v>1.0</v>
      </c>
      <c r="E563" s="34">
        <v>4.0</v>
      </c>
      <c r="F563" s="35" t="s">
        <v>16</v>
      </c>
      <c r="G563" s="10" t="s">
        <v>188</v>
      </c>
      <c r="H563" s="10">
        <v>4.5</v>
      </c>
      <c r="I563" s="10">
        <v>2.43</v>
      </c>
      <c r="J563" s="3">
        <f t="shared" si="1"/>
        <v>6.93</v>
      </c>
      <c r="L563" s="3">
        <f t="shared" si="7"/>
        <v>0</v>
      </c>
    </row>
    <row r="564">
      <c r="A564" s="34">
        <v>603.0</v>
      </c>
      <c r="B564" s="37">
        <v>2018.0</v>
      </c>
      <c r="C564" s="37">
        <v>6.0</v>
      </c>
      <c r="D564" s="34">
        <v>1.0</v>
      </c>
      <c r="E564" s="34">
        <v>5.0</v>
      </c>
      <c r="F564" s="35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  <c r="L564" s="3">
        <f t="shared" si="7"/>
        <v>0</v>
      </c>
    </row>
    <row r="565">
      <c r="A565" s="34">
        <v>604.0</v>
      </c>
      <c r="B565" s="37">
        <v>2018.0</v>
      </c>
      <c r="C565" s="37">
        <v>6.0</v>
      </c>
      <c r="D565" s="34">
        <v>1.0</v>
      </c>
      <c r="E565" s="34">
        <v>5.0</v>
      </c>
      <c r="F565" s="35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  <c r="L565" s="3">
        <f t="shared" si="7"/>
        <v>0</v>
      </c>
    </row>
    <row r="566">
      <c r="A566" s="34">
        <v>605.0</v>
      </c>
      <c r="B566" s="37">
        <v>2018.0</v>
      </c>
      <c r="C566" s="37">
        <v>6.0</v>
      </c>
      <c r="D566" s="34">
        <v>1.0</v>
      </c>
      <c r="E566" s="34">
        <v>5.0</v>
      </c>
      <c r="F566" s="35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  <c r="L566" s="3">
        <f t="shared" si="7"/>
        <v>0</v>
      </c>
    </row>
    <row r="567">
      <c r="A567" s="34">
        <v>606.0</v>
      </c>
      <c r="B567" s="37">
        <v>2018.0</v>
      </c>
      <c r="C567" s="37">
        <v>6.0</v>
      </c>
      <c r="D567" s="34">
        <v>1.0</v>
      </c>
      <c r="E567" s="34">
        <v>6.0</v>
      </c>
      <c r="F567" s="35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  <c r="L567" s="3">
        <f t="shared" si="7"/>
        <v>0</v>
      </c>
    </row>
    <row r="568">
      <c r="A568" s="34">
        <v>607.0</v>
      </c>
      <c r="B568" s="37">
        <v>2018.0</v>
      </c>
      <c r="C568" s="37">
        <v>6.0</v>
      </c>
      <c r="D568" s="34">
        <v>1.0</v>
      </c>
      <c r="E568" s="34">
        <v>6.0</v>
      </c>
      <c r="F568" s="35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  <c r="L568" s="3">
        <f t="shared" si="7"/>
        <v>0</v>
      </c>
    </row>
    <row r="569">
      <c r="A569" s="34">
        <v>608.0</v>
      </c>
      <c r="B569" s="37">
        <v>2018.0</v>
      </c>
      <c r="C569" s="37">
        <v>6.0</v>
      </c>
      <c r="D569" s="34">
        <v>1.0</v>
      </c>
      <c r="E569" s="34">
        <v>6.0</v>
      </c>
      <c r="F569" s="35" t="s">
        <v>16</v>
      </c>
      <c r="G569" s="10" t="s">
        <v>189</v>
      </c>
      <c r="H569" s="10">
        <v>6.83</v>
      </c>
      <c r="I569" s="10">
        <v>3.03</v>
      </c>
      <c r="J569" s="3">
        <f t="shared" si="1"/>
        <v>9.86</v>
      </c>
      <c r="L569" s="3">
        <f t="shared" si="7"/>
        <v>9.86</v>
      </c>
    </row>
    <row r="570">
      <c r="A570" s="34">
        <v>609.0</v>
      </c>
      <c r="B570" s="37">
        <v>2018.0</v>
      </c>
      <c r="C570" s="37">
        <v>6.0</v>
      </c>
      <c r="D570" s="34">
        <v>1.0</v>
      </c>
      <c r="E570" s="34">
        <v>7.0</v>
      </c>
      <c r="F570" s="35" t="s">
        <v>16</v>
      </c>
      <c r="G570" s="10" t="s">
        <v>179</v>
      </c>
      <c r="H570" s="10">
        <v>6.37</v>
      </c>
      <c r="I570" s="10">
        <v>5.93</v>
      </c>
      <c r="J570" s="3">
        <f t="shared" si="1"/>
        <v>12.3</v>
      </c>
      <c r="L570" s="3">
        <f t="shared" si="7"/>
        <v>0</v>
      </c>
    </row>
    <row r="571">
      <c r="A571" s="34">
        <v>610.0</v>
      </c>
      <c r="B571" s="37">
        <v>2018.0</v>
      </c>
      <c r="C571" s="37">
        <v>6.0</v>
      </c>
      <c r="D571" s="34">
        <v>1.0</v>
      </c>
      <c r="E571" s="34">
        <v>7.0</v>
      </c>
      <c r="F571" s="35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  <c r="L571" s="3">
        <f t="shared" si="7"/>
        <v>0</v>
      </c>
    </row>
    <row r="572">
      <c r="A572" s="34">
        <v>611.0</v>
      </c>
      <c r="B572" s="37">
        <v>2018.0</v>
      </c>
      <c r="C572" s="37">
        <v>6.0</v>
      </c>
      <c r="D572" s="34">
        <v>1.0</v>
      </c>
      <c r="E572" s="34">
        <v>7.0</v>
      </c>
      <c r="F572" s="35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  <c r="L572" s="3">
        <f t="shared" si="7"/>
        <v>0</v>
      </c>
    </row>
    <row r="573">
      <c r="A573" s="34">
        <v>612.0</v>
      </c>
      <c r="B573" s="37">
        <v>2018.0</v>
      </c>
      <c r="C573" s="37">
        <v>6.0</v>
      </c>
      <c r="D573" s="34">
        <v>1.0</v>
      </c>
      <c r="E573" s="34">
        <v>8.0</v>
      </c>
      <c r="F573" s="35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  <c r="L573" s="3">
        <f t="shared" si="7"/>
        <v>0</v>
      </c>
    </row>
    <row r="574">
      <c r="A574" s="34">
        <v>613.0</v>
      </c>
      <c r="B574" s="37">
        <v>2018.0</v>
      </c>
      <c r="C574" s="37">
        <v>6.0</v>
      </c>
      <c r="D574" s="34">
        <v>1.0</v>
      </c>
      <c r="E574" s="34">
        <v>8.0</v>
      </c>
      <c r="F574" s="35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  <c r="L574" s="3">
        <f t="shared" si="7"/>
        <v>0</v>
      </c>
    </row>
    <row r="575">
      <c r="A575" s="34">
        <v>614.0</v>
      </c>
      <c r="B575" s="37">
        <v>2018.0</v>
      </c>
      <c r="C575" s="37">
        <v>6.0</v>
      </c>
      <c r="D575" s="34">
        <v>1.0</v>
      </c>
      <c r="E575" s="34">
        <v>8.0</v>
      </c>
      <c r="F575" s="35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  <c r="L575" s="3">
        <f t="shared" si="7"/>
        <v>0</v>
      </c>
    </row>
    <row r="576">
      <c r="A576" s="34">
        <v>615.0</v>
      </c>
      <c r="B576" s="37">
        <v>2018.0</v>
      </c>
      <c r="C576" s="37">
        <v>6.0</v>
      </c>
      <c r="D576" s="34">
        <v>1.0</v>
      </c>
      <c r="E576" s="34">
        <v>9.0</v>
      </c>
      <c r="F576" s="35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  <c r="L576" s="3">
        <f t="shared" si="7"/>
        <v>0</v>
      </c>
    </row>
    <row r="577">
      <c r="A577" s="34">
        <v>616.0</v>
      </c>
      <c r="B577" s="37">
        <v>2018.0</v>
      </c>
      <c r="C577" s="37">
        <v>6.0</v>
      </c>
      <c r="D577" s="34">
        <v>1.0</v>
      </c>
      <c r="E577" s="34">
        <v>9.0</v>
      </c>
      <c r="F577" s="35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  <c r="L577" s="3">
        <f t="shared" si="7"/>
        <v>0</v>
      </c>
    </row>
    <row r="578">
      <c r="A578" s="34">
        <v>617.0</v>
      </c>
      <c r="B578" s="37">
        <v>2018.0</v>
      </c>
      <c r="C578" s="37">
        <v>6.0</v>
      </c>
      <c r="D578" s="34">
        <v>1.0</v>
      </c>
      <c r="E578" s="34">
        <v>9.0</v>
      </c>
      <c r="F578" s="35" t="s">
        <v>16</v>
      </c>
      <c r="G578" s="10" t="s">
        <v>177</v>
      </c>
      <c r="H578" s="10">
        <v>6.0</v>
      </c>
      <c r="I578" s="10">
        <v>0.0</v>
      </c>
      <c r="J578" s="3">
        <f t="shared" si="1"/>
        <v>6</v>
      </c>
      <c r="L578" s="3">
        <f t="shared" si="7"/>
        <v>0</v>
      </c>
    </row>
    <row r="579">
      <c r="A579" s="34">
        <v>618.0</v>
      </c>
      <c r="B579" s="37">
        <v>2018.0</v>
      </c>
      <c r="C579" s="37">
        <v>6.0</v>
      </c>
      <c r="D579" s="34">
        <v>1.0</v>
      </c>
      <c r="E579" s="34">
        <v>10.0</v>
      </c>
      <c r="F579" s="35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  <c r="L579" s="3">
        <f t="shared" si="7"/>
        <v>0</v>
      </c>
    </row>
    <row r="580">
      <c r="A580" s="34">
        <v>619.0</v>
      </c>
      <c r="B580" s="37">
        <v>2018.0</v>
      </c>
      <c r="C580" s="37">
        <v>6.0</v>
      </c>
      <c r="D580" s="34">
        <v>1.0</v>
      </c>
      <c r="E580" s="34">
        <v>10.0</v>
      </c>
      <c r="F580" s="35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  <c r="L580" s="3">
        <f t="shared" si="7"/>
        <v>0</v>
      </c>
    </row>
    <row r="581">
      <c r="A581" s="34">
        <v>620.0</v>
      </c>
      <c r="B581" s="37">
        <v>2018.0</v>
      </c>
      <c r="C581" s="37">
        <v>6.0</v>
      </c>
      <c r="D581" s="34">
        <v>1.0</v>
      </c>
      <c r="E581" s="34">
        <v>10.0</v>
      </c>
      <c r="F581" s="35" t="s">
        <v>16</v>
      </c>
      <c r="G581" s="10" t="s">
        <v>169</v>
      </c>
      <c r="H581" s="10">
        <v>7.9</v>
      </c>
      <c r="I581" s="10">
        <v>5.33</v>
      </c>
      <c r="J581" s="3">
        <f t="shared" si="1"/>
        <v>13.23</v>
      </c>
      <c r="L581" s="3">
        <f t="shared" si="7"/>
        <v>0</v>
      </c>
    </row>
    <row r="582">
      <c r="A582" s="34">
        <v>621.0</v>
      </c>
      <c r="B582" s="37">
        <v>2018.0</v>
      </c>
      <c r="C582" s="37">
        <v>6.0</v>
      </c>
      <c r="D582" s="34">
        <v>1.0</v>
      </c>
      <c r="E582" s="34">
        <v>11.0</v>
      </c>
      <c r="F582" s="35" t="s">
        <v>16</v>
      </c>
      <c r="G582" s="10" t="s">
        <v>178</v>
      </c>
      <c r="H582" s="10">
        <v>6.83</v>
      </c>
      <c r="I582" s="10">
        <v>6.8</v>
      </c>
      <c r="J582" s="3">
        <f t="shared" si="1"/>
        <v>13.63</v>
      </c>
      <c r="L582" s="3">
        <f t="shared" si="7"/>
        <v>0</v>
      </c>
    </row>
    <row r="583">
      <c r="A583" s="34">
        <v>622.0</v>
      </c>
      <c r="B583" s="37">
        <v>2018.0</v>
      </c>
      <c r="C583" s="37">
        <v>6.0</v>
      </c>
      <c r="D583" s="34">
        <v>1.0</v>
      </c>
      <c r="E583" s="34">
        <v>11.0</v>
      </c>
      <c r="F583" s="35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  <c r="L583" s="3">
        <f t="shared" si="7"/>
        <v>0</v>
      </c>
    </row>
    <row r="584">
      <c r="A584" s="34">
        <v>623.0</v>
      </c>
      <c r="B584" s="37">
        <v>2018.0</v>
      </c>
      <c r="C584" s="37">
        <v>6.0</v>
      </c>
      <c r="D584" s="34">
        <v>1.0</v>
      </c>
      <c r="E584" s="34">
        <v>11.0</v>
      </c>
      <c r="F584" s="35" t="s">
        <v>16</v>
      </c>
      <c r="G584" s="10" t="s">
        <v>142</v>
      </c>
      <c r="H584" s="10">
        <v>5.67</v>
      </c>
      <c r="I584" s="10">
        <v>5.27</v>
      </c>
      <c r="J584" s="3">
        <f t="shared" si="1"/>
        <v>10.94</v>
      </c>
      <c r="L584" s="3">
        <f t="shared" si="7"/>
        <v>0</v>
      </c>
    </row>
    <row r="585">
      <c r="A585" s="34">
        <v>624.0</v>
      </c>
      <c r="B585" s="37">
        <v>2018.0</v>
      </c>
      <c r="C585" s="37">
        <v>6.0</v>
      </c>
      <c r="D585" s="34">
        <v>1.0</v>
      </c>
      <c r="E585" s="34">
        <v>12.0</v>
      </c>
      <c r="F585" s="35" t="s">
        <v>16</v>
      </c>
      <c r="G585" s="10" t="s">
        <v>176</v>
      </c>
      <c r="H585" s="10">
        <v>6.23</v>
      </c>
      <c r="I585" s="10">
        <v>4.73</v>
      </c>
      <c r="J585" s="3">
        <f t="shared" si="1"/>
        <v>10.96</v>
      </c>
      <c r="L585" s="3">
        <f t="shared" si="7"/>
        <v>0</v>
      </c>
    </row>
    <row r="586">
      <c r="A586" s="34">
        <v>625.0</v>
      </c>
      <c r="B586" s="37">
        <v>2018.0</v>
      </c>
      <c r="C586" s="37">
        <v>6.0</v>
      </c>
      <c r="D586" s="34">
        <v>1.0</v>
      </c>
      <c r="E586" s="34">
        <v>12.0</v>
      </c>
      <c r="F586" s="35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  <c r="L586" s="3">
        <f t="shared" si="7"/>
        <v>0</v>
      </c>
    </row>
    <row r="587">
      <c r="A587" s="34">
        <v>626.0</v>
      </c>
      <c r="B587" s="37">
        <v>2018.0</v>
      </c>
      <c r="C587" s="37">
        <v>6.0</v>
      </c>
      <c r="D587" s="34">
        <v>1.0</v>
      </c>
      <c r="E587" s="34">
        <v>12.0</v>
      </c>
      <c r="F587" s="35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  <c r="L587" s="3">
        <f t="shared" si="7"/>
        <v>0</v>
      </c>
    </row>
    <row r="588">
      <c r="A588" s="34">
        <v>627.0</v>
      </c>
      <c r="B588" s="37">
        <v>2018.0</v>
      </c>
      <c r="C588" s="37">
        <v>6.0</v>
      </c>
      <c r="D588" s="34">
        <v>2.0</v>
      </c>
      <c r="E588" s="34">
        <v>1.0</v>
      </c>
      <c r="F588" s="35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  <c r="L588" s="3">
        <f t="shared" si="7"/>
        <v>0</v>
      </c>
    </row>
    <row r="589">
      <c r="A589" s="34">
        <v>628.0</v>
      </c>
      <c r="B589" s="37">
        <v>2018.0</v>
      </c>
      <c r="C589" s="37">
        <v>6.0</v>
      </c>
      <c r="D589" s="34">
        <v>2.0</v>
      </c>
      <c r="E589" s="34">
        <v>1.0</v>
      </c>
      <c r="F589" s="35" t="s">
        <v>16</v>
      </c>
      <c r="G589" s="10" t="s">
        <v>189</v>
      </c>
      <c r="H589" s="10">
        <v>7.57</v>
      </c>
      <c r="I589" s="10">
        <v>5.93</v>
      </c>
      <c r="J589" s="3">
        <f t="shared" si="1"/>
        <v>13.5</v>
      </c>
      <c r="L589" s="3">
        <f t="shared" si="7"/>
        <v>13.5</v>
      </c>
    </row>
    <row r="590">
      <c r="A590" s="34">
        <v>629.0</v>
      </c>
      <c r="B590" s="37">
        <v>2018.0</v>
      </c>
      <c r="C590" s="37">
        <v>6.0</v>
      </c>
      <c r="D590" s="34">
        <v>2.0</v>
      </c>
      <c r="E590" s="34">
        <v>2.0</v>
      </c>
      <c r="F590" s="35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  <c r="L590" s="3">
        <f t="shared" si="7"/>
        <v>0</v>
      </c>
    </row>
    <row r="591">
      <c r="A591" s="34">
        <v>630.0</v>
      </c>
      <c r="B591" s="37">
        <v>2018.0</v>
      </c>
      <c r="C591" s="37">
        <v>6.0</v>
      </c>
      <c r="D591" s="34">
        <v>2.0</v>
      </c>
      <c r="E591" s="34">
        <v>2.0</v>
      </c>
      <c r="F591" s="35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  <c r="L591" s="3">
        <f t="shared" si="7"/>
        <v>0</v>
      </c>
    </row>
    <row r="592">
      <c r="A592" s="34">
        <v>631.0</v>
      </c>
      <c r="B592" s="37">
        <v>2018.0</v>
      </c>
      <c r="C592" s="37">
        <v>6.0</v>
      </c>
      <c r="D592" s="34">
        <v>2.0</v>
      </c>
      <c r="E592" s="34">
        <v>3.0</v>
      </c>
      <c r="F592" s="35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  <c r="L592" s="3">
        <f t="shared" si="7"/>
        <v>0</v>
      </c>
    </row>
    <row r="593">
      <c r="A593" s="34">
        <v>632.0</v>
      </c>
      <c r="B593" s="37">
        <v>2018.0</v>
      </c>
      <c r="C593" s="37">
        <v>6.0</v>
      </c>
      <c r="D593" s="34">
        <v>2.0</v>
      </c>
      <c r="E593" s="34">
        <v>3.0</v>
      </c>
      <c r="F593" s="35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  <c r="L593" s="3">
        <f t="shared" si="7"/>
        <v>0</v>
      </c>
    </row>
    <row r="594">
      <c r="A594" s="34">
        <v>633.0</v>
      </c>
      <c r="B594" s="37">
        <v>2018.0</v>
      </c>
      <c r="C594" s="37">
        <v>6.0</v>
      </c>
      <c r="D594" s="34">
        <v>2.0</v>
      </c>
      <c r="E594" s="34">
        <v>4.0</v>
      </c>
      <c r="F594" s="35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  <c r="L594" s="3">
        <f t="shared" si="7"/>
        <v>0</v>
      </c>
    </row>
    <row r="595">
      <c r="A595" s="34">
        <v>634.0</v>
      </c>
      <c r="B595" s="37">
        <v>2018.0</v>
      </c>
      <c r="C595" s="37">
        <v>6.0</v>
      </c>
      <c r="D595" s="34">
        <v>2.0</v>
      </c>
      <c r="E595" s="34">
        <v>4.0</v>
      </c>
      <c r="F595" s="35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  <c r="L595" s="3">
        <f t="shared" si="7"/>
        <v>0</v>
      </c>
    </row>
    <row r="596">
      <c r="A596" s="34">
        <v>635.0</v>
      </c>
      <c r="B596" s="37">
        <v>2018.0</v>
      </c>
      <c r="C596" s="37">
        <v>6.0</v>
      </c>
      <c r="D596" s="34">
        <v>2.0</v>
      </c>
      <c r="E596" s="34">
        <v>5.0</v>
      </c>
      <c r="F596" s="35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  <c r="L596" s="3">
        <f t="shared" si="7"/>
        <v>0</v>
      </c>
    </row>
    <row r="597">
      <c r="A597" s="34">
        <v>636.0</v>
      </c>
      <c r="B597" s="37">
        <v>2018.0</v>
      </c>
      <c r="C597" s="37">
        <v>6.0</v>
      </c>
      <c r="D597" s="34">
        <v>2.0</v>
      </c>
      <c r="E597" s="34">
        <v>5.0</v>
      </c>
      <c r="F597" s="35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  <c r="L597" s="3">
        <f t="shared" si="7"/>
        <v>0</v>
      </c>
    </row>
    <row r="598">
      <c r="A598" s="34">
        <v>637.0</v>
      </c>
      <c r="B598" s="37">
        <v>2018.0</v>
      </c>
      <c r="C598" s="37">
        <v>6.0</v>
      </c>
      <c r="D598" s="34">
        <v>2.0</v>
      </c>
      <c r="E598" s="34">
        <v>6.0</v>
      </c>
      <c r="F598" s="35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  <c r="L598" s="3">
        <f t="shared" si="7"/>
        <v>0</v>
      </c>
    </row>
    <row r="599">
      <c r="A599" s="34">
        <v>638.0</v>
      </c>
      <c r="B599" s="37">
        <v>2018.0</v>
      </c>
      <c r="C599" s="37">
        <v>6.0</v>
      </c>
      <c r="D599" s="34">
        <v>2.0</v>
      </c>
      <c r="E599" s="34">
        <v>6.0</v>
      </c>
      <c r="F599" s="35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  <c r="L599" s="3">
        <f t="shared" si="7"/>
        <v>0</v>
      </c>
    </row>
    <row r="600">
      <c r="A600" s="34">
        <v>639.0</v>
      </c>
      <c r="B600" s="37">
        <v>2018.0</v>
      </c>
      <c r="C600" s="37">
        <v>6.0</v>
      </c>
      <c r="D600" s="34">
        <v>2.0</v>
      </c>
      <c r="E600" s="34">
        <v>7.0</v>
      </c>
      <c r="F600" s="35" t="s">
        <v>16</v>
      </c>
      <c r="G600" s="10" t="s">
        <v>176</v>
      </c>
      <c r="H600" s="10">
        <v>7.47</v>
      </c>
      <c r="I600" s="10">
        <v>7.0</v>
      </c>
      <c r="J600" s="3">
        <f t="shared" si="1"/>
        <v>14.47</v>
      </c>
      <c r="L600" s="3">
        <f t="shared" si="7"/>
        <v>0</v>
      </c>
    </row>
    <row r="601">
      <c r="A601" s="34">
        <v>640.0</v>
      </c>
      <c r="B601" s="37">
        <v>2018.0</v>
      </c>
      <c r="C601" s="37">
        <v>6.0</v>
      </c>
      <c r="D601" s="34">
        <v>2.0</v>
      </c>
      <c r="E601" s="34">
        <v>7.0</v>
      </c>
      <c r="F601" s="35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  <c r="L601" s="3">
        <f t="shared" si="7"/>
        <v>0</v>
      </c>
    </row>
    <row r="602">
      <c r="A602" s="34">
        <v>641.0</v>
      </c>
      <c r="B602" s="37">
        <v>2018.0</v>
      </c>
      <c r="C602" s="37">
        <v>6.0</v>
      </c>
      <c r="D602" s="34">
        <v>2.0</v>
      </c>
      <c r="E602" s="34">
        <v>8.0</v>
      </c>
      <c r="F602" s="35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  <c r="L602" s="3">
        <f t="shared" si="7"/>
        <v>0</v>
      </c>
    </row>
    <row r="603">
      <c r="A603" s="34">
        <v>642.0</v>
      </c>
      <c r="B603" s="37">
        <v>2018.0</v>
      </c>
      <c r="C603" s="37">
        <v>6.0</v>
      </c>
      <c r="D603" s="34">
        <v>2.0</v>
      </c>
      <c r="E603" s="34">
        <v>8.0</v>
      </c>
      <c r="F603" s="35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  <c r="L603" s="3">
        <f t="shared" si="7"/>
        <v>0</v>
      </c>
    </row>
    <row r="604">
      <c r="A604" s="34">
        <v>643.0</v>
      </c>
      <c r="B604" s="37">
        <v>2018.0</v>
      </c>
      <c r="C604" s="37">
        <v>6.0</v>
      </c>
      <c r="D604" s="34">
        <v>2.0</v>
      </c>
      <c r="E604" s="34">
        <v>9.0</v>
      </c>
      <c r="F604" s="35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  <c r="L604" s="3">
        <f t="shared" si="7"/>
        <v>0</v>
      </c>
    </row>
    <row r="605">
      <c r="A605" s="34">
        <v>644.0</v>
      </c>
      <c r="B605" s="37">
        <v>2018.0</v>
      </c>
      <c r="C605" s="37">
        <v>6.0</v>
      </c>
      <c r="D605" s="34">
        <v>2.0</v>
      </c>
      <c r="E605" s="34">
        <v>9.0</v>
      </c>
      <c r="F605" s="35" t="s">
        <v>16</v>
      </c>
      <c r="G605" s="10" t="s">
        <v>177</v>
      </c>
      <c r="H605" s="10">
        <v>7.6</v>
      </c>
      <c r="I605" s="10">
        <v>5.17</v>
      </c>
      <c r="J605" s="3">
        <f t="shared" si="1"/>
        <v>12.77</v>
      </c>
      <c r="L605" s="3">
        <f t="shared" si="7"/>
        <v>0</v>
      </c>
    </row>
    <row r="606">
      <c r="A606" s="34">
        <v>645.0</v>
      </c>
      <c r="B606" s="37">
        <v>2018.0</v>
      </c>
      <c r="C606" s="37">
        <v>6.0</v>
      </c>
      <c r="D606" s="34">
        <v>2.0</v>
      </c>
      <c r="E606" s="34">
        <v>10.0</v>
      </c>
      <c r="F606" s="35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  <c r="L606" s="3">
        <f t="shared" si="7"/>
        <v>0</v>
      </c>
    </row>
    <row r="607">
      <c r="A607" s="34">
        <v>646.0</v>
      </c>
      <c r="B607" s="37">
        <v>2018.0</v>
      </c>
      <c r="C607" s="37">
        <v>6.0</v>
      </c>
      <c r="D607" s="34">
        <v>2.0</v>
      </c>
      <c r="E607" s="34">
        <v>10.0</v>
      </c>
      <c r="F607" s="35" t="s">
        <v>16</v>
      </c>
      <c r="G607" s="10" t="s">
        <v>142</v>
      </c>
      <c r="H607" s="10">
        <v>7.93</v>
      </c>
      <c r="I607" s="10">
        <v>7.33</v>
      </c>
      <c r="J607" s="3">
        <f t="shared" si="1"/>
        <v>15.26</v>
      </c>
      <c r="L607" s="3">
        <f t="shared" si="7"/>
        <v>0</v>
      </c>
    </row>
    <row r="608">
      <c r="A608" s="34">
        <v>647.0</v>
      </c>
      <c r="B608" s="37">
        <v>2018.0</v>
      </c>
      <c r="C608" s="37">
        <v>6.0</v>
      </c>
      <c r="D608" s="34">
        <v>2.0</v>
      </c>
      <c r="E608" s="34">
        <v>11.0</v>
      </c>
      <c r="F608" s="35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  <c r="L608" s="3">
        <f t="shared" si="7"/>
        <v>0</v>
      </c>
    </row>
    <row r="609">
      <c r="A609" s="34">
        <v>648.0</v>
      </c>
      <c r="B609" s="37">
        <v>2018.0</v>
      </c>
      <c r="C609" s="37">
        <v>6.0</v>
      </c>
      <c r="D609" s="34">
        <v>2.0</v>
      </c>
      <c r="E609" s="34">
        <v>11.0</v>
      </c>
      <c r="F609" s="35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  <c r="L609" s="3">
        <f t="shared" si="7"/>
        <v>0</v>
      </c>
    </row>
    <row r="610">
      <c r="A610" s="34">
        <v>649.0</v>
      </c>
      <c r="B610" s="37">
        <v>2018.0</v>
      </c>
      <c r="C610" s="37">
        <v>6.0</v>
      </c>
      <c r="D610" s="34">
        <v>2.0</v>
      </c>
      <c r="E610" s="34">
        <v>12.0</v>
      </c>
      <c r="F610" s="35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  <c r="L610" s="3">
        <f t="shared" si="7"/>
        <v>0</v>
      </c>
    </row>
    <row r="611">
      <c r="A611" s="34">
        <v>650.0</v>
      </c>
      <c r="B611" s="37">
        <v>2018.0</v>
      </c>
      <c r="C611" s="37">
        <v>6.0</v>
      </c>
      <c r="D611" s="34">
        <v>2.0</v>
      </c>
      <c r="E611" s="34">
        <v>12.0</v>
      </c>
      <c r="F611" s="35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  <c r="L611" s="3">
        <f t="shared" si="7"/>
        <v>0</v>
      </c>
    </row>
    <row r="612">
      <c r="A612" s="34">
        <v>651.0</v>
      </c>
      <c r="B612" s="37">
        <v>2018.0</v>
      </c>
      <c r="C612" s="37">
        <v>6.0</v>
      </c>
      <c r="D612" s="34">
        <v>3.0</v>
      </c>
      <c r="E612" s="34">
        <v>1.0</v>
      </c>
      <c r="F612" s="35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  <c r="L612" s="3">
        <f t="shared" si="7"/>
        <v>0</v>
      </c>
    </row>
    <row r="613">
      <c r="A613" s="34">
        <v>652.0</v>
      </c>
      <c r="B613" s="37">
        <v>2018.0</v>
      </c>
      <c r="C613" s="37">
        <v>6.0</v>
      </c>
      <c r="D613" s="34">
        <v>3.0</v>
      </c>
      <c r="E613" s="34">
        <v>1.0</v>
      </c>
      <c r="F613" s="35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  <c r="L613" s="3">
        <f t="shared" si="7"/>
        <v>0</v>
      </c>
    </row>
    <row r="614">
      <c r="A614" s="34">
        <v>653.0</v>
      </c>
      <c r="B614" s="37">
        <v>2018.0</v>
      </c>
      <c r="C614" s="37">
        <v>6.0</v>
      </c>
      <c r="D614" s="34">
        <v>3.0</v>
      </c>
      <c r="E614" s="34">
        <v>2.0</v>
      </c>
      <c r="F614" s="35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  <c r="L614" s="3">
        <f t="shared" si="7"/>
        <v>0</v>
      </c>
    </row>
    <row r="615">
      <c r="A615" s="34">
        <v>654.0</v>
      </c>
      <c r="B615" s="37">
        <v>2018.0</v>
      </c>
      <c r="C615" s="37">
        <v>6.0</v>
      </c>
      <c r="D615" s="34">
        <v>3.0</v>
      </c>
      <c r="E615" s="34">
        <v>2.0</v>
      </c>
      <c r="F615" s="35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  <c r="L615" s="3">
        <f t="shared" si="7"/>
        <v>0</v>
      </c>
    </row>
    <row r="616">
      <c r="A616" s="34">
        <v>655.0</v>
      </c>
      <c r="B616" s="37">
        <v>2018.0</v>
      </c>
      <c r="C616" s="37">
        <v>6.0</v>
      </c>
      <c r="D616" s="34">
        <v>3.0</v>
      </c>
      <c r="E616" s="34">
        <v>3.0</v>
      </c>
      <c r="F616" s="35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  <c r="L616" s="3">
        <f t="shared" si="7"/>
        <v>0</v>
      </c>
    </row>
    <row r="617">
      <c r="A617" s="34">
        <v>656.0</v>
      </c>
      <c r="B617" s="37">
        <v>2018.0</v>
      </c>
      <c r="C617" s="37">
        <v>6.0</v>
      </c>
      <c r="D617" s="34">
        <v>3.0</v>
      </c>
      <c r="E617" s="34">
        <v>3.0</v>
      </c>
      <c r="F617" s="35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  <c r="L617" s="3">
        <f t="shared" si="7"/>
        <v>0</v>
      </c>
    </row>
    <row r="618">
      <c r="A618" s="34">
        <v>657.0</v>
      </c>
      <c r="B618" s="37">
        <v>2018.0</v>
      </c>
      <c r="C618" s="37">
        <v>6.0</v>
      </c>
      <c r="D618" s="34">
        <v>3.0</v>
      </c>
      <c r="E618" s="34">
        <v>4.0</v>
      </c>
      <c r="F618" s="35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  <c r="L618" s="3">
        <f t="shared" si="7"/>
        <v>0</v>
      </c>
    </row>
    <row r="619">
      <c r="A619" s="34">
        <v>658.0</v>
      </c>
      <c r="B619" s="37">
        <v>2018.0</v>
      </c>
      <c r="C619" s="37">
        <v>6.0</v>
      </c>
      <c r="D619" s="34">
        <v>3.0</v>
      </c>
      <c r="E619" s="34">
        <v>4.0</v>
      </c>
      <c r="F619" s="35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  <c r="L619" s="3">
        <f t="shared" si="7"/>
        <v>0</v>
      </c>
    </row>
    <row r="620">
      <c r="A620" s="34">
        <v>659.0</v>
      </c>
      <c r="B620" s="37">
        <v>2018.0</v>
      </c>
      <c r="C620" s="37">
        <v>6.0</v>
      </c>
      <c r="D620" s="34">
        <v>3.0</v>
      </c>
      <c r="E620" s="34">
        <v>5.0</v>
      </c>
      <c r="F620" s="35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  <c r="L620" s="3">
        <f t="shared" si="7"/>
        <v>0</v>
      </c>
    </row>
    <row r="621">
      <c r="A621" s="34">
        <v>660.0</v>
      </c>
      <c r="B621" s="37">
        <v>2018.0</v>
      </c>
      <c r="C621" s="37">
        <v>6.0</v>
      </c>
      <c r="D621" s="34">
        <v>3.0</v>
      </c>
      <c r="E621" s="34">
        <v>5.0</v>
      </c>
      <c r="F621" s="35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  <c r="L621" s="3">
        <f t="shared" si="7"/>
        <v>0</v>
      </c>
    </row>
    <row r="622">
      <c r="A622" s="34">
        <v>661.0</v>
      </c>
      <c r="B622" s="37">
        <v>2018.0</v>
      </c>
      <c r="C622" s="37">
        <v>6.0</v>
      </c>
      <c r="D622" s="34">
        <v>3.0</v>
      </c>
      <c r="E622" s="34">
        <v>6.0</v>
      </c>
      <c r="F622" s="35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  <c r="L622" s="3">
        <f t="shared" si="7"/>
        <v>0</v>
      </c>
    </row>
    <row r="623">
      <c r="A623" s="34">
        <v>662.0</v>
      </c>
      <c r="B623" s="37">
        <v>2018.0</v>
      </c>
      <c r="C623" s="37">
        <v>6.0</v>
      </c>
      <c r="D623" s="34">
        <v>3.0</v>
      </c>
      <c r="E623" s="34">
        <v>6.0</v>
      </c>
      <c r="F623" s="35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  <c r="L623" s="3">
        <f t="shared" si="7"/>
        <v>0</v>
      </c>
    </row>
    <row r="624">
      <c r="A624" s="34">
        <v>663.0</v>
      </c>
      <c r="B624" s="37">
        <v>2018.0</v>
      </c>
      <c r="C624" s="37">
        <v>6.0</v>
      </c>
      <c r="D624" s="34">
        <v>3.0</v>
      </c>
      <c r="E624" s="34">
        <v>7.0</v>
      </c>
      <c r="F624" s="35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  <c r="L624" s="3">
        <f t="shared" si="7"/>
        <v>0</v>
      </c>
    </row>
    <row r="625">
      <c r="A625" s="34">
        <v>664.0</v>
      </c>
      <c r="B625" s="37">
        <v>2018.0</v>
      </c>
      <c r="C625" s="37">
        <v>6.0</v>
      </c>
      <c r="D625" s="34">
        <v>3.0</v>
      </c>
      <c r="E625" s="34">
        <v>7.0</v>
      </c>
      <c r="F625" s="35" t="s">
        <v>16</v>
      </c>
      <c r="G625" s="10" t="s">
        <v>169</v>
      </c>
      <c r="H625" s="10">
        <v>7.07</v>
      </c>
      <c r="I625" s="10">
        <v>0.87</v>
      </c>
      <c r="J625" s="3">
        <f t="shared" si="1"/>
        <v>7.94</v>
      </c>
      <c r="L625" s="3">
        <f t="shared" si="7"/>
        <v>0</v>
      </c>
    </row>
    <row r="626">
      <c r="A626" s="34">
        <v>665.0</v>
      </c>
      <c r="B626" s="37">
        <v>2018.0</v>
      </c>
      <c r="C626" s="37">
        <v>6.0</v>
      </c>
      <c r="D626" s="34">
        <v>3.0</v>
      </c>
      <c r="E626" s="34">
        <v>8.0</v>
      </c>
      <c r="F626" s="35" t="s">
        <v>16</v>
      </c>
      <c r="G626" s="10" t="s">
        <v>176</v>
      </c>
      <c r="H626" s="10">
        <v>6.67</v>
      </c>
      <c r="I626" s="10">
        <v>4.17</v>
      </c>
      <c r="J626" s="3">
        <f t="shared" si="1"/>
        <v>10.84</v>
      </c>
      <c r="L626" s="3">
        <f t="shared" si="7"/>
        <v>0</v>
      </c>
    </row>
    <row r="627">
      <c r="A627" s="34">
        <v>666.0</v>
      </c>
      <c r="B627" s="37">
        <v>2018.0</v>
      </c>
      <c r="C627" s="37">
        <v>6.0</v>
      </c>
      <c r="D627" s="34">
        <v>3.0</v>
      </c>
      <c r="E627" s="34">
        <v>8.0</v>
      </c>
      <c r="F627" s="35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  <c r="L627" s="3">
        <f t="shared" si="7"/>
        <v>0</v>
      </c>
    </row>
    <row r="628">
      <c r="A628" s="34">
        <v>667.0</v>
      </c>
      <c r="B628" s="37">
        <v>2018.0</v>
      </c>
      <c r="C628" s="37">
        <v>6.0</v>
      </c>
      <c r="D628" s="34">
        <v>3.0</v>
      </c>
      <c r="E628" s="34">
        <v>9.0</v>
      </c>
      <c r="F628" s="35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  <c r="L628" s="3">
        <f t="shared" si="7"/>
        <v>0</v>
      </c>
    </row>
    <row r="629">
      <c r="A629" s="34">
        <v>668.0</v>
      </c>
      <c r="B629" s="37">
        <v>2018.0</v>
      </c>
      <c r="C629" s="37">
        <v>6.0</v>
      </c>
      <c r="D629" s="34">
        <v>3.0</v>
      </c>
      <c r="E629" s="34">
        <v>9.0</v>
      </c>
      <c r="F629" s="35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  <c r="L629" s="3">
        <f t="shared" si="7"/>
        <v>0</v>
      </c>
    </row>
    <row r="630">
      <c r="A630" s="34">
        <v>669.0</v>
      </c>
      <c r="B630" s="37">
        <v>2018.0</v>
      </c>
      <c r="C630" s="37">
        <v>6.0</v>
      </c>
      <c r="D630" s="34">
        <v>3.0</v>
      </c>
      <c r="E630" s="34">
        <v>10.0</v>
      </c>
      <c r="F630" s="35" t="s">
        <v>16</v>
      </c>
      <c r="G630" s="10" t="s">
        <v>179</v>
      </c>
      <c r="H630" s="10">
        <v>4.67</v>
      </c>
      <c r="I630" s="10">
        <v>3.0</v>
      </c>
      <c r="J630" s="3">
        <f t="shared" si="1"/>
        <v>7.67</v>
      </c>
      <c r="L630" s="3">
        <f t="shared" si="7"/>
        <v>0</v>
      </c>
    </row>
    <row r="631">
      <c r="A631" s="34">
        <v>670.0</v>
      </c>
      <c r="B631" s="37">
        <v>2018.0</v>
      </c>
      <c r="C631" s="37">
        <v>6.0</v>
      </c>
      <c r="D631" s="34">
        <v>3.0</v>
      </c>
      <c r="E631" s="34">
        <v>10.0</v>
      </c>
      <c r="F631" s="35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  <c r="L631" s="3">
        <f t="shared" si="7"/>
        <v>0</v>
      </c>
    </row>
    <row r="632">
      <c r="A632" s="34">
        <v>671.0</v>
      </c>
      <c r="B632" s="37">
        <v>2018.0</v>
      </c>
      <c r="C632" s="37">
        <v>6.0</v>
      </c>
      <c r="D632" s="34">
        <v>3.0</v>
      </c>
      <c r="E632" s="34">
        <v>11.0</v>
      </c>
      <c r="F632" s="35" t="s">
        <v>16</v>
      </c>
      <c r="G632" s="10" t="s">
        <v>178</v>
      </c>
      <c r="H632" s="10">
        <v>9.57</v>
      </c>
      <c r="I632" s="10">
        <v>8.13</v>
      </c>
      <c r="J632" s="3">
        <f t="shared" si="1"/>
        <v>17.7</v>
      </c>
      <c r="L632" s="3">
        <f t="shared" si="7"/>
        <v>0</v>
      </c>
    </row>
    <row r="633">
      <c r="A633" s="34">
        <v>672.0</v>
      </c>
      <c r="B633" s="37">
        <v>2018.0</v>
      </c>
      <c r="C633" s="37">
        <v>6.0</v>
      </c>
      <c r="D633" s="34">
        <v>3.0</v>
      </c>
      <c r="E633" s="34">
        <v>11.0</v>
      </c>
      <c r="F633" s="35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  <c r="L633" s="3">
        <f t="shared" si="7"/>
        <v>0</v>
      </c>
    </row>
    <row r="634">
      <c r="A634" s="34">
        <v>673.0</v>
      </c>
      <c r="B634" s="37">
        <v>2018.0</v>
      </c>
      <c r="C634" s="37">
        <v>6.0</v>
      </c>
      <c r="D634" s="34">
        <v>3.0</v>
      </c>
      <c r="E634" s="34">
        <v>12.0</v>
      </c>
      <c r="F634" s="35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  <c r="L634" s="3">
        <f t="shared" si="7"/>
        <v>0</v>
      </c>
    </row>
    <row r="635">
      <c r="A635" s="34">
        <v>674.0</v>
      </c>
      <c r="B635" s="37">
        <v>2018.0</v>
      </c>
      <c r="C635" s="37">
        <v>6.0</v>
      </c>
      <c r="D635" s="34">
        <v>3.0</v>
      </c>
      <c r="E635" s="34">
        <v>12.0</v>
      </c>
      <c r="F635" s="35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  <c r="L635" s="3">
        <f t="shared" si="7"/>
        <v>0</v>
      </c>
    </row>
    <row r="636">
      <c r="A636" s="34">
        <v>675.0</v>
      </c>
      <c r="B636" s="37">
        <v>2018.0</v>
      </c>
      <c r="C636" s="37">
        <v>6.0</v>
      </c>
      <c r="D636" s="34">
        <v>4.0</v>
      </c>
      <c r="E636" s="34">
        <v>1.0</v>
      </c>
      <c r="F636" s="35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  <c r="L636" s="3">
        <f t="shared" si="7"/>
        <v>0</v>
      </c>
    </row>
    <row r="637">
      <c r="A637" s="34">
        <v>676.0</v>
      </c>
      <c r="B637" s="37">
        <v>2018.0</v>
      </c>
      <c r="C637" s="37">
        <v>6.0</v>
      </c>
      <c r="D637" s="34">
        <v>4.0</v>
      </c>
      <c r="E637" s="34">
        <v>1.0</v>
      </c>
      <c r="F637" s="35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  <c r="L637" s="3">
        <f t="shared" si="7"/>
        <v>0</v>
      </c>
    </row>
    <row r="638">
      <c r="A638" s="34">
        <v>677.0</v>
      </c>
      <c r="B638" s="37">
        <v>2018.0</v>
      </c>
      <c r="C638" s="37">
        <v>6.0</v>
      </c>
      <c r="D638" s="34">
        <v>4.0</v>
      </c>
      <c r="E638" s="34">
        <v>1.0</v>
      </c>
      <c r="F638" s="35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  <c r="L638" s="3">
        <f t="shared" si="7"/>
        <v>0</v>
      </c>
    </row>
    <row r="639">
      <c r="A639" s="34">
        <v>678.0</v>
      </c>
      <c r="B639" s="37">
        <v>2018.0</v>
      </c>
      <c r="C639" s="37">
        <v>6.0</v>
      </c>
      <c r="D639" s="34">
        <v>4.0</v>
      </c>
      <c r="E639" s="34">
        <v>2.0</v>
      </c>
      <c r="F639" s="35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  <c r="L639" s="3">
        <f t="shared" si="7"/>
        <v>0</v>
      </c>
    </row>
    <row r="640">
      <c r="A640" s="34">
        <v>679.0</v>
      </c>
      <c r="B640" s="37">
        <v>2018.0</v>
      </c>
      <c r="C640" s="37">
        <v>6.0</v>
      </c>
      <c r="D640" s="34">
        <v>4.0</v>
      </c>
      <c r="E640" s="34">
        <v>2.0</v>
      </c>
      <c r="F640" s="35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  <c r="L640" s="3">
        <f t="shared" si="7"/>
        <v>0</v>
      </c>
    </row>
    <row r="641">
      <c r="A641" s="34">
        <v>680.0</v>
      </c>
      <c r="B641" s="37">
        <v>2018.0</v>
      </c>
      <c r="C641" s="37">
        <v>6.0</v>
      </c>
      <c r="D641" s="34">
        <v>4.0</v>
      </c>
      <c r="E641" s="34">
        <v>2.0</v>
      </c>
      <c r="F641" s="35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  <c r="L641" s="3">
        <f t="shared" si="7"/>
        <v>0</v>
      </c>
    </row>
    <row r="642">
      <c r="A642" s="34">
        <v>681.0</v>
      </c>
      <c r="B642" s="37">
        <v>2018.0</v>
      </c>
      <c r="C642" s="37">
        <v>6.0</v>
      </c>
      <c r="D642" s="34">
        <v>4.0</v>
      </c>
      <c r="E642" s="34">
        <v>3.0</v>
      </c>
      <c r="F642" s="35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  <c r="L642" s="3">
        <f t="shared" si="7"/>
        <v>0</v>
      </c>
    </row>
    <row r="643">
      <c r="A643" s="34">
        <v>682.0</v>
      </c>
      <c r="B643" s="37">
        <v>2018.0</v>
      </c>
      <c r="C643" s="37">
        <v>6.0</v>
      </c>
      <c r="D643" s="34">
        <v>4.0</v>
      </c>
      <c r="E643" s="34">
        <v>3.0</v>
      </c>
      <c r="F643" s="35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  <c r="L643" s="3">
        <f t="shared" si="7"/>
        <v>0</v>
      </c>
    </row>
    <row r="644">
      <c r="A644" s="34">
        <v>683.0</v>
      </c>
      <c r="B644" s="37">
        <v>2018.0</v>
      </c>
      <c r="C644" s="37">
        <v>6.0</v>
      </c>
      <c r="D644" s="34">
        <v>4.0</v>
      </c>
      <c r="E644" s="34">
        <v>3.0</v>
      </c>
      <c r="F644" s="35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  <c r="L644" s="3">
        <f t="shared" si="7"/>
        <v>0</v>
      </c>
    </row>
    <row r="645">
      <c r="A645" s="34">
        <v>684.0</v>
      </c>
      <c r="B645" s="37">
        <v>2018.0</v>
      </c>
      <c r="C645" s="37">
        <v>6.0</v>
      </c>
      <c r="D645" s="34">
        <v>4.0</v>
      </c>
      <c r="E645" s="34">
        <v>4.0</v>
      </c>
      <c r="F645" s="35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  <c r="L645" s="3">
        <f t="shared" si="7"/>
        <v>0</v>
      </c>
    </row>
    <row r="646">
      <c r="A646" s="34">
        <v>685.0</v>
      </c>
      <c r="B646" s="37">
        <v>2018.0</v>
      </c>
      <c r="C646" s="37">
        <v>6.0</v>
      </c>
      <c r="D646" s="34">
        <v>4.0</v>
      </c>
      <c r="E646" s="34">
        <v>4.0</v>
      </c>
      <c r="F646" s="35" t="s">
        <v>16</v>
      </c>
      <c r="G646" s="10" t="s">
        <v>178</v>
      </c>
      <c r="H646" s="10">
        <v>9.5</v>
      </c>
      <c r="I646" s="10">
        <v>0.0</v>
      </c>
      <c r="J646" s="3">
        <f t="shared" si="1"/>
        <v>9.5</v>
      </c>
      <c r="L646" s="3">
        <f t="shared" si="7"/>
        <v>0</v>
      </c>
    </row>
    <row r="647">
      <c r="A647" s="34">
        <v>686.0</v>
      </c>
      <c r="B647" s="37">
        <v>2018.0</v>
      </c>
      <c r="C647" s="37">
        <v>6.0</v>
      </c>
      <c r="D647" s="34">
        <v>4.0</v>
      </c>
      <c r="E647" s="34">
        <v>4.0</v>
      </c>
      <c r="F647" s="35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  <c r="L647" s="3">
        <f t="shared" si="7"/>
        <v>0</v>
      </c>
    </row>
    <row r="648">
      <c r="A648" s="34">
        <v>687.0</v>
      </c>
      <c r="B648" s="37">
        <v>2018.0</v>
      </c>
      <c r="C648" s="37">
        <v>6.0</v>
      </c>
      <c r="D648" s="34">
        <v>5.0</v>
      </c>
      <c r="E648" s="34">
        <v>1.0</v>
      </c>
      <c r="F648" s="35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  <c r="L648" s="3">
        <f t="shared" si="7"/>
        <v>0</v>
      </c>
    </row>
    <row r="649">
      <c r="A649" s="34">
        <v>688.0</v>
      </c>
      <c r="B649" s="37">
        <v>2018.0</v>
      </c>
      <c r="C649" s="37">
        <v>6.0</v>
      </c>
      <c r="D649" s="34">
        <v>5.0</v>
      </c>
      <c r="E649" s="34">
        <v>1.0</v>
      </c>
      <c r="F649" s="35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  <c r="L649" s="3">
        <f t="shared" si="7"/>
        <v>0</v>
      </c>
    </row>
    <row r="650">
      <c r="A650" s="34">
        <v>689.0</v>
      </c>
      <c r="B650" s="37">
        <v>2018.0</v>
      </c>
      <c r="C650" s="37">
        <v>6.0</v>
      </c>
      <c r="D650" s="34">
        <v>5.0</v>
      </c>
      <c r="E650" s="34">
        <v>2.0</v>
      </c>
      <c r="F650" s="35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  <c r="L650" s="3">
        <f t="shared" si="7"/>
        <v>0</v>
      </c>
    </row>
    <row r="651">
      <c r="A651" s="34">
        <v>690.0</v>
      </c>
      <c r="B651" s="37">
        <v>2018.0</v>
      </c>
      <c r="C651" s="37">
        <v>6.0</v>
      </c>
      <c r="D651" s="34">
        <v>5.0</v>
      </c>
      <c r="E651" s="34">
        <v>2.0</v>
      </c>
      <c r="F651" s="35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  <c r="L651" s="3">
        <f t="shared" si="7"/>
        <v>0</v>
      </c>
    </row>
    <row r="652">
      <c r="A652" s="34">
        <v>691.0</v>
      </c>
      <c r="B652" s="37">
        <v>2018.0</v>
      </c>
      <c r="C652" s="37">
        <v>6.0</v>
      </c>
      <c r="D652" s="34">
        <v>5.0</v>
      </c>
      <c r="E652" s="34">
        <v>3.0</v>
      </c>
      <c r="F652" s="35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  <c r="L652" s="3">
        <f t="shared" si="7"/>
        <v>0</v>
      </c>
    </row>
    <row r="653">
      <c r="A653" s="34">
        <v>692.0</v>
      </c>
      <c r="B653" s="37">
        <v>2018.0</v>
      </c>
      <c r="C653" s="37">
        <v>6.0</v>
      </c>
      <c r="D653" s="34">
        <v>5.0</v>
      </c>
      <c r="E653" s="34">
        <v>3.0</v>
      </c>
      <c r="F653" s="35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  <c r="L653" s="3">
        <f t="shared" si="7"/>
        <v>0</v>
      </c>
    </row>
    <row r="654">
      <c r="A654" s="34">
        <v>693.0</v>
      </c>
      <c r="B654" s="37">
        <v>2018.0</v>
      </c>
      <c r="C654" s="37">
        <v>6.0</v>
      </c>
      <c r="D654" s="34">
        <v>5.0</v>
      </c>
      <c r="E654" s="34">
        <v>4.0</v>
      </c>
      <c r="F654" s="35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  <c r="L654" s="3">
        <f t="shared" si="7"/>
        <v>0</v>
      </c>
    </row>
    <row r="655">
      <c r="A655" s="34">
        <v>694.0</v>
      </c>
      <c r="B655" s="37">
        <v>2018.0</v>
      </c>
      <c r="C655" s="37">
        <v>6.0</v>
      </c>
      <c r="D655" s="34">
        <v>5.0</v>
      </c>
      <c r="E655" s="34">
        <v>4.0</v>
      </c>
      <c r="F655" s="35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  <c r="L655" s="3">
        <f t="shared" si="7"/>
        <v>0</v>
      </c>
    </row>
    <row r="656">
      <c r="A656" s="34">
        <v>695.0</v>
      </c>
      <c r="B656" s="37">
        <v>2018.0</v>
      </c>
      <c r="C656" s="37">
        <v>6.0</v>
      </c>
      <c r="D656" s="37">
        <v>6.0</v>
      </c>
      <c r="E656" s="34">
        <v>1.0</v>
      </c>
      <c r="F656" s="35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  <c r="L656" s="3">
        <f t="shared" si="7"/>
        <v>0</v>
      </c>
    </row>
    <row r="657">
      <c r="A657" s="34">
        <v>696.0</v>
      </c>
      <c r="B657" s="37">
        <v>2018.0</v>
      </c>
      <c r="C657" s="37">
        <v>6.0</v>
      </c>
      <c r="D657" s="37">
        <v>6.0</v>
      </c>
      <c r="E657" s="34">
        <v>1.0</v>
      </c>
      <c r="F657" s="35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  <c r="L657" s="3">
        <f t="shared" si="7"/>
        <v>0</v>
      </c>
    </row>
    <row r="658">
      <c r="A658" s="34">
        <v>697.0</v>
      </c>
      <c r="B658" s="37">
        <v>2018.0</v>
      </c>
      <c r="C658" s="37">
        <v>6.0</v>
      </c>
      <c r="D658" s="37">
        <v>6.0</v>
      </c>
      <c r="E658" s="34">
        <v>2.0</v>
      </c>
      <c r="F658" s="35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  <c r="L658" s="3">
        <f t="shared" si="7"/>
        <v>0</v>
      </c>
    </row>
    <row r="659">
      <c r="A659" s="34">
        <v>698.0</v>
      </c>
      <c r="B659" s="37">
        <v>2018.0</v>
      </c>
      <c r="C659" s="37">
        <v>6.0</v>
      </c>
      <c r="D659" s="37">
        <v>6.0</v>
      </c>
      <c r="E659" s="34">
        <v>2.0</v>
      </c>
      <c r="F659" s="35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  <c r="L659" s="3">
        <f t="shared" si="7"/>
        <v>0</v>
      </c>
    </row>
    <row r="660">
      <c r="A660" s="34">
        <v>699.0</v>
      </c>
      <c r="B660" s="37">
        <v>2018.0</v>
      </c>
      <c r="C660" s="37">
        <v>6.0</v>
      </c>
      <c r="D660" s="37">
        <v>7.0</v>
      </c>
      <c r="E660" s="37">
        <v>1.0</v>
      </c>
      <c r="F660" s="35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  <c r="L660" s="3">
        <f t="shared" si="7"/>
        <v>0</v>
      </c>
    </row>
    <row r="661">
      <c r="A661" s="34">
        <v>700.0</v>
      </c>
      <c r="B661" s="37">
        <v>2018.0</v>
      </c>
      <c r="C661" s="37">
        <v>6.0</v>
      </c>
      <c r="D661" s="37">
        <v>7.0</v>
      </c>
      <c r="E661" s="37">
        <v>1.0</v>
      </c>
      <c r="F661" s="35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>
        <f t="shared" si="7"/>
        <v>0</v>
      </c>
      <c r="M661" s="3">
        <f>SUM(L552:L661)</f>
        <v>23.36</v>
      </c>
    </row>
    <row r="662">
      <c r="A662" s="34">
        <v>709.0</v>
      </c>
      <c r="B662" s="37">
        <v>2018.0</v>
      </c>
      <c r="C662" s="37">
        <v>7.0</v>
      </c>
      <c r="D662" s="60">
        <v>1.0</v>
      </c>
      <c r="E662" s="60">
        <v>1.0</v>
      </c>
      <c r="F662" s="35" t="s">
        <v>16</v>
      </c>
      <c r="G662" s="55" t="s">
        <v>43</v>
      </c>
      <c r="H662" s="10">
        <v>6.73</v>
      </c>
      <c r="I662" s="10">
        <v>5.5</v>
      </c>
      <c r="J662" s="37">
        <v>12.23</v>
      </c>
      <c r="K662" s="34"/>
      <c r="L662" s="3">
        <f t="shared" ref="L662:L771" si="8">IF(G662="Mateia Hiquily",J662,0)</f>
        <v>0</v>
      </c>
    </row>
    <row r="663">
      <c r="A663" s="34">
        <v>710.0</v>
      </c>
      <c r="B663" s="37">
        <v>2018.0</v>
      </c>
      <c r="C663" s="37">
        <v>7.0</v>
      </c>
      <c r="D663" s="60">
        <v>1.0</v>
      </c>
      <c r="E663" s="60">
        <v>1.0</v>
      </c>
      <c r="F663" s="35" t="s">
        <v>16</v>
      </c>
      <c r="G663" s="10" t="s">
        <v>50</v>
      </c>
      <c r="H663" s="10">
        <v>6.17</v>
      </c>
      <c r="I663" s="10">
        <v>3.83</v>
      </c>
      <c r="J663" s="37">
        <v>10.0</v>
      </c>
      <c r="K663" s="34"/>
      <c r="L663" s="3">
        <f t="shared" si="8"/>
        <v>0</v>
      </c>
    </row>
    <row r="664">
      <c r="A664" s="34">
        <v>711.0</v>
      </c>
      <c r="B664" s="37">
        <v>2018.0</v>
      </c>
      <c r="C664" s="37">
        <v>7.0</v>
      </c>
      <c r="D664" s="60">
        <v>1.0</v>
      </c>
      <c r="E664" s="60">
        <v>1.0</v>
      </c>
      <c r="F664" s="35" t="s">
        <v>16</v>
      </c>
      <c r="G664" s="10" t="s">
        <v>65</v>
      </c>
      <c r="H664" s="10">
        <v>5.27</v>
      </c>
      <c r="I664" s="10">
        <v>2.93</v>
      </c>
      <c r="J664" s="37">
        <v>8.2</v>
      </c>
      <c r="K664" s="34"/>
      <c r="L664" s="3">
        <f t="shared" si="8"/>
        <v>0</v>
      </c>
    </row>
    <row r="665">
      <c r="A665" s="34">
        <v>712.0</v>
      </c>
      <c r="B665" s="37">
        <v>2018.0</v>
      </c>
      <c r="C665" s="37">
        <v>7.0</v>
      </c>
      <c r="D665" s="60">
        <v>1.0</v>
      </c>
      <c r="E665" s="60">
        <v>2.0</v>
      </c>
      <c r="F665" s="35" t="s">
        <v>16</v>
      </c>
      <c r="G665" s="55" t="s">
        <v>69</v>
      </c>
      <c r="H665" s="10">
        <v>6.0</v>
      </c>
      <c r="I665" s="10">
        <v>5.23</v>
      </c>
      <c r="J665" s="37">
        <v>11.23</v>
      </c>
      <c r="K665" s="34"/>
      <c r="L665" s="3">
        <f t="shared" si="8"/>
        <v>0</v>
      </c>
    </row>
    <row r="666">
      <c r="A666" s="34">
        <v>713.0</v>
      </c>
      <c r="B666" s="37">
        <v>2018.0</v>
      </c>
      <c r="C666" s="37">
        <v>7.0</v>
      </c>
      <c r="D666" s="60">
        <v>1.0</v>
      </c>
      <c r="E666" s="60">
        <v>2.0</v>
      </c>
      <c r="F666" s="35" t="s">
        <v>16</v>
      </c>
      <c r="G666" s="10" t="s">
        <v>67</v>
      </c>
      <c r="H666" s="10">
        <v>4.67</v>
      </c>
      <c r="I666" s="10">
        <v>3.93</v>
      </c>
      <c r="J666" s="37">
        <v>8.6</v>
      </c>
      <c r="K666" s="34"/>
      <c r="L666" s="3">
        <f t="shared" si="8"/>
        <v>0</v>
      </c>
    </row>
    <row r="667">
      <c r="A667" s="34">
        <v>714.0</v>
      </c>
      <c r="B667" s="37">
        <v>2018.0</v>
      </c>
      <c r="C667" s="37">
        <v>7.0</v>
      </c>
      <c r="D667" s="60">
        <v>1.0</v>
      </c>
      <c r="E667" s="60">
        <v>2.0</v>
      </c>
      <c r="F667" s="35" t="s">
        <v>16</v>
      </c>
      <c r="G667" s="10" t="s">
        <v>28</v>
      </c>
      <c r="H667" s="10">
        <v>3.87</v>
      </c>
      <c r="I667" s="10">
        <v>3.83</v>
      </c>
      <c r="J667" s="37">
        <v>7.7</v>
      </c>
      <c r="K667" s="34"/>
      <c r="L667" s="3">
        <f t="shared" si="8"/>
        <v>0</v>
      </c>
    </row>
    <row r="668">
      <c r="A668" s="34">
        <v>715.0</v>
      </c>
      <c r="B668" s="37">
        <v>2018.0</v>
      </c>
      <c r="C668" s="37">
        <v>7.0</v>
      </c>
      <c r="D668" s="60">
        <v>1.0</v>
      </c>
      <c r="E668" s="60">
        <v>3.0</v>
      </c>
      <c r="F668" s="35" t="s">
        <v>16</v>
      </c>
      <c r="G668" s="55" t="s">
        <v>17</v>
      </c>
      <c r="H668" s="10">
        <v>7.57</v>
      </c>
      <c r="I668" s="10">
        <v>7.27</v>
      </c>
      <c r="J668" s="37">
        <v>14.84</v>
      </c>
      <c r="K668" s="34"/>
      <c r="L668" s="3">
        <f t="shared" si="8"/>
        <v>0</v>
      </c>
    </row>
    <row r="669">
      <c r="A669" s="34">
        <v>716.0</v>
      </c>
      <c r="B669" s="37">
        <v>2018.0</v>
      </c>
      <c r="C669" s="37">
        <v>7.0</v>
      </c>
      <c r="D669" s="60">
        <v>1.0</v>
      </c>
      <c r="E669" s="60">
        <v>3.0</v>
      </c>
      <c r="F669" s="35" t="s">
        <v>16</v>
      </c>
      <c r="G669" s="10" t="s">
        <v>38</v>
      </c>
      <c r="H669" s="10">
        <v>6.27</v>
      </c>
      <c r="I669" s="10">
        <v>5.9</v>
      </c>
      <c r="J669" s="37">
        <v>12.17</v>
      </c>
      <c r="K669" s="34"/>
      <c r="L669" s="3">
        <f t="shared" si="8"/>
        <v>0</v>
      </c>
    </row>
    <row r="670">
      <c r="A670" s="34">
        <v>717.0</v>
      </c>
      <c r="B670" s="37">
        <v>2018.0</v>
      </c>
      <c r="C670" s="37">
        <v>7.0</v>
      </c>
      <c r="D670" s="60">
        <v>1.0</v>
      </c>
      <c r="E670" s="60">
        <v>3.0</v>
      </c>
      <c r="F670" s="35" t="s">
        <v>16</v>
      </c>
      <c r="G670" s="10" t="s">
        <v>55</v>
      </c>
      <c r="H670" s="10">
        <v>5.93</v>
      </c>
      <c r="I670" s="10">
        <v>3.7</v>
      </c>
      <c r="J670" s="37">
        <v>9.63</v>
      </c>
      <c r="K670" s="34"/>
      <c r="L670" s="3">
        <f t="shared" si="8"/>
        <v>0</v>
      </c>
    </row>
    <row r="671">
      <c r="A671" s="34">
        <v>718.0</v>
      </c>
      <c r="B671" s="37">
        <v>2018.0</v>
      </c>
      <c r="C671" s="37">
        <v>7.0</v>
      </c>
      <c r="D671" s="60">
        <v>1.0</v>
      </c>
      <c r="E671" s="60">
        <v>4.0</v>
      </c>
      <c r="F671" s="35" t="s">
        <v>16</v>
      </c>
      <c r="G671" s="55" t="s">
        <v>30</v>
      </c>
      <c r="H671" s="10">
        <v>7.83</v>
      </c>
      <c r="I671" s="10">
        <v>7.33</v>
      </c>
      <c r="J671" s="37">
        <v>15.16</v>
      </c>
      <c r="K671" s="34"/>
      <c r="L671" s="3">
        <f t="shared" si="8"/>
        <v>0</v>
      </c>
    </row>
    <row r="672">
      <c r="A672" s="34">
        <v>719.0</v>
      </c>
      <c r="B672" s="37">
        <v>2018.0</v>
      </c>
      <c r="C672" s="37">
        <v>7.0</v>
      </c>
      <c r="D672" s="60">
        <v>1.0</v>
      </c>
      <c r="E672" s="60">
        <v>4.0</v>
      </c>
      <c r="F672" s="35" t="s">
        <v>16</v>
      </c>
      <c r="G672" s="10" t="s">
        <v>54</v>
      </c>
      <c r="H672" s="10">
        <v>5.03</v>
      </c>
      <c r="I672" s="10">
        <v>4.17</v>
      </c>
      <c r="J672" s="37">
        <v>9.2</v>
      </c>
      <c r="K672" s="34"/>
      <c r="L672" s="3">
        <f t="shared" si="8"/>
        <v>0</v>
      </c>
    </row>
    <row r="673">
      <c r="A673" s="34">
        <v>720.0</v>
      </c>
      <c r="B673" s="37">
        <v>2018.0</v>
      </c>
      <c r="C673" s="37">
        <v>7.0</v>
      </c>
      <c r="D673" s="60">
        <v>1.0</v>
      </c>
      <c r="E673" s="60">
        <v>4.0</v>
      </c>
      <c r="F673" s="35" t="s">
        <v>16</v>
      </c>
      <c r="G673" s="10" t="s">
        <v>111</v>
      </c>
      <c r="H673" s="10">
        <v>1.63</v>
      </c>
      <c r="I673" s="10">
        <v>0.93</v>
      </c>
      <c r="J673" s="37">
        <v>2.56</v>
      </c>
      <c r="K673" s="34"/>
      <c r="L673" s="3">
        <f t="shared" si="8"/>
        <v>0</v>
      </c>
    </row>
    <row r="674">
      <c r="A674" s="34">
        <v>721.0</v>
      </c>
      <c r="B674" s="37">
        <v>2018.0</v>
      </c>
      <c r="C674" s="37">
        <v>7.0</v>
      </c>
      <c r="D674" s="60">
        <v>1.0</v>
      </c>
      <c r="E674" s="60">
        <v>5.0</v>
      </c>
      <c r="F674" s="35" t="s">
        <v>16</v>
      </c>
      <c r="G674" s="55" t="s">
        <v>39</v>
      </c>
      <c r="H674" s="10">
        <v>6.03</v>
      </c>
      <c r="I674" s="10">
        <v>5.6</v>
      </c>
      <c r="J674" s="37">
        <v>11.63</v>
      </c>
      <c r="K674" s="34"/>
      <c r="L674" s="3">
        <f t="shared" si="8"/>
        <v>0</v>
      </c>
    </row>
    <row r="675">
      <c r="A675" s="34">
        <v>722.0</v>
      </c>
      <c r="B675" s="37">
        <v>2018.0</v>
      </c>
      <c r="C675" s="37">
        <v>7.0</v>
      </c>
      <c r="D675" s="60">
        <v>1.0</v>
      </c>
      <c r="E675" s="60">
        <v>5.0</v>
      </c>
      <c r="F675" s="35" t="s">
        <v>16</v>
      </c>
      <c r="G675" s="10" t="s">
        <v>31</v>
      </c>
      <c r="H675" s="10">
        <v>6.17</v>
      </c>
      <c r="I675" s="10">
        <v>4.5</v>
      </c>
      <c r="J675" s="37">
        <v>10.67</v>
      </c>
      <c r="K675" s="34"/>
      <c r="L675" s="3">
        <f t="shared" si="8"/>
        <v>0</v>
      </c>
    </row>
    <row r="676">
      <c r="A676" s="34">
        <v>723.0</v>
      </c>
      <c r="B676" s="37">
        <v>2018.0</v>
      </c>
      <c r="C676" s="37">
        <v>7.0</v>
      </c>
      <c r="D676" s="60">
        <v>1.0</v>
      </c>
      <c r="E676" s="60">
        <v>5.0</v>
      </c>
      <c r="F676" s="35" t="s">
        <v>16</v>
      </c>
      <c r="G676" s="10" t="s">
        <v>190</v>
      </c>
      <c r="H676" s="10">
        <v>5.27</v>
      </c>
      <c r="I676" s="10">
        <v>3.67</v>
      </c>
      <c r="J676" s="37">
        <v>8.94</v>
      </c>
      <c r="K676" s="34"/>
      <c r="L676" s="3">
        <f t="shared" si="8"/>
        <v>8.94</v>
      </c>
    </row>
    <row r="677">
      <c r="A677" s="34">
        <v>724.0</v>
      </c>
      <c r="B677" s="37">
        <v>2018.0</v>
      </c>
      <c r="C677" s="37">
        <v>7.0</v>
      </c>
      <c r="D677" s="60">
        <v>1.0</v>
      </c>
      <c r="E677" s="60">
        <v>6.0</v>
      </c>
      <c r="F677" s="35" t="s">
        <v>16</v>
      </c>
      <c r="G677" s="55" t="s">
        <v>33</v>
      </c>
      <c r="H677" s="10">
        <v>8.5</v>
      </c>
      <c r="I677" s="10">
        <v>7.0</v>
      </c>
      <c r="J677" s="37">
        <v>15.5</v>
      </c>
      <c r="K677" s="34"/>
      <c r="L677" s="3">
        <f t="shared" si="8"/>
        <v>0</v>
      </c>
    </row>
    <row r="678">
      <c r="A678" s="34">
        <v>725.0</v>
      </c>
      <c r="B678" s="37">
        <v>2018.0</v>
      </c>
      <c r="C678" s="37">
        <v>7.0</v>
      </c>
      <c r="D678" s="60">
        <v>1.0</v>
      </c>
      <c r="E678" s="60">
        <v>6.0</v>
      </c>
      <c r="F678" s="35" t="s">
        <v>16</v>
      </c>
      <c r="G678" s="10" t="s">
        <v>169</v>
      </c>
      <c r="H678" s="10">
        <v>4.33</v>
      </c>
      <c r="I678" s="10">
        <v>3.5</v>
      </c>
      <c r="J678" s="37">
        <v>7.83</v>
      </c>
      <c r="K678" s="34"/>
      <c r="L678" s="3">
        <f t="shared" si="8"/>
        <v>0</v>
      </c>
    </row>
    <row r="679">
      <c r="A679" s="34">
        <v>726.0</v>
      </c>
      <c r="B679" s="37">
        <v>2018.0</v>
      </c>
      <c r="C679" s="37">
        <v>7.0</v>
      </c>
      <c r="D679" s="60">
        <v>1.0</v>
      </c>
      <c r="E679" s="60">
        <v>6.0</v>
      </c>
      <c r="F679" s="35" t="s">
        <v>16</v>
      </c>
      <c r="G679" s="10" t="s">
        <v>191</v>
      </c>
      <c r="H679" s="10">
        <v>1.63</v>
      </c>
      <c r="I679" s="10">
        <v>0.87</v>
      </c>
      <c r="J679" s="37">
        <v>2.5</v>
      </c>
      <c r="K679" s="34"/>
      <c r="L679" s="3">
        <f t="shared" si="8"/>
        <v>0</v>
      </c>
    </row>
    <row r="680">
      <c r="A680" s="34">
        <v>727.0</v>
      </c>
      <c r="B680" s="37">
        <v>2018.0</v>
      </c>
      <c r="C680" s="37">
        <v>7.0</v>
      </c>
      <c r="D680" s="60">
        <v>1.0</v>
      </c>
      <c r="E680" s="60">
        <v>7.0</v>
      </c>
      <c r="F680" s="35" t="s">
        <v>16</v>
      </c>
      <c r="G680" s="55" t="s">
        <v>64</v>
      </c>
      <c r="H680" s="10">
        <v>5.83</v>
      </c>
      <c r="I680" s="10">
        <v>5.33</v>
      </c>
      <c r="J680" s="37">
        <v>11.16</v>
      </c>
      <c r="K680" s="34"/>
      <c r="L680" s="3">
        <f t="shared" si="8"/>
        <v>0</v>
      </c>
    </row>
    <row r="681">
      <c r="A681" s="34">
        <v>728.0</v>
      </c>
      <c r="B681" s="37">
        <v>2018.0</v>
      </c>
      <c r="C681" s="37">
        <v>7.0</v>
      </c>
      <c r="D681" s="60">
        <v>1.0</v>
      </c>
      <c r="E681" s="60">
        <v>7.0</v>
      </c>
      <c r="F681" s="35" t="s">
        <v>16</v>
      </c>
      <c r="G681" s="10" t="s">
        <v>179</v>
      </c>
      <c r="H681" s="10">
        <v>6.17</v>
      </c>
      <c r="I681" s="10">
        <v>4.67</v>
      </c>
      <c r="J681" s="37">
        <v>10.84</v>
      </c>
      <c r="K681" s="34"/>
      <c r="L681" s="3">
        <f t="shared" si="8"/>
        <v>0</v>
      </c>
    </row>
    <row r="682">
      <c r="A682" s="34">
        <v>729.0</v>
      </c>
      <c r="B682" s="37">
        <v>2018.0</v>
      </c>
      <c r="C682" s="37">
        <v>7.0</v>
      </c>
      <c r="D682" s="60">
        <v>1.0</v>
      </c>
      <c r="E682" s="60">
        <v>7.0</v>
      </c>
      <c r="F682" s="35" t="s">
        <v>16</v>
      </c>
      <c r="G682" s="10" t="s">
        <v>110</v>
      </c>
      <c r="H682" s="10">
        <v>5.6</v>
      </c>
      <c r="I682" s="10">
        <v>5.2</v>
      </c>
      <c r="J682" s="37">
        <v>10.8</v>
      </c>
      <c r="K682" s="34"/>
      <c r="L682" s="3">
        <f t="shared" si="8"/>
        <v>0</v>
      </c>
    </row>
    <row r="683">
      <c r="A683" s="34">
        <v>730.0</v>
      </c>
      <c r="B683" s="37">
        <v>2018.0</v>
      </c>
      <c r="C683" s="37">
        <v>7.0</v>
      </c>
      <c r="D683" s="60">
        <v>1.0</v>
      </c>
      <c r="E683" s="60">
        <v>8.0</v>
      </c>
      <c r="F683" s="35" t="s">
        <v>16</v>
      </c>
      <c r="G683" s="61" t="s">
        <v>27</v>
      </c>
      <c r="H683" s="10">
        <v>6.67</v>
      </c>
      <c r="I683" s="10">
        <v>5.73</v>
      </c>
      <c r="J683" s="37">
        <v>12.4</v>
      </c>
      <c r="K683" s="34"/>
      <c r="L683" s="3">
        <f t="shared" si="8"/>
        <v>0</v>
      </c>
    </row>
    <row r="684">
      <c r="A684" s="34">
        <v>731.0</v>
      </c>
      <c r="B684" s="37">
        <v>2018.0</v>
      </c>
      <c r="C684" s="37">
        <v>7.0</v>
      </c>
      <c r="D684" s="60">
        <v>1.0</v>
      </c>
      <c r="E684" s="60">
        <v>8.0</v>
      </c>
      <c r="F684" s="35" t="s">
        <v>16</v>
      </c>
      <c r="G684" s="10" t="s">
        <v>25</v>
      </c>
      <c r="H684" s="10">
        <v>5.7</v>
      </c>
      <c r="I684" s="10">
        <v>3.8</v>
      </c>
      <c r="J684" s="37">
        <v>9.5</v>
      </c>
      <c r="K684" s="34"/>
      <c r="L684" s="3">
        <f t="shared" si="8"/>
        <v>0</v>
      </c>
    </row>
    <row r="685">
      <c r="A685" s="34">
        <v>732.0</v>
      </c>
      <c r="B685" s="37">
        <v>2018.0</v>
      </c>
      <c r="C685" s="37">
        <v>7.0</v>
      </c>
      <c r="D685" s="60">
        <v>1.0</v>
      </c>
      <c r="E685" s="60">
        <v>8.0</v>
      </c>
      <c r="F685" s="35" t="s">
        <v>16</v>
      </c>
      <c r="G685" s="10" t="s">
        <v>53</v>
      </c>
      <c r="H685" s="10">
        <v>4.33</v>
      </c>
      <c r="I685" s="10">
        <v>3.23</v>
      </c>
      <c r="J685" s="37">
        <v>7.56</v>
      </c>
      <c r="K685" s="34"/>
      <c r="L685" s="3">
        <f t="shared" si="8"/>
        <v>0</v>
      </c>
    </row>
    <row r="686">
      <c r="A686" s="34">
        <v>733.0</v>
      </c>
      <c r="B686" s="37">
        <v>2018.0</v>
      </c>
      <c r="C686" s="37">
        <v>7.0</v>
      </c>
      <c r="D686" s="60">
        <v>1.0</v>
      </c>
      <c r="E686" s="60">
        <v>9.0</v>
      </c>
      <c r="F686" s="35" t="s">
        <v>16</v>
      </c>
      <c r="G686" s="61" t="s">
        <v>42</v>
      </c>
      <c r="H686" s="10">
        <v>7.23</v>
      </c>
      <c r="I686" s="62">
        <v>5.73</v>
      </c>
      <c r="J686" s="37">
        <v>12.96</v>
      </c>
      <c r="K686" s="34"/>
      <c r="L686" s="3">
        <f t="shared" si="8"/>
        <v>0</v>
      </c>
    </row>
    <row r="687">
      <c r="A687" s="34">
        <v>734.0</v>
      </c>
      <c r="B687" s="37">
        <v>2018.0</v>
      </c>
      <c r="C687" s="37">
        <v>7.0</v>
      </c>
      <c r="D687" s="60">
        <v>1.0</v>
      </c>
      <c r="E687" s="60">
        <v>9.0</v>
      </c>
      <c r="F687" s="35" t="s">
        <v>16</v>
      </c>
      <c r="G687" s="10" t="s">
        <v>34</v>
      </c>
      <c r="H687" s="10">
        <v>7.0</v>
      </c>
      <c r="I687" s="10">
        <v>5.17</v>
      </c>
      <c r="J687" s="37">
        <v>12.17</v>
      </c>
      <c r="K687" s="34"/>
      <c r="L687" s="3">
        <f t="shared" si="8"/>
        <v>0</v>
      </c>
    </row>
    <row r="688">
      <c r="A688" s="34">
        <v>735.0</v>
      </c>
      <c r="B688" s="37">
        <v>2018.0</v>
      </c>
      <c r="C688" s="37">
        <v>7.0</v>
      </c>
      <c r="D688" s="60">
        <v>1.0</v>
      </c>
      <c r="E688" s="60">
        <v>9.0</v>
      </c>
      <c r="F688" s="35" t="s">
        <v>16</v>
      </c>
      <c r="G688" s="10" t="s">
        <v>46</v>
      </c>
      <c r="H688" s="10">
        <v>7.67</v>
      </c>
      <c r="I688" s="10">
        <v>3.5</v>
      </c>
      <c r="J688" s="37">
        <v>11.17</v>
      </c>
      <c r="K688" s="34"/>
      <c r="L688" s="3">
        <f t="shared" si="8"/>
        <v>0</v>
      </c>
    </row>
    <row r="689">
      <c r="A689" s="34">
        <v>736.0</v>
      </c>
      <c r="B689" s="37">
        <v>2018.0</v>
      </c>
      <c r="C689" s="37">
        <v>7.0</v>
      </c>
      <c r="D689" s="60">
        <v>1.0</v>
      </c>
      <c r="E689" s="60">
        <v>10.0</v>
      </c>
      <c r="F689" s="35" t="s">
        <v>16</v>
      </c>
      <c r="G689" s="55" t="s">
        <v>32</v>
      </c>
      <c r="H689" s="10">
        <v>7.6</v>
      </c>
      <c r="I689" s="10">
        <v>5.23</v>
      </c>
      <c r="J689" s="37">
        <v>12.83</v>
      </c>
      <c r="K689" s="34"/>
      <c r="L689" s="3">
        <f t="shared" si="8"/>
        <v>0</v>
      </c>
    </row>
    <row r="690">
      <c r="A690" s="34">
        <v>737.0</v>
      </c>
      <c r="B690" s="37">
        <v>2018.0</v>
      </c>
      <c r="C690" s="37">
        <v>7.0</v>
      </c>
      <c r="D690" s="60">
        <v>1.0</v>
      </c>
      <c r="E690" s="60">
        <v>10.0</v>
      </c>
      <c r="F690" s="35" t="s">
        <v>16</v>
      </c>
      <c r="G690" s="10" t="s">
        <v>177</v>
      </c>
      <c r="H690" s="10">
        <v>5.07</v>
      </c>
      <c r="I690" s="10">
        <v>4.77</v>
      </c>
      <c r="J690" s="37">
        <v>9.84</v>
      </c>
      <c r="K690" s="34"/>
      <c r="L690" s="3">
        <f t="shared" si="8"/>
        <v>0</v>
      </c>
    </row>
    <row r="691">
      <c r="A691" s="34">
        <v>738.0</v>
      </c>
      <c r="B691" s="37">
        <v>2018.0</v>
      </c>
      <c r="C691" s="37">
        <v>7.0</v>
      </c>
      <c r="D691" s="60">
        <v>1.0</v>
      </c>
      <c r="E691" s="60">
        <v>10.0</v>
      </c>
      <c r="F691" s="35" t="s">
        <v>16</v>
      </c>
      <c r="G691" s="10" t="s">
        <v>178</v>
      </c>
      <c r="H691" s="10">
        <v>4.6</v>
      </c>
      <c r="I691" s="10">
        <v>4.23</v>
      </c>
      <c r="J691" s="37">
        <v>8.83</v>
      </c>
      <c r="K691" s="34"/>
      <c r="L691" s="3">
        <f t="shared" si="8"/>
        <v>0</v>
      </c>
    </row>
    <row r="692">
      <c r="A692" s="34">
        <v>739.0</v>
      </c>
      <c r="B692" s="37">
        <v>2018.0</v>
      </c>
      <c r="C692" s="37">
        <v>7.0</v>
      </c>
      <c r="D692" s="60">
        <v>1.0</v>
      </c>
      <c r="E692" s="60">
        <v>11.0</v>
      </c>
      <c r="F692" s="35" t="s">
        <v>16</v>
      </c>
      <c r="G692" s="55" t="s">
        <v>47</v>
      </c>
      <c r="H692" s="10">
        <v>7.33</v>
      </c>
      <c r="I692" s="10">
        <v>3.33</v>
      </c>
      <c r="J692" s="37">
        <v>12.66</v>
      </c>
      <c r="K692" s="34"/>
      <c r="L692" s="3">
        <f t="shared" si="8"/>
        <v>0</v>
      </c>
    </row>
    <row r="693">
      <c r="A693" s="34">
        <v>740.0</v>
      </c>
      <c r="B693" s="37">
        <v>2018.0</v>
      </c>
      <c r="C693" s="37">
        <v>7.0</v>
      </c>
      <c r="D693" s="60">
        <v>1.0</v>
      </c>
      <c r="E693" s="60">
        <v>11.0</v>
      </c>
      <c r="F693" s="35" t="s">
        <v>16</v>
      </c>
      <c r="G693" s="10" t="s">
        <v>57</v>
      </c>
      <c r="H693" s="10">
        <v>6.17</v>
      </c>
      <c r="I693" s="10">
        <v>5.3</v>
      </c>
      <c r="J693" s="37">
        <v>11.47</v>
      </c>
      <c r="K693" s="34"/>
      <c r="L693" s="3">
        <f t="shared" si="8"/>
        <v>0</v>
      </c>
    </row>
    <row r="694">
      <c r="A694" s="34">
        <v>741.0</v>
      </c>
      <c r="B694" s="37">
        <v>2018.0</v>
      </c>
      <c r="C694" s="37">
        <v>7.0</v>
      </c>
      <c r="D694" s="60">
        <v>1.0</v>
      </c>
      <c r="E694" s="60">
        <v>11.0</v>
      </c>
      <c r="F694" s="35" t="s">
        <v>16</v>
      </c>
      <c r="G694" s="10" t="s">
        <v>142</v>
      </c>
      <c r="H694" s="10">
        <v>6.0</v>
      </c>
      <c r="I694" s="10">
        <v>5.0</v>
      </c>
      <c r="J694" s="37">
        <v>11.0</v>
      </c>
      <c r="K694" s="34"/>
      <c r="L694" s="3">
        <f t="shared" si="8"/>
        <v>0</v>
      </c>
    </row>
    <row r="695">
      <c r="A695" s="34">
        <v>742.0</v>
      </c>
      <c r="B695" s="37">
        <v>2018.0</v>
      </c>
      <c r="C695" s="37">
        <v>7.0</v>
      </c>
      <c r="D695" s="60">
        <v>1.0</v>
      </c>
      <c r="E695" s="60">
        <v>12.0</v>
      </c>
      <c r="F695" s="35" t="s">
        <v>16</v>
      </c>
      <c r="G695" s="55" t="s">
        <v>61</v>
      </c>
      <c r="H695" s="10">
        <v>7.67</v>
      </c>
      <c r="I695" s="10">
        <v>5.0</v>
      </c>
      <c r="J695" s="37">
        <v>12.67</v>
      </c>
      <c r="K695" s="34"/>
      <c r="L695" s="3">
        <f t="shared" si="8"/>
        <v>0</v>
      </c>
    </row>
    <row r="696">
      <c r="A696" s="34">
        <v>743.0</v>
      </c>
      <c r="B696" s="37">
        <v>2018.0</v>
      </c>
      <c r="C696" s="37">
        <v>7.0</v>
      </c>
      <c r="D696" s="60">
        <v>1.0</v>
      </c>
      <c r="E696" s="60">
        <v>12.0</v>
      </c>
      <c r="F696" s="35" t="s">
        <v>16</v>
      </c>
      <c r="G696" s="10" t="s">
        <v>176</v>
      </c>
      <c r="H696" s="10">
        <v>4.53</v>
      </c>
      <c r="I696" s="10">
        <v>4.23</v>
      </c>
      <c r="J696" s="37">
        <v>8.76</v>
      </c>
      <c r="K696" s="34"/>
      <c r="L696" s="3">
        <f t="shared" si="8"/>
        <v>0</v>
      </c>
    </row>
    <row r="697">
      <c r="A697" s="34">
        <v>744.0</v>
      </c>
      <c r="B697" s="37">
        <v>2018.0</v>
      </c>
      <c r="C697" s="37">
        <v>7.0</v>
      </c>
      <c r="D697" s="60">
        <v>1.0</v>
      </c>
      <c r="E697" s="60">
        <v>12.0</v>
      </c>
      <c r="F697" s="35" t="s">
        <v>16</v>
      </c>
      <c r="G697" s="10" t="s">
        <v>52</v>
      </c>
      <c r="H697" s="10">
        <v>5.3</v>
      </c>
      <c r="I697" s="10">
        <v>3.23</v>
      </c>
      <c r="J697" s="37">
        <v>8.53</v>
      </c>
      <c r="K697" s="34"/>
      <c r="L697" s="3">
        <f t="shared" si="8"/>
        <v>0</v>
      </c>
    </row>
    <row r="698">
      <c r="A698" s="34">
        <v>745.0</v>
      </c>
      <c r="B698" s="37">
        <v>2018.0</v>
      </c>
      <c r="C698" s="37">
        <v>7.0</v>
      </c>
      <c r="D698" s="60">
        <v>2.0</v>
      </c>
      <c r="E698" s="60">
        <v>1.0</v>
      </c>
      <c r="F698" s="35" t="s">
        <v>16</v>
      </c>
      <c r="G698" s="55" t="s">
        <v>191</v>
      </c>
      <c r="H698" s="10">
        <v>5.5</v>
      </c>
      <c r="I698" s="10">
        <v>2.17</v>
      </c>
      <c r="J698" s="37">
        <v>7.67</v>
      </c>
      <c r="K698" s="34"/>
      <c r="L698" s="3">
        <f t="shared" si="8"/>
        <v>0</v>
      </c>
    </row>
    <row r="699">
      <c r="A699" s="34">
        <v>746.0</v>
      </c>
      <c r="B699" s="37">
        <v>2018.0</v>
      </c>
      <c r="C699" s="37">
        <v>7.0</v>
      </c>
      <c r="D699" s="60">
        <v>2.0</v>
      </c>
      <c r="E699" s="60">
        <v>1.0</v>
      </c>
      <c r="F699" s="35" t="s">
        <v>16</v>
      </c>
      <c r="G699" s="10" t="s">
        <v>31</v>
      </c>
      <c r="H699" s="10">
        <v>5.83</v>
      </c>
      <c r="J699" s="37">
        <v>5.83</v>
      </c>
      <c r="K699" s="34"/>
      <c r="L699" s="3">
        <f t="shared" si="8"/>
        <v>0</v>
      </c>
    </row>
    <row r="700">
      <c r="A700" s="34">
        <v>747.0</v>
      </c>
      <c r="B700" s="37">
        <v>2018.0</v>
      </c>
      <c r="C700" s="37">
        <v>7.0</v>
      </c>
      <c r="D700" s="60">
        <v>2.0</v>
      </c>
      <c r="E700" s="60">
        <v>2.0</v>
      </c>
      <c r="F700" s="35" t="s">
        <v>16</v>
      </c>
      <c r="G700" s="55" t="s">
        <v>28</v>
      </c>
      <c r="H700" s="10">
        <v>8.17</v>
      </c>
      <c r="I700" s="10">
        <v>5.93</v>
      </c>
      <c r="J700" s="37">
        <v>14.1</v>
      </c>
      <c r="K700" s="34"/>
      <c r="L700" s="3">
        <f t="shared" si="8"/>
        <v>0</v>
      </c>
    </row>
    <row r="701">
      <c r="A701" s="34">
        <v>748.0</v>
      </c>
      <c r="B701" s="37">
        <v>2018.0</v>
      </c>
      <c r="C701" s="37">
        <v>7.0</v>
      </c>
      <c r="D701" s="60">
        <v>2.0</v>
      </c>
      <c r="E701" s="60">
        <v>2.0</v>
      </c>
      <c r="F701" s="35" t="s">
        <v>16</v>
      </c>
      <c r="G701" s="10" t="s">
        <v>190</v>
      </c>
      <c r="H701" s="10">
        <v>3.4</v>
      </c>
      <c r="I701" s="10">
        <v>3.27</v>
      </c>
      <c r="J701" s="37">
        <v>6.67</v>
      </c>
      <c r="K701" s="34"/>
      <c r="L701" s="3">
        <f t="shared" si="8"/>
        <v>6.67</v>
      </c>
    </row>
    <row r="702">
      <c r="A702" s="34">
        <v>749.0</v>
      </c>
      <c r="B702" s="37">
        <v>2018.0</v>
      </c>
      <c r="C702" s="37">
        <v>7.0</v>
      </c>
      <c r="D702" s="60">
        <v>2.0</v>
      </c>
      <c r="E702" s="60">
        <v>3.0</v>
      </c>
      <c r="F702" s="35" t="s">
        <v>16</v>
      </c>
      <c r="G702" s="55" t="s">
        <v>54</v>
      </c>
      <c r="H702" s="10">
        <v>6.5</v>
      </c>
      <c r="I702" s="10">
        <v>6.5</v>
      </c>
      <c r="J702" s="37">
        <v>13.0</v>
      </c>
      <c r="K702" s="34"/>
      <c r="L702" s="3">
        <f t="shared" si="8"/>
        <v>0</v>
      </c>
    </row>
    <row r="703">
      <c r="A703" s="34">
        <v>750.0</v>
      </c>
      <c r="B703" s="37">
        <v>2018.0</v>
      </c>
      <c r="C703" s="37">
        <v>7.0</v>
      </c>
      <c r="D703" s="60">
        <v>2.0</v>
      </c>
      <c r="E703" s="60">
        <v>3.0</v>
      </c>
      <c r="F703" s="35" t="s">
        <v>16</v>
      </c>
      <c r="G703" s="10" t="s">
        <v>179</v>
      </c>
      <c r="H703" s="10">
        <v>7.17</v>
      </c>
      <c r="I703" s="10">
        <v>5.77</v>
      </c>
      <c r="J703" s="37">
        <v>12.94</v>
      </c>
      <c r="K703" s="34"/>
      <c r="L703" s="3">
        <f t="shared" si="8"/>
        <v>0</v>
      </c>
    </row>
    <row r="704">
      <c r="A704" s="34">
        <v>751.0</v>
      </c>
      <c r="B704" s="37">
        <v>2018.0</v>
      </c>
      <c r="C704" s="37">
        <v>7.0</v>
      </c>
      <c r="D704" s="60">
        <v>2.0</v>
      </c>
      <c r="E704" s="60">
        <v>4.0</v>
      </c>
      <c r="F704" s="35" t="s">
        <v>16</v>
      </c>
      <c r="G704" s="55" t="s">
        <v>46</v>
      </c>
      <c r="H704" s="10">
        <v>6.0</v>
      </c>
      <c r="I704" s="10">
        <v>4.83</v>
      </c>
      <c r="J704" s="37">
        <v>10.83</v>
      </c>
      <c r="K704" s="34"/>
      <c r="L704" s="3">
        <f t="shared" si="8"/>
        <v>0</v>
      </c>
    </row>
    <row r="705">
      <c r="A705" s="34">
        <v>752.0</v>
      </c>
      <c r="B705" s="37">
        <v>2018.0</v>
      </c>
      <c r="C705" s="37">
        <v>7.0</v>
      </c>
      <c r="D705" s="60">
        <v>2.0</v>
      </c>
      <c r="E705" s="60">
        <v>4.0</v>
      </c>
      <c r="F705" s="35" t="s">
        <v>16</v>
      </c>
      <c r="G705" s="10" t="s">
        <v>55</v>
      </c>
      <c r="H705" s="10">
        <v>4.33</v>
      </c>
      <c r="I705" s="10">
        <v>4.0</v>
      </c>
      <c r="J705" s="37">
        <v>8.33</v>
      </c>
      <c r="K705" s="34"/>
      <c r="L705" s="3">
        <f t="shared" si="8"/>
        <v>0</v>
      </c>
    </row>
    <row r="706">
      <c r="A706" s="34">
        <v>753.0</v>
      </c>
      <c r="B706" s="37">
        <v>2018.0</v>
      </c>
      <c r="C706" s="37">
        <v>7.0</v>
      </c>
      <c r="D706" s="60">
        <v>2.0</v>
      </c>
      <c r="E706" s="60">
        <v>5.0</v>
      </c>
      <c r="F706" s="35" t="s">
        <v>16</v>
      </c>
      <c r="G706" s="55" t="s">
        <v>67</v>
      </c>
      <c r="H706" s="10">
        <v>7.0</v>
      </c>
      <c r="I706" s="10">
        <v>5.27</v>
      </c>
      <c r="J706" s="37">
        <v>12.27</v>
      </c>
      <c r="K706" s="34"/>
      <c r="L706" s="3">
        <f t="shared" si="8"/>
        <v>0</v>
      </c>
    </row>
    <row r="707">
      <c r="A707" s="34">
        <v>754.0</v>
      </c>
      <c r="B707" s="37">
        <v>2018.0</v>
      </c>
      <c r="C707" s="37">
        <v>7.0</v>
      </c>
      <c r="D707" s="60">
        <v>2.0</v>
      </c>
      <c r="E707" s="60">
        <v>5.0</v>
      </c>
      <c r="F707" s="35" t="s">
        <v>16</v>
      </c>
      <c r="G707" s="10" t="s">
        <v>178</v>
      </c>
      <c r="H707" s="10">
        <v>7.23</v>
      </c>
      <c r="I707" s="10">
        <v>3.83</v>
      </c>
      <c r="J707" s="37">
        <v>11.06</v>
      </c>
      <c r="K707" s="34"/>
      <c r="L707" s="3">
        <f t="shared" si="8"/>
        <v>0</v>
      </c>
    </row>
    <row r="708">
      <c r="A708" s="34">
        <v>755.0</v>
      </c>
      <c r="B708" s="37">
        <v>2018.0</v>
      </c>
      <c r="C708" s="37">
        <v>7.0</v>
      </c>
      <c r="D708" s="60">
        <v>2.0</v>
      </c>
      <c r="E708" s="60">
        <v>6.0</v>
      </c>
      <c r="F708" s="35" t="s">
        <v>16</v>
      </c>
      <c r="G708" s="55" t="s">
        <v>57</v>
      </c>
      <c r="H708" s="10">
        <v>7.5</v>
      </c>
      <c r="I708" s="10">
        <v>6.77</v>
      </c>
      <c r="J708" s="37">
        <v>14.27</v>
      </c>
      <c r="K708" s="34"/>
      <c r="L708" s="3">
        <f t="shared" si="8"/>
        <v>0</v>
      </c>
    </row>
    <row r="709">
      <c r="A709" s="34">
        <v>756.0</v>
      </c>
      <c r="B709" s="37">
        <v>2018.0</v>
      </c>
      <c r="C709" s="37">
        <v>7.0</v>
      </c>
      <c r="D709" s="60">
        <v>2.0</v>
      </c>
      <c r="E709" s="60">
        <v>6.0</v>
      </c>
      <c r="F709" s="35" t="s">
        <v>16</v>
      </c>
      <c r="G709" s="10" t="s">
        <v>65</v>
      </c>
      <c r="H709" s="10">
        <v>4.83</v>
      </c>
      <c r="I709" s="10">
        <v>1.17</v>
      </c>
      <c r="J709" s="37">
        <v>6.0</v>
      </c>
      <c r="K709" s="34"/>
      <c r="L709" s="3">
        <f t="shared" si="8"/>
        <v>0</v>
      </c>
    </row>
    <row r="710">
      <c r="A710" s="34">
        <v>757.0</v>
      </c>
      <c r="B710" s="37">
        <v>2018.0</v>
      </c>
      <c r="C710" s="37">
        <v>7.0</v>
      </c>
      <c r="D710" s="60">
        <v>2.0</v>
      </c>
      <c r="E710" s="60">
        <v>7.0</v>
      </c>
      <c r="F710" s="35" t="s">
        <v>16</v>
      </c>
      <c r="G710" s="55" t="s">
        <v>110</v>
      </c>
      <c r="H710" s="10">
        <v>5.17</v>
      </c>
      <c r="I710" s="10">
        <v>2.5</v>
      </c>
      <c r="J710" s="37">
        <v>7.67</v>
      </c>
      <c r="K710" s="34"/>
      <c r="L710" s="3">
        <f t="shared" si="8"/>
        <v>0</v>
      </c>
    </row>
    <row r="711">
      <c r="A711" s="34">
        <v>758.0</v>
      </c>
      <c r="B711" s="37">
        <v>2018.0</v>
      </c>
      <c r="C711" s="37">
        <v>7.0</v>
      </c>
      <c r="D711" s="60">
        <v>2.0</v>
      </c>
      <c r="E711" s="60">
        <v>7.0</v>
      </c>
      <c r="F711" s="35" t="s">
        <v>16</v>
      </c>
      <c r="G711" s="10" t="s">
        <v>52</v>
      </c>
      <c r="H711" s="10">
        <v>4.5</v>
      </c>
      <c r="I711" s="10">
        <v>3.1</v>
      </c>
      <c r="J711" s="37">
        <v>7.6</v>
      </c>
      <c r="K711" s="34"/>
      <c r="L711" s="3">
        <f t="shared" si="8"/>
        <v>0</v>
      </c>
    </row>
    <row r="712">
      <c r="A712" s="34">
        <v>759.0</v>
      </c>
      <c r="B712" s="37">
        <v>2018.0</v>
      </c>
      <c r="C712" s="37">
        <v>7.0</v>
      </c>
      <c r="D712" s="60">
        <v>2.0</v>
      </c>
      <c r="E712" s="60">
        <v>8.0</v>
      </c>
      <c r="F712" s="35" t="s">
        <v>16</v>
      </c>
      <c r="G712" s="55" t="s">
        <v>176</v>
      </c>
      <c r="H712" s="10">
        <v>7.17</v>
      </c>
      <c r="I712" s="10">
        <v>5.73</v>
      </c>
      <c r="J712" s="37">
        <v>12.9</v>
      </c>
      <c r="K712" s="34"/>
      <c r="L712" s="3">
        <f t="shared" si="8"/>
        <v>0</v>
      </c>
    </row>
    <row r="713">
      <c r="A713" s="34">
        <v>760.0</v>
      </c>
      <c r="B713" s="37">
        <v>2018.0</v>
      </c>
      <c r="C713" s="37">
        <v>7.0</v>
      </c>
      <c r="D713" s="60">
        <v>2.0</v>
      </c>
      <c r="E713" s="60">
        <v>8.0</v>
      </c>
      <c r="F713" s="35" t="s">
        <v>16</v>
      </c>
      <c r="G713" s="10" t="s">
        <v>25</v>
      </c>
      <c r="H713" s="10">
        <v>6.1</v>
      </c>
      <c r="I713" s="10">
        <v>5.27</v>
      </c>
      <c r="J713" s="37">
        <v>11.37</v>
      </c>
      <c r="K713" s="34"/>
      <c r="L713" s="3">
        <f t="shared" si="8"/>
        <v>0</v>
      </c>
    </row>
    <row r="714">
      <c r="A714" s="34">
        <v>761.0</v>
      </c>
      <c r="B714" s="37">
        <v>2018.0</v>
      </c>
      <c r="C714" s="37">
        <v>7.0</v>
      </c>
      <c r="D714" s="60">
        <v>2.0</v>
      </c>
      <c r="E714" s="60">
        <v>9.0</v>
      </c>
      <c r="F714" s="35" t="s">
        <v>16</v>
      </c>
      <c r="G714" s="55" t="s">
        <v>53</v>
      </c>
      <c r="H714" s="10">
        <v>6.27</v>
      </c>
      <c r="I714" s="10">
        <v>5.9</v>
      </c>
      <c r="J714" s="37">
        <v>12.17</v>
      </c>
      <c r="K714" s="34"/>
      <c r="L714" s="3">
        <f t="shared" si="8"/>
        <v>0</v>
      </c>
    </row>
    <row r="715">
      <c r="A715" s="34">
        <v>762.0</v>
      </c>
      <c r="B715" s="37">
        <v>2018.0</v>
      </c>
      <c r="C715" s="37">
        <v>7.0</v>
      </c>
      <c r="D715" s="60">
        <v>2.0</v>
      </c>
      <c r="E715" s="60">
        <v>9.0</v>
      </c>
      <c r="F715" s="35" t="s">
        <v>16</v>
      </c>
      <c r="G715" s="10" t="s">
        <v>34</v>
      </c>
      <c r="H715" s="10">
        <v>5.5</v>
      </c>
      <c r="I715" s="10">
        <v>5.27</v>
      </c>
      <c r="J715" s="37">
        <v>10.77</v>
      </c>
      <c r="K715" s="34"/>
      <c r="L715" s="3">
        <f t="shared" si="8"/>
        <v>0</v>
      </c>
    </row>
    <row r="716">
      <c r="A716" s="34">
        <v>763.0</v>
      </c>
      <c r="B716" s="37">
        <v>2018.0</v>
      </c>
      <c r="C716" s="37">
        <v>7.0</v>
      </c>
      <c r="D716" s="60">
        <v>2.0</v>
      </c>
      <c r="E716" s="60">
        <v>10.0</v>
      </c>
      <c r="F716" s="35" t="s">
        <v>16</v>
      </c>
      <c r="G716" s="61" t="s">
        <v>50</v>
      </c>
      <c r="H716" s="10">
        <v>5.7</v>
      </c>
      <c r="I716" s="10">
        <v>4.2</v>
      </c>
      <c r="J716" s="37">
        <v>9.9</v>
      </c>
      <c r="K716" s="34"/>
      <c r="L716" s="3">
        <f t="shared" si="8"/>
        <v>0</v>
      </c>
    </row>
    <row r="717">
      <c r="A717" s="34">
        <v>764.0</v>
      </c>
      <c r="B717" s="37">
        <v>2018.0</v>
      </c>
      <c r="C717" s="37">
        <v>7.0</v>
      </c>
      <c r="D717" s="60">
        <v>2.0</v>
      </c>
      <c r="E717" s="60">
        <v>10.0</v>
      </c>
      <c r="F717" s="35" t="s">
        <v>16</v>
      </c>
      <c r="G717" s="10" t="s">
        <v>177</v>
      </c>
      <c r="H717" s="10">
        <v>5.1</v>
      </c>
      <c r="I717" s="10">
        <v>4.6</v>
      </c>
      <c r="J717" s="37">
        <v>9.7</v>
      </c>
      <c r="K717" s="34"/>
      <c r="L717" s="3">
        <f t="shared" si="8"/>
        <v>0</v>
      </c>
    </row>
    <row r="718">
      <c r="A718" s="34">
        <v>765.0</v>
      </c>
      <c r="B718" s="37">
        <v>2018.0</v>
      </c>
      <c r="C718" s="37">
        <v>7.0</v>
      </c>
      <c r="D718" s="60">
        <v>2.0</v>
      </c>
      <c r="E718" s="60">
        <v>11.0</v>
      </c>
      <c r="F718" s="35" t="s">
        <v>16</v>
      </c>
      <c r="G718" s="55" t="s">
        <v>142</v>
      </c>
      <c r="H718" s="10">
        <v>5.33</v>
      </c>
      <c r="I718" s="10">
        <v>4.7</v>
      </c>
      <c r="J718" s="37">
        <v>10.03</v>
      </c>
      <c r="K718" s="34"/>
      <c r="L718" s="3">
        <f t="shared" si="8"/>
        <v>0</v>
      </c>
    </row>
    <row r="719">
      <c r="A719" s="34">
        <v>766.0</v>
      </c>
      <c r="B719" s="37">
        <v>2018.0</v>
      </c>
      <c r="C719" s="37">
        <v>7.0</v>
      </c>
      <c r="D719" s="60">
        <v>2.0</v>
      </c>
      <c r="E719" s="60">
        <v>11.0</v>
      </c>
      <c r="F719" s="35" t="s">
        <v>16</v>
      </c>
      <c r="G719" s="10" t="s">
        <v>38</v>
      </c>
      <c r="H719" s="10">
        <v>4.87</v>
      </c>
      <c r="I719" s="10">
        <v>4.83</v>
      </c>
      <c r="J719" s="37">
        <v>9.7</v>
      </c>
      <c r="K719" s="34"/>
      <c r="L719" s="3">
        <f t="shared" si="8"/>
        <v>0</v>
      </c>
    </row>
    <row r="720">
      <c r="A720" s="34">
        <v>767.0</v>
      </c>
      <c r="B720" s="37">
        <v>2018.0</v>
      </c>
      <c r="C720" s="37">
        <v>7.0</v>
      </c>
      <c r="D720" s="60">
        <v>2.0</v>
      </c>
      <c r="E720" s="60">
        <v>12.0</v>
      </c>
      <c r="F720" s="35" t="s">
        <v>16</v>
      </c>
      <c r="G720" s="61" t="s">
        <v>169</v>
      </c>
      <c r="H720" s="10">
        <v>8.5</v>
      </c>
      <c r="I720" s="10">
        <v>6.07</v>
      </c>
      <c r="J720" s="37">
        <v>14.57</v>
      </c>
      <c r="K720" s="34"/>
      <c r="L720" s="3">
        <f t="shared" si="8"/>
        <v>0</v>
      </c>
    </row>
    <row r="721">
      <c r="A721" s="34">
        <v>768.0</v>
      </c>
      <c r="B721" s="37">
        <v>2018.0</v>
      </c>
      <c r="C721" s="37">
        <v>7.0</v>
      </c>
      <c r="D721" s="60">
        <v>2.0</v>
      </c>
      <c r="E721" s="60">
        <v>12.0</v>
      </c>
      <c r="F721" s="35" t="s">
        <v>16</v>
      </c>
      <c r="G721" s="10" t="s">
        <v>111</v>
      </c>
      <c r="H721" s="10">
        <v>4.83</v>
      </c>
      <c r="I721" s="10">
        <v>3.0</v>
      </c>
      <c r="J721" s="37">
        <v>7.83</v>
      </c>
      <c r="K721" s="34"/>
      <c r="L721" s="3">
        <f t="shared" si="8"/>
        <v>0</v>
      </c>
    </row>
    <row r="722">
      <c r="A722" s="34">
        <v>769.0</v>
      </c>
      <c r="B722" s="37">
        <v>2018.0</v>
      </c>
      <c r="C722" s="37">
        <v>7.0</v>
      </c>
      <c r="D722" s="60">
        <v>3.0</v>
      </c>
      <c r="E722" s="60">
        <v>1.0</v>
      </c>
      <c r="F722" s="35" t="s">
        <v>16</v>
      </c>
      <c r="G722" s="55" t="s">
        <v>110</v>
      </c>
      <c r="H722" s="10">
        <v>6.33</v>
      </c>
      <c r="I722" s="10">
        <v>3.33</v>
      </c>
      <c r="J722" s="37">
        <v>9.66</v>
      </c>
      <c r="K722" s="34"/>
      <c r="L722" s="3">
        <f t="shared" si="8"/>
        <v>0</v>
      </c>
    </row>
    <row r="723">
      <c r="A723" s="34">
        <v>770.0</v>
      </c>
      <c r="B723" s="37">
        <v>2018.0</v>
      </c>
      <c r="C723" s="37">
        <v>7.0</v>
      </c>
      <c r="D723" s="60">
        <v>3.0</v>
      </c>
      <c r="E723" s="60">
        <v>1.0</v>
      </c>
      <c r="F723" s="35" t="s">
        <v>16</v>
      </c>
      <c r="G723" s="10" t="s">
        <v>28</v>
      </c>
      <c r="H723" s="10">
        <v>3.5</v>
      </c>
      <c r="I723" s="10">
        <v>1.33</v>
      </c>
      <c r="J723" s="37">
        <v>4.83</v>
      </c>
      <c r="K723" s="34"/>
      <c r="L723" s="3">
        <f t="shared" si="8"/>
        <v>0</v>
      </c>
    </row>
    <row r="724">
      <c r="A724" s="34">
        <v>771.0</v>
      </c>
      <c r="B724" s="37">
        <v>2018.0</v>
      </c>
      <c r="C724" s="37">
        <v>7.0</v>
      </c>
      <c r="D724" s="60">
        <v>3.0</v>
      </c>
      <c r="E724" s="60">
        <v>2.0</v>
      </c>
      <c r="F724" s="35" t="s">
        <v>16</v>
      </c>
      <c r="G724" s="55" t="s">
        <v>69</v>
      </c>
      <c r="H724" s="10">
        <v>7.33</v>
      </c>
      <c r="I724" s="10">
        <v>5.17</v>
      </c>
      <c r="J724" s="37">
        <v>12.5</v>
      </c>
      <c r="K724" s="34"/>
      <c r="L724" s="3">
        <f t="shared" si="8"/>
        <v>0</v>
      </c>
    </row>
    <row r="725">
      <c r="A725" s="34">
        <v>772.0</v>
      </c>
      <c r="B725" s="37">
        <v>2018.0</v>
      </c>
      <c r="C725" s="37">
        <v>7.0</v>
      </c>
      <c r="D725" s="60">
        <v>3.0</v>
      </c>
      <c r="E725" s="60">
        <v>2.0</v>
      </c>
      <c r="F725" s="35" t="s">
        <v>16</v>
      </c>
      <c r="G725" s="10" t="s">
        <v>176</v>
      </c>
      <c r="H725" s="10">
        <v>3.5</v>
      </c>
      <c r="I725" s="10">
        <v>1.57</v>
      </c>
      <c r="J725" s="37">
        <v>5.07</v>
      </c>
      <c r="K725" s="34"/>
      <c r="L725" s="3">
        <f t="shared" si="8"/>
        <v>0</v>
      </c>
    </row>
    <row r="726">
      <c r="A726" s="34">
        <v>773.0</v>
      </c>
      <c r="B726" s="37">
        <v>2018.0</v>
      </c>
      <c r="C726" s="37">
        <v>7.0</v>
      </c>
      <c r="D726" s="60">
        <v>3.0</v>
      </c>
      <c r="E726" s="60">
        <v>3.0</v>
      </c>
      <c r="F726" s="35" t="s">
        <v>16</v>
      </c>
      <c r="G726" s="61" t="s">
        <v>43</v>
      </c>
      <c r="H726" s="10">
        <v>5.5</v>
      </c>
      <c r="I726" s="10">
        <v>4.0</v>
      </c>
      <c r="J726" s="37">
        <v>9.5</v>
      </c>
      <c r="K726" s="34"/>
      <c r="L726" s="3">
        <f t="shared" si="8"/>
        <v>0</v>
      </c>
    </row>
    <row r="727">
      <c r="A727" s="34">
        <v>774.0</v>
      </c>
      <c r="B727" s="37">
        <v>2018.0</v>
      </c>
      <c r="C727" s="37">
        <v>7.0</v>
      </c>
      <c r="D727" s="60">
        <v>3.0</v>
      </c>
      <c r="E727" s="60">
        <v>3.0</v>
      </c>
      <c r="F727" s="35" t="s">
        <v>16</v>
      </c>
      <c r="G727" s="10" t="s">
        <v>142</v>
      </c>
      <c r="H727" s="10">
        <v>4.77</v>
      </c>
      <c r="I727" s="10">
        <v>4.63</v>
      </c>
      <c r="J727" s="37">
        <v>9.4</v>
      </c>
      <c r="K727" s="34"/>
      <c r="L727" s="3">
        <f t="shared" si="8"/>
        <v>0</v>
      </c>
    </row>
    <row r="728">
      <c r="A728" s="34">
        <v>775.0</v>
      </c>
      <c r="B728" s="37">
        <v>2018.0</v>
      </c>
      <c r="C728" s="37">
        <v>7.0</v>
      </c>
      <c r="D728" s="60">
        <v>3.0</v>
      </c>
      <c r="E728" s="60">
        <v>4.0</v>
      </c>
      <c r="F728" s="35" t="s">
        <v>16</v>
      </c>
      <c r="G728" s="55" t="s">
        <v>57</v>
      </c>
      <c r="H728" s="10">
        <v>8.0</v>
      </c>
      <c r="I728" s="10">
        <v>6.27</v>
      </c>
      <c r="J728" s="37">
        <v>14.27</v>
      </c>
      <c r="K728" s="34"/>
      <c r="L728" s="3">
        <f t="shared" si="8"/>
        <v>0</v>
      </c>
    </row>
    <row r="729">
      <c r="A729" s="34">
        <v>776.0</v>
      </c>
      <c r="B729" s="37">
        <v>2018.0</v>
      </c>
      <c r="C729" s="37">
        <v>7.0</v>
      </c>
      <c r="D729" s="60">
        <v>3.0</v>
      </c>
      <c r="E729" s="60">
        <v>4.0</v>
      </c>
      <c r="F729" s="35" t="s">
        <v>16</v>
      </c>
      <c r="G729" s="10" t="s">
        <v>39</v>
      </c>
      <c r="H729" s="10">
        <v>6.4</v>
      </c>
      <c r="I729" s="10">
        <v>4.43</v>
      </c>
      <c r="J729" s="37">
        <v>10.83</v>
      </c>
      <c r="K729" s="34"/>
      <c r="L729" s="3">
        <f t="shared" si="8"/>
        <v>0</v>
      </c>
    </row>
    <row r="730">
      <c r="A730" s="34">
        <v>777.0</v>
      </c>
      <c r="B730" s="37">
        <v>2018.0</v>
      </c>
      <c r="C730" s="37">
        <v>7.0</v>
      </c>
      <c r="D730" s="60">
        <v>3.0</v>
      </c>
      <c r="E730" s="60">
        <v>5.0</v>
      </c>
      <c r="F730" s="35" t="s">
        <v>16</v>
      </c>
      <c r="G730" s="55" t="s">
        <v>53</v>
      </c>
      <c r="H730" s="10">
        <v>6.67</v>
      </c>
      <c r="I730" s="10">
        <v>4.73</v>
      </c>
      <c r="J730" s="37">
        <v>11.4</v>
      </c>
      <c r="K730" s="34"/>
      <c r="L730" s="3">
        <f t="shared" si="8"/>
        <v>0</v>
      </c>
    </row>
    <row r="731">
      <c r="A731" s="34">
        <v>778.0</v>
      </c>
      <c r="B731" s="37">
        <v>2018.0</v>
      </c>
      <c r="C731" s="37">
        <v>7.0</v>
      </c>
      <c r="D731" s="60">
        <v>3.0</v>
      </c>
      <c r="E731" s="60">
        <v>5.0</v>
      </c>
      <c r="F731" s="35" t="s">
        <v>16</v>
      </c>
      <c r="G731" s="10" t="s">
        <v>42</v>
      </c>
      <c r="H731" s="10">
        <v>7.5</v>
      </c>
      <c r="I731" s="10">
        <v>3.67</v>
      </c>
      <c r="J731" s="37">
        <v>11.17</v>
      </c>
      <c r="K731" s="34"/>
      <c r="L731" s="3">
        <f t="shared" si="8"/>
        <v>0</v>
      </c>
    </row>
    <row r="732">
      <c r="A732" s="34">
        <v>779.0</v>
      </c>
      <c r="B732" s="37">
        <v>2018.0</v>
      </c>
      <c r="C732" s="37">
        <v>7.0</v>
      </c>
      <c r="D732" s="60">
        <v>3.0</v>
      </c>
      <c r="E732" s="60">
        <v>6.0</v>
      </c>
      <c r="F732" s="35" t="s">
        <v>16</v>
      </c>
      <c r="G732" s="55" t="s">
        <v>33</v>
      </c>
      <c r="H732" s="10">
        <v>7.83</v>
      </c>
      <c r="I732" s="10">
        <v>6.83</v>
      </c>
      <c r="J732" s="37">
        <v>14.66</v>
      </c>
      <c r="K732" s="34"/>
      <c r="L732" s="3">
        <f t="shared" si="8"/>
        <v>0</v>
      </c>
    </row>
    <row r="733">
      <c r="A733" s="34">
        <v>780.0</v>
      </c>
      <c r="B733" s="37">
        <v>2018.0</v>
      </c>
      <c r="C733" s="37">
        <v>7.0</v>
      </c>
      <c r="D733" s="60">
        <v>3.0</v>
      </c>
      <c r="E733" s="60">
        <v>6.0</v>
      </c>
      <c r="F733" s="35" t="s">
        <v>16</v>
      </c>
      <c r="G733" s="10" t="s">
        <v>191</v>
      </c>
      <c r="H733" s="10">
        <v>3.73</v>
      </c>
      <c r="I733" s="10">
        <v>3.17</v>
      </c>
      <c r="J733" s="37">
        <v>6.9</v>
      </c>
      <c r="K733" s="34"/>
      <c r="L733" s="3">
        <f t="shared" si="8"/>
        <v>0</v>
      </c>
    </row>
    <row r="734">
      <c r="A734" s="34">
        <v>781.0</v>
      </c>
      <c r="B734" s="37">
        <v>2018.0</v>
      </c>
      <c r="C734" s="37">
        <v>7.0</v>
      </c>
      <c r="D734" s="60">
        <v>3.0</v>
      </c>
      <c r="E734" s="60">
        <v>7.0</v>
      </c>
      <c r="F734" s="35" t="s">
        <v>16</v>
      </c>
      <c r="G734" s="55" t="s">
        <v>30</v>
      </c>
      <c r="H734" s="10">
        <v>7.9</v>
      </c>
      <c r="I734" s="10">
        <v>5.5</v>
      </c>
      <c r="J734" s="37">
        <v>14.73</v>
      </c>
      <c r="K734" s="34"/>
      <c r="L734" s="3">
        <f t="shared" si="8"/>
        <v>0</v>
      </c>
    </row>
    <row r="735">
      <c r="A735" s="34">
        <v>782.0</v>
      </c>
      <c r="B735" s="37">
        <v>2018.0</v>
      </c>
      <c r="C735" s="37">
        <v>7.0</v>
      </c>
      <c r="D735" s="60">
        <v>3.0</v>
      </c>
      <c r="E735" s="60">
        <v>7.0</v>
      </c>
      <c r="F735" s="35" t="s">
        <v>16</v>
      </c>
      <c r="G735" s="10" t="s">
        <v>54</v>
      </c>
      <c r="H735" s="10">
        <v>6.9</v>
      </c>
      <c r="I735" s="10">
        <v>6.77</v>
      </c>
      <c r="J735" s="37">
        <v>13.67</v>
      </c>
      <c r="K735" s="34"/>
      <c r="L735" s="3">
        <f t="shared" si="8"/>
        <v>0</v>
      </c>
    </row>
    <row r="736">
      <c r="A736" s="34">
        <v>783.0</v>
      </c>
      <c r="B736" s="37">
        <v>2018.0</v>
      </c>
      <c r="C736" s="37">
        <v>7.0</v>
      </c>
      <c r="D736" s="60">
        <v>3.0</v>
      </c>
      <c r="E736" s="60">
        <v>8.0</v>
      </c>
      <c r="F736" s="35" t="s">
        <v>16</v>
      </c>
      <c r="G736" s="55" t="s">
        <v>32</v>
      </c>
      <c r="H736" s="10">
        <v>7.77</v>
      </c>
      <c r="I736" s="10">
        <v>5.5</v>
      </c>
      <c r="J736" s="37">
        <v>13.27</v>
      </c>
      <c r="K736" s="34"/>
      <c r="L736" s="3">
        <f t="shared" si="8"/>
        <v>0</v>
      </c>
    </row>
    <row r="737">
      <c r="A737" s="34">
        <v>784.0</v>
      </c>
      <c r="B737" s="37">
        <v>2018.0</v>
      </c>
      <c r="C737" s="37">
        <v>7.0</v>
      </c>
      <c r="D737" s="60">
        <v>3.0</v>
      </c>
      <c r="E737" s="60">
        <v>8.0</v>
      </c>
      <c r="F737" s="35" t="s">
        <v>16</v>
      </c>
      <c r="G737" s="10" t="s">
        <v>64</v>
      </c>
      <c r="H737" s="10">
        <v>6.83</v>
      </c>
      <c r="I737" s="10">
        <v>5.53</v>
      </c>
      <c r="J737" s="37">
        <v>12.36</v>
      </c>
      <c r="K737" s="34"/>
      <c r="L737" s="3">
        <f t="shared" si="8"/>
        <v>0</v>
      </c>
    </row>
    <row r="738">
      <c r="A738" s="34">
        <v>785.0</v>
      </c>
      <c r="B738" s="37">
        <v>2018.0</v>
      </c>
      <c r="C738" s="37">
        <v>7.0</v>
      </c>
      <c r="D738" s="60">
        <v>3.0</v>
      </c>
      <c r="E738" s="60">
        <v>9.0</v>
      </c>
      <c r="F738" s="35" t="s">
        <v>16</v>
      </c>
      <c r="G738" s="55" t="s">
        <v>169</v>
      </c>
      <c r="H738" s="10">
        <v>7.23</v>
      </c>
      <c r="I738" s="10">
        <v>5.67</v>
      </c>
      <c r="J738" s="37">
        <v>12.9</v>
      </c>
      <c r="K738" s="34"/>
      <c r="L738" s="3">
        <f t="shared" si="8"/>
        <v>0</v>
      </c>
    </row>
    <row r="739">
      <c r="A739" s="34">
        <v>786.0</v>
      </c>
      <c r="B739" s="37">
        <v>2018.0</v>
      </c>
      <c r="C739" s="37">
        <v>7.0</v>
      </c>
      <c r="D739" s="60">
        <v>3.0</v>
      </c>
      <c r="E739" s="60">
        <v>9.0</v>
      </c>
      <c r="F739" s="35" t="s">
        <v>16</v>
      </c>
      <c r="G739" s="10" t="s">
        <v>46</v>
      </c>
      <c r="H739" s="10">
        <v>6.07</v>
      </c>
      <c r="I739" s="10">
        <v>2.17</v>
      </c>
      <c r="J739" s="37">
        <v>8.24</v>
      </c>
      <c r="K739" s="34"/>
      <c r="L739" s="3">
        <f t="shared" si="8"/>
        <v>0</v>
      </c>
    </row>
    <row r="740">
      <c r="A740" s="34">
        <v>787.0</v>
      </c>
      <c r="B740" s="37">
        <v>2018.0</v>
      </c>
      <c r="C740" s="37">
        <v>7.0</v>
      </c>
      <c r="D740" s="60">
        <v>3.0</v>
      </c>
      <c r="E740" s="60">
        <v>10.0</v>
      </c>
      <c r="F740" s="35" t="s">
        <v>16</v>
      </c>
      <c r="G740" s="61" t="s">
        <v>61</v>
      </c>
      <c r="H740" s="10">
        <v>9.2</v>
      </c>
      <c r="I740" s="10">
        <v>5.67</v>
      </c>
      <c r="J740" s="37">
        <v>13.14</v>
      </c>
      <c r="K740" s="34"/>
      <c r="L740" s="3">
        <f t="shared" si="8"/>
        <v>0</v>
      </c>
    </row>
    <row r="741">
      <c r="A741" s="34">
        <v>788.0</v>
      </c>
      <c r="B741" s="37">
        <v>2018.0</v>
      </c>
      <c r="C741" s="37">
        <v>7.0</v>
      </c>
      <c r="D741" s="60">
        <v>3.0</v>
      </c>
      <c r="E741" s="60">
        <v>10.0</v>
      </c>
      <c r="F741" s="35" t="s">
        <v>16</v>
      </c>
      <c r="G741" s="10" t="s">
        <v>27</v>
      </c>
      <c r="H741" s="10">
        <v>5.77</v>
      </c>
      <c r="I741" s="10">
        <v>5.57</v>
      </c>
      <c r="J741" s="37">
        <v>11.34</v>
      </c>
      <c r="K741" s="34"/>
      <c r="L741" s="3">
        <f t="shared" si="8"/>
        <v>0</v>
      </c>
    </row>
    <row r="742">
      <c r="A742" s="34">
        <v>789.0</v>
      </c>
      <c r="B742" s="37">
        <v>2018.0</v>
      </c>
      <c r="C742" s="37">
        <v>7.0</v>
      </c>
      <c r="D742" s="60">
        <v>3.0</v>
      </c>
      <c r="E742" s="60">
        <v>11.0</v>
      </c>
      <c r="F742" s="35" t="s">
        <v>16</v>
      </c>
      <c r="G742" s="55" t="s">
        <v>50</v>
      </c>
      <c r="H742" s="10">
        <v>7.47</v>
      </c>
      <c r="I742" s="10">
        <v>5.67</v>
      </c>
      <c r="J742" s="37">
        <v>13.14</v>
      </c>
      <c r="K742" s="34"/>
      <c r="L742" s="3">
        <f t="shared" si="8"/>
        <v>0</v>
      </c>
    </row>
    <row r="743">
      <c r="A743" s="34">
        <v>790.0</v>
      </c>
      <c r="B743" s="37">
        <v>2018.0</v>
      </c>
      <c r="C743" s="37">
        <v>7.0</v>
      </c>
      <c r="D743" s="60">
        <v>3.0</v>
      </c>
      <c r="E743" s="60">
        <v>11.0</v>
      </c>
      <c r="F743" s="35" t="s">
        <v>16</v>
      </c>
      <c r="G743" s="10" t="s">
        <v>47</v>
      </c>
      <c r="H743" s="10">
        <v>5.83</v>
      </c>
      <c r="I743" s="10">
        <v>4.1</v>
      </c>
      <c r="J743" s="37">
        <v>9.93</v>
      </c>
      <c r="K743" s="34"/>
      <c r="L743" s="3">
        <f t="shared" si="8"/>
        <v>0</v>
      </c>
    </row>
    <row r="744">
      <c r="A744" s="34">
        <v>791.0</v>
      </c>
      <c r="B744" s="37">
        <v>2018.0</v>
      </c>
      <c r="C744" s="37">
        <v>7.0</v>
      </c>
      <c r="D744" s="60">
        <v>3.0</v>
      </c>
      <c r="E744" s="60">
        <v>12.0</v>
      </c>
      <c r="F744" s="35" t="s">
        <v>16</v>
      </c>
      <c r="G744" s="55" t="s">
        <v>17</v>
      </c>
      <c r="H744" s="10">
        <v>6.57</v>
      </c>
      <c r="I744" s="10">
        <v>5.57</v>
      </c>
      <c r="J744" s="37">
        <v>12.14</v>
      </c>
      <c r="K744" s="34"/>
      <c r="L744" s="3">
        <f t="shared" si="8"/>
        <v>0</v>
      </c>
    </row>
    <row r="745">
      <c r="A745" s="34">
        <v>792.0</v>
      </c>
      <c r="B745" s="37">
        <v>2018.0</v>
      </c>
      <c r="C745" s="37">
        <v>7.0</v>
      </c>
      <c r="D745" s="60">
        <v>3.0</v>
      </c>
      <c r="E745" s="60">
        <v>12.0</v>
      </c>
      <c r="F745" s="35" t="s">
        <v>16</v>
      </c>
      <c r="G745" s="10" t="s">
        <v>67</v>
      </c>
      <c r="H745" s="10">
        <v>5.67</v>
      </c>
      <c r="I745" s="10">
        <v>4.67</v>
      </c>
      <c r="J745" s="37">
        <v>10.34</v>
      </c>
      <c r="K745" s="34"/>
      <c r="L745" s="3">
        <f t="shared" si="8"/>
        <v>0</v>
      </c>
    </row>
    <row r="746">
      <c r="A746" s="34">
        <v>793.0</v>
      </c>
      <c r="B746" s="37">
        <v>2018.0</v>
      </c>
      <c r="C746" s="37">
        <v>7.0</v>
      </c>
      <c r="D746" s="60">
        <v>4.0</v>
      </c>
      <c r="E746" s="60">
        <v>1.0</v>
      </c>
      <c r="F746" s="35" t="s">
        <v>16</v>
      </c>
      <c r="G746" s="61" t="s">
        <v>110</v>
      </c>
      <c r="H746" s="10">
        <v>8.93</v>
      </c>
      <c r="I746" s="10">
        <v>5.77</v>
      </c>
      <c r="J746" s="37">
        <v>14.7</v>
      </c>
      <c r="K746" s="34"/>
      <c r="L746" s="3">
        <f t="shared" si="8"/>
        <v>0</v>
      </c>
    </row>
    <row r="747">
      <c r="A747" s="34">
        <v>794.0</v>
      </c>
      <c r="B747" s="37">
        <v>2018.0</v>
      </c>
      <c r="C747" s="37">
        <v>7.0</v>
      </c>
      <c r="D747" s="60">
        <v>4.0</v>
      </c>
      <c r="E747" s="60">
        <v>1.0</v>
      </c>
      <c r="F747" s="35" t="s">
        <v>16</v>
      </c>
      <c r="G747" s="61" t="s">
        <v>43</v>
      </c>
      <c r="H747" s="10">
        <v>6.77</v>
      </c>
      <c r="I747" s="10">
        <v>5.3</v>
      </c>
      <c r="J747" s="37">
        <v>12.07</v>
      </c>
      <c r="K747" s="34"/>
      <c r="L747" s="3">
        <f t="shared" si="8"/>
        <v>0</v>
      </c>
    </row>
    <row r="748">
      <c r="A748" s="34">
        <v>795.0</v>
      </c>
      <c r="B748" s="37">
        <v>2018.0</v>
      </c>
      <c r="C748" s="37">
        <v>7.0</v>
      </c>
      <c r="D748" s="60">
        <v>4.0</v>
      </c>
      <c r="E748" s="60">
        <v>1.0</v>
      </c>
      <c r="F748" s="35" t="s">
        <v>16</v>
      </c>
      <c r="G748" s="10" t="s">
        <v>69</v>
      </c>
      <c r="H748" s="10">
        <v>6.1</v>
      </c>
      <c r="I748" s="10">
        <v>4.87</v>
      </c>
      <c r="J748" s="37">
        <v>10.97</v>
      </c>
      <c r="K748" s="34"/>
      <c r="L748" s="3">
        <f t="shared" si="8"/>
        <v>0</v>
      </c>
    </row>
    <row r="749">
      <c r="A749" s="34">
        <v>796.0</v>
      </c>
      <c r="B749" s="37">
        <v>2018.0</v>
      </c>
      <c r="C749" s="37">
        <v>7.0</v>
      </c>
      <c r="D749" s="60">
        <v>4.0</v>
      </c>
      <c r="E749" s="60">
        <v>2.0</v>
      </c>
      <c r="F749" s="35" t="s">
        <v>16</v>
      </c>
      <c r="G749" s="61" t="s">
        <v>57</v>
      </c>
      <c r="H749" s="10">
        <v>6.67</v>
      </c>
      <c r="I749" s="10">
        <v>6.0</v>
      </c>
      <c r="J749" s="37">
        <v>12.67</v>
      </c>
      <c r="K749" s="34"/>
      <c r="L749" s="3">
        <f t="shared" si="8"/>
        <v>0</v>
      </c>
    </row>
    <row r="750">
      <c r="A750" s="34">
        <v>797.0</v>
      </c>
      <c r="B750" s="37">
        <v>2018.0</v>
      </c>
      <c r="C750" s="37">
        <v>7.0</v>
      </c>
      <c r="D750" s="60">
        <v>4.0</v>
      </c>
      <c r="E750" s="60">
        <v>2.0</v>
      </c>
      <c r="F750" s="35" t="s">
        <v>16</v>
      </c>
      <c r="G750" s="61" t="s">
        <v>33</v>
      </c>
      <c r="H750" s="10">
        <v>5.9</v>
      </c>
      <c r="I750" s="10">
        <v>5.5</v>
      </c>
      <c r="J750" s="37">
        <v>11.4</v>
      </c>
      <c r="K750" s="34"/>
      <c r="L750" s="3">
        <f t="shared" si="8"/>
        <v>0</v>
      </c>
    </row>
    <row r="751">
      <c r="A751" s="34">
        <v>798.0</v>
      </c>
      <c r="B751" s="37">
        <v>2018.0</v>
      </c>
      <c r="C751" s="37">
        <v>7.0</v>
      </c>
      <c r="D751" s="60">
        <v>4.0</v>
      </c>
      <c r="E751" s="60">
        <v>2.0</v>
      </c>
      <c r="F751" s="35" t="s">
        <v>16</v>
      </c>
      <c r="G751" s="10" t="s">
        <v>53</v>
      </c>
      <c r="H751" s="10">
        <v>4.93</v>
      </c>
      <c r="I751" s="10">
        <v>3.33</v>
      </c>
      <c r="J751" s="37">
        <v>8.26</v>
      </c>
      <c r="K751" s="34"/>
      <c r="L751" s="3">
        <f t="shared" si="8"/>
        <v>0</v>
      </c>
    </row>
    <row r="752">
      <c r="A752" s="34">
        <v>799.0</v>
      </c>
      <c r="B752" s="37">
        <v>2018.0</v>
      </c>
      <c r="C752" s="37">
        <v>7.0</v>
      </c>
      <c r="D752" s="60">
        <v>4.0</v>
      </c>
      <c r="E752" s="60">
        <v>3.0</v>
      </c>
      <c r="F752" s="35" t="s">
        <v>16</v>
      </c>
      <c r="G752" s="55" t="s">
        <v>30</v>
      </c>
      <c r="H752" s="10">
        <v>7.5</v>
      </c>
      <c r="I752" s="10">
        <v>6.17</v>
      </c>
      <c r="J752" s="37">
        <v>13.67</v>
      </c>
      <c r="K752" s="34"/>
      <c r="L752" s="3">
        <f t="shared" si="8"/>
        <v>0</v>
      </c>
    </row>
    <row r="753">
      <c r="A753" s="34">
        <v>800.0</v>
      </c>
      <c r="B753" s="37">
        <v>2018.0</v>
      </c>
      <c r="C753" s="37">
        <v>7.0</v>
      </c>
      <c r="D753" s="60">
        <v>4.0</v>
      </c>
      <c r="E753" s="60">
        <v>3.0</v>
      </c>
      <c r="F753" s="35" t="s">
        <v>16</v>
      </c>
      <c r="G753" s="55" t="s">
        <v>32</v>
      </c>
      <c r="H753" s="10">
        <v>5.43</v>
      </c>
      <c r="I753" s="10">
        <v>5.0</v>
      </c>
      <c r="J753" s="37">
        <v>10.43</v>
      </c>
      <c r="K753" s="34"/>
      <c r="L753" s="3">
        <f t="shared" si="8"/>
        <v>0</v>
      </c>
    </row>
    <row r="754">
      <c r="A754" s="34">
        <v>801.0</v>
      </c>
      <c r="B754" s="37">
        <v>2018.0</v>
      </c>
      <c r="C754" s="37">
        <v>7.0</v>
      </c>
      <c r="D754" s="60">
        <v>4.0</v>
      </c>
      <c r="E754" s="60">
        <v>3.0</v>
      </c>
      <c r="F754" s="35" t="s">
        <v>16</v>
      </c>
      <c r="G754" s="10" t="s">
        <v>169</v>
      </c>
      <c r="H754" s="10">
        <v>5.3</v>
      </c>
      <c r="I754" s="10">
        <v>4.2</v>
      </c>
      <c r="J754" s="37">
        <v>9.5</v>
      </c>
      <c r="K754" s="34"/>
      <c r="L754" s="3">
        <f t="shared" si="8"/>
        <v>0</v>
      </c>
    </row>
    <row r="755">
      <c r="A755" s="34">
        <v>802.0</v>
      </c>
      <c r="B755" s="37">
        <v>2018.0</v>
      </c>
      <c r="C755" s="37">
        <v>7.0</v>
      </c>
      <c r="D755" s="60">
        <v>4.0</v>
      </c>
      <c r="E755" s="60">
        <v>4.0</v>
      </c>
      <c r="F755" s="35" t="s">
        <v>16</v>
      </c>
      <c r="G755" s="61" t="s">
        <v>50</v>
      </c>
      <c r="H755" s="10">
        <v>8.17</v>
      </c>
      <c r="I755" s="10">
        <v>7.07</v>
      </c>
      <c r="J755" s="37">
        <v>15.24</v>
      </c>
      <c r="K755" s="34"/>
      <c r="L755" s="3">
        <f t="shared" si="8"/>
        <v>0</v>
      </c>
    </row>
    <row r="756">
      <c r="A756" s="34">
        <v>803.0</v>
      </c>
      <c r="B756" s="37">
        <v>2018.0</v>
      </c>
      <c r="C756" s="37">
        <v>7.0</v>
      </c>
      <c r="D756" s="60">
        <v>4.0</v>
      </c>
      <c r="E756" s="60">
        <v>4.0</v>
      </c>
      <c r="F756" s="35" t="s">
        <v>16</v>
      </c>
      <c r="G756" s="61" t="s">
        <v>17</v>
      </c>
      <c r="H756" s="10">
        <v>7.07</v>
      </c>
      <c r="I756" s="10">
        <v>6.03</v>
      </c>
      <c r="J756" s="37">
        <v>13.1</v>
      </c>
      <c r="K756" s="34"/>
      <c r="L756" s="3">
        <f t="shared" si="8"/>
        <v>0</v>
      </c>
    </row>
    <row r="757">
      <c r="A757" s="34">
        <v>804.0</v>
      </c>
      <c r="B757" s="37">
        <v>2018.0</v>
      </c>
      <c r="C757" s="37">
        <v>7.0</v>
      </c>
      <c r="D757" s="60">
        <v>4.0</v>
      </c>
      <c r="E757" s="60">
        <v>4.0</v>
      </c>
      <c r="F757" s="35" t="s">
        <v>16</v>
      </c>
      <c r="G757" s="10" t="s">
        <v>61</v>
      </c>
      <c r="H757" s="10">
        <v>8.17</v>
      </c>
      <c r="I757" s="10">
        <v>3.17</v>
      </c>
      <c r="J757" s="37">
        <v>11.34</v>
      </c>
      <c r="K757" s="34"/>
      <c r="L757" s="3">
        <f t="shared" si="8"/>
        <v>0</v>
      </c>
    </row>
    <row r="758">
      <c r="A758" s="34">
        <v>805.0</v>
      </c>
      <c r="B758" s="37">
        <v>2018.0</v>
      </c>
      <c r="C758" s="37">
        <v>7.0</v>
      </c>
      <c r="D758" s="60">
        <v>5.0</v>
      </c>
      <c r="E758" s="60">
        <v>1.0</v>
      </c>
      <c r="F758" s="35" t="s">
        <v>16</v>
      </c>
      <c r="G758" s="55" t="s">
        <v>33</v>
      </c>
      <c r="H758" s="10">
        <v>6.0</v>
      </c>
      <c r="I758" s="10">
        <v>5.43</v>
      </c>
      <c r="J758" s="37">
        <v>11.43</v>
      </c>
      <c r="K758" s="34"/>
      <c r="L758" s="3">
        <f t="shared" si="8"/>
        <v>0</v>
      </c>
    </row>
    <row r="759">
      <c r="A759" s="34">
        <v>806.0</v>
      </c>
      <c r="B759" s="37">
        <v>2018.0</v>
      </c>
      <c r="C759" s="37">
        <v>7.0</v>
      </c>
      <c r="D759" s="60">
        <v>5.0</v>
      </c>
      <c r="E759" s="60">
        <v>1.0</v>
      </c>
      <c r="F759" s="35" t="s">
        <v>16</v>
      </c>
      <c r="G759" s="10" t="s">
        <v>110</v>
      </c>
      <c r="H759" s="10">
        <v>4.93</v>
      </c>
      <c r="I759" s="10">
        <v>3.67</v>
      </c>
      <c r="J759" s="37">
        <v>8.6</v>
      </c>
      <c r="K759" s="34"/>
      <c r="L759" s="3">
        <f t="shared" si="8"/>
        <v>0</v>
      </c>
    </row>
    <row r="760">
      <c r="A760" s="34">
        <v>807.0</v>
      </c>
      <c r="B760" s="37">
        <v>2018.0</v>
      </c>
      <c r="C760" s="37">
        <v>7.0</v>
      </c>
      <c r="D760" s="60">
        <v>5.0</v>
      </c>
      <c r="E760" s="60">
        <v>2.0</v>
      </c>
      <c r="F760" s="35" t="s">
        <v>16</v>
      </c>
      <c r="G760" s="61" t="s">
        <v>57</v>
      </c>
      <c r="H760" s="10">
        <v>9.17</v>
      </c>
      <c r="I760" s="10">
        <v>6.83</v>
      </c>
      <c r="J760" s="37">
        <v>16.0</v>
      </c>
      <c r="K760" s="34"/>
      <c r="L760" s="3">
        <f t="shared" si="8"/>
        <v>0</v>
      </c>
    </row>
    <row r="761">
      <c r="A761" s="34">
        <v>808.0</v>
      </c>
      <c r="B761" s="37">
        <v>2018.0</v>
      </c>
      <c r="C761" s="37">
        <v>7.0</v>
      </c>
      <c r="D761" s="60">
        <v>5.0</v>
      </c>
      <c r="E761" s="60">
        <v>2.0</v>
      </c>
      <c r="F761" s="35" t="s">
        <v>16</v>
      </c>
      <c r="G761" s="10" t="s">
        <v>43</v>
      </c>
      <c r="H761" s="10">
        <v>5.07</v>
      </c>
      <c r="I761" s="10">
        <v>4.5</v>
      </c>
      <c r="J761" s="37">
        <v>9.57</v>
      </c>
      <c r="K761" s="34"/>
      <c r="L761" s="3">
        <f t="shared" si="8"/>
        <v>0</v>
      </c>
    </row>
    <row r="762">
      <c r="A762" s="34">
        <v>809.0</v>
      </c>
      <c r="B762" s="37">
        <v>2018.0</v>
      </c>
      <c r="C762" s="37">
        <v>7.0</v>
      </c>
      <c r="D762" s="60">
        <v>5.0</v>
      </c>
      <c r="E762" s="60">
        <v>3.0</v>
      </c>
      <c r="F762" s="35" t="s">
        <v>16</v>
      </c>
      <c r="G762" s="61" t="s">
        <v>30</v>
      </c>
      <c r="H762" s="10">
        <v>7.67</v>
      </c>
      <c r="I762" s="10">
        <v>5.43</v>
      </c>
      <c r="J762" s="37">
        <v>13.1</v>
      </c>
      <c r="K762" s="34"/>
      <c r="L762" s="3">
        <f t="shared" si="8"/>
        <v>0</v>
      </c>
    </row>
    <row r="763">
      <c r="A763" s="34">
        <v>810.0</v>
      </c>
      <c r="B763" s="37">
        <v>2018.0</v>
      </c>
      <c r="C763" s="37">
        <v>7.0</v>
      </c>
      <c r="D763" s="60">
        <v>5.0</v>
      </c>
      <c r="E763" s="60">
        <v>3.0</v>
      </c>
      <c r="F763" s="35" t="s">
        <v>16</v>
      </c>
      <c r="G763" s="10" t="s">
        <v>17</v>
      </c>
      <c r="H763" s="10">
        <v>4.57</v>
      </c>
      <c r="I763" s="10">
        <v>3.0</v>
      </c>
      <c r="J763" s="37">
        <v>7.57</v>
      </c>
      <c r="K763" s="34"/>
      <c r="L763" s="3">
        <f t="shared" si="8"/>
        <v>0</v>
      </c>
    </row>
    <row r="764">
      <c r="A764" s="34">
        <v>811.0</v>
      </c>
      <c r="B764" s="37">
        <v>2018.0</v>
      </c>
      <c r="C764" s="37">
        <v>7.0</v>
      </c>
      <c r="D764" s="60">
        <v>5.0</v>
      </c>
      <c r="E764" s="60">
        <v>4.0</v>
      </c>
      <c r="F764" s="35" t="s">
        <v>16</v>
      </c>
      <c r="G764" s="61" t="s">
        <v>50</v>
      </c>
      <c r="H764" s="10">
        <v>8.17</v>
      </c>
      <c r="I764" s="10">
        <v>5.17</v>
      </c>
      <c r="J764" s="37">
        <v>13.34</v>
      </c>
      <c r="K764" s="34"/>
      <c r="L764" s="3">
        <f t="shared" si="8"/>
        <v>0</v>
      </c>
    </row>
    <row r="765">
      <c r="A765" s="34">
        <v>812.0</v>
      </c>
      <c r="B765" s="37">
        <v>2018.0</v>
      </c>
      <c r="C765" s="37">
        <v>7.0</v>
      </c>
      <c r="D765" s="60">
        <v>5.0</v>
      </c>
      <c r="E765" s="60">
        <v>4.0</v>
      </c>
      <c r="F765" s="35" t="s">
        <v>16</v>
      </c>
      <c r="G765" s="10" t="s">
        <v>32</v>
      </c>
      <c r="H765" s="10">
        <v>3.23</v>
      </c>
      <c r="I765" s="10">
        <v>2.5</v>
      </c>
      <c r="J765" s="37">
        <v>5.73</v>
      </c>
      <c r="K765" s="34"/>
      <c r="L765" s="3">
        <f t="shared" si="8"/>
        <v>0</v>
      </c>
    </row>
    <row r="766">
      <c r="A766" s="34">
        <v>813.0</v>
      </c>
      <c r="B766" s="37">
        <v>2018.0</v>
      </c>
      <c r="C766" s="37">
        <v>7.0</v>
      </c>
      <c r="D766" s="54">
        <v>6.0</v>
      </c>
      <c r="E766" s="60">
        <v>1.0</v>
      </c>
      <c r="F766" s="35" t="s">
        <v>16</v>
      </c>
      <c r="G766" s="61" t="s">
        <v>57</v>
      </c>
      <c r="H766" s="10">
        <v>6.67</v>
      </c>
      <c r="I766" s="10">
        <v>5.93</v>
      </c>
      <c r="J766" s="37">
        <v>12.6</v>
      </c>
      <c r="K766" s="34"/>
      <c r="L766" s="3">
        <f t="shared" si="8"/>
        <v>0</v>
      </c>
    </row>
    <row r="767">
      <c r="A767" s="34">
        <v>814.0</v>
      </c>
      <c r="B767" s="37">
        <v>2018.0</v>
      </c>
      <c r="C767" s="37">
        <v>7.0</v>
      </c>
      <c r="D767" s="54">
        <v>6.0</v>
      </c>
      <c r="E767" s="60">
        <v>1.0</v>
      </c>
      <c r="F767" s="35" t="s">
        <v>16</v>
      </c>
      <c r="G767" s="10" t="s">
        <v>33</v>
      </c>
      <c r="H767" s="10">
        <v>5.3</v>
      </c>
      <c r="I767" s="10">
        <v>4.73</v>
      </c>
      <c r="J767" s="37">
        <v>10.03</v>
      </c>
      <c r="K767" s="34"/>
      <c r="L767" s="3">
        <f t="shared" si="8"/>
        <v>0</v>
      </c>
    </row>
    <row r="768">
      <c r="A768" s="34">
        <v>815.0</v>
      </c>
      <c r="B768" s="37">
        <v>2018.0</v>
      </c>
      <c r="C768" s="37">
        <v>7.0</v>
      </c>
      <c r="D768" s="54">
        <v>6.0</v>
      </c>
      <c r="E768" s="60">
        <v>2.0</v>
      </c>
      <c r="F768" s="35" t="s">
        <v>16</v>
      </c>
      <c r="G768" s="61" t="s">
        <v>30</v>
      </c>
      <c r="H768" s="10">
        <v>8.07</v>
      </c>
      <c r="I768" s="10">
        <v>7.1</v>
      </c>
      <c r="J768" s="37">
        <v>15.17</v>
      </c>
      <c r="K768" s="34"/>
      <c r="L768" s="3">
        <f t="shared" si="8"/>
        <v>0</v>
      </c>
    </row>
    <row r="769">
      <c r="A769" s="34">
        <v>816.0</v>
      </c>
      <c r="B769" s="37">
        <v>2018.0</v>
      </c>
      <c r="C769" s="37">
        <v>7.0</v>
      </c>
      <c r="D769" s="54">
        <v>6.0</v>
      </c>
      <c r="E769" s="60">
        <v>2.0</v>
      </c>
      <c r="F769" s="35" t="s">
        <v>16</v>
      </c>
      <c r="G769" s="10" t="s">
        <v>50</v>
      </c>
      <c r="H769" s="10">
        <v>5.67</v>
      </c>
      <c r="I769" s="10">
        <v>0.43</v>
      </c>
      <c r="J769" s="37">
        <v>6.1</v>
      </c>
      <c r="K769" s="34"/>
      <c r="L769" s="3">
        <f t="shared" si="8"/>
        <v>0</v>
      </c>
    </row>
    <row r="770">
      <c r="A770" s="34">
        <v>817.0</v>
      </c>
      <c r="B770" s="37">
        <v>2018.0</v>
      </c>
      <c r="C770" s="37">
        <v>7.0</v>
      </c>
      <c r="D770" s="54">
        <v>7.0</v>
      </c>
      <c r="E770" s="54">
        <v>1.0</v>
      </c>
      <c r="F770" s="35" t="s">
        <v>16</v>
      </c>
      <c r="G770" s="61" t="s">
        <v>30</v>
      </c>
      <c r="H770" s="10">
        <v>7.33</v>
      </c>
      <c r="I770" s="10">
        <v>6.17</v>
      </c>
      <c r="J770" s="37">
        <v>13.5</v>
      </c>
      <c r="K770" s="37"/>
      <c r="L770" s="3">
        <f t="shared" si="8"/>
        <v>0</v>
      </c>
    </row>
    <row r="771">
      <c r="A771" s="34">
        <v>818.0</v>
      </c>
      <c r="B771" s="37">
        <v>2018.0</v>
      </c>
      <c r="C771" s="37">
        <v>7.0</v>
      </c>
      <c r="D771" s="54">
        <v>7.0</v>
      </c>
      <c r="E771" s="54">
        <v>1.0</v>
      </c>
      <c r="F771" s="35" t="s">
        <v>16</v>
      </c>
      <c r="G771" s="10" t="s">
        <v>57</v>
      </c>
      <c r="H771" s="10">
        <v>6.5</v>
      </c>
      <c r="I771" s="10">
        <v>5.57</v>
      </c>
      <c r="J771" s="37">
        <v>12.07</v>
      </c>
      <c r="K771" s="37"/>
      <c r="L771" s="3">
        <f t="shared" si="8"/>
        <v>0</v>
      </c>
      <c r="M771" s="3">
        <f>SUM(L662:L771)</f>
        <v>15.61</v>
      </c>
    </row>
    <row r="772">
      <c r="A772" s="34">
        <v>819.0</v>
      </c>
      <c r="B772" s="37">
        <v>2018.0</v>
      </c>
      <c r="C772" s="37">
        <v>8.0</v>
      </c>
      <c r="D772" s="60">
        <v>1.0</v>
      </c>
      <c r="E772" s="60">
        <v>1.0</v>
      </c>
      <c r="F772" s="35" t="s">
        <v>16</v>
      </c>
      <c r="G772" s="63" t="s">
        <v>30</v>
      </c>
      <c r="H772" s="10">
        <v>9.3</v>
      </c>
      <c r="I772" s="10">
        <v>8.4</v>
      </c>
      <c r="J772" s="10">
        <v>17.7</v>
      </c>
    </row>
    <row r="773">
      <c r="A773" s="34">
        <v>820.0</v>
      </c>
      <c r="B773" s="37">
        <v>2018.0</v>
      </c>
      <c r="C773" s="37">
        <v>8.0</v>
      </c>
      <c r="D773" s="60">
        <v>1.0</v>
      </c>
      <c r="E773" s="64">
        <v>2.0</v>
      </c>
      <c r="F773" s="35" t="s">
        <v>16</v>
      </c>
      <c r="G773" s="63" t="s">
        <v>31</v>
      </c>
      <c r="H773" s="10">
        <v>8.6</v>
      </c>
      <c r="I773" s="10">
        <v>8.67</v>
      </c>
      <c r="J773" s="10">
        <v>17.27</v>
      </c>
    </row>
    <row r="774">
      <c r="A774" s="34">
        <v>821.0</v>
      </c>
      <c r="B774" s="37">
        <v>2018.0</v>
      </c>
      <c r="C774" s="37">
        <v>8.0</v>
      </c>
      <c r="D774" s="60">
        <v>1.0</v>
      </c>
      <c r="E774" s="64">
        <v>3.0</v>
      </c>
      <c r="F774" s="35" t="s">
        <v>16</v>
      </c>
      <c r="G774" s="63" t="s">
        <v>53</v>
      </c>
      <c r="H774" s="10">
        <v>8.93</v>
      </c>
      <c r="I774" s="10">
        <v>7.9</v>
      </c>
      <c r="J774" s="10">
        <v>16.83</v>
      </c>
    </row>
    <row r="775">
      <c r="A775" s="34">
        <v>822.0</v>
      </c>
      <c r="B775" s="37">
        <v>2018.0</v>
      </c>
      <c r="C775" s="37">
        <v>8.0</v>
      </c>
      <c r="D775" s="60">
        <v>1.0</v>
      </c>
      <c r="E775" s="60">
        <v>4.0</v>
      </c>
      <c r="F775" s="35" t="s">
        <v>16</v>
      </c>
      <c r="G775" s="63" t="s">
        <v>33</v>
      </c>
      <c r="H775" s="10">
        <v>9.17</v>
      </c>
      <c r="I775" s="10">
        <v>7.47</v>
      </c>
      <c r="J775" s="10">
        <v>16.64</v>
      </c>
    </row>
    <row r="776">
      <c r="A776" s="34">
        <v>823.0</v>
      </c>
      <c r="B776" s="37">
        <v>2018.0</v>
      </c>
      <c r="C776" s="37">
        <v>8.0</v>
      </c>
      <c r="D776" s="60">
        <v>1.0</v>
      </c>
      <c r="E776" s="64">
        <v>5.0</v>
      </c>
      <c r="F776" s="35" t="s">
        <v>16</v>
      </c>
      <c r="G776" s="63" t="s">
        <v>57</v>
      </c>
      <c r="H776" s="10">
        <v>7.43</v>
      </c>
      <c r="I776" s="10">
        <v>8.7</v>
      </c>
      <c r="J776" s="62">
        <v>16.13</v>
      </c>
    </row>
    <row r="777">
      <c r="A777" s="34">
        <v>824.0</v>
      </c>
      <c r="B777" s="37">
        <v>2018.0</v>
      </c>
      <c r="C777" s="37">
        <v>8.0</v>
      </c>
      <c r="D777" s="60">
        <v>1.0</v>
      </c>
      <c r="E777" s="64">
        <v>6.0</v>
      </c>
      <c r="F777" s="35" t="s">
        <v>16</v>
      </c>
      <c r="G777" s="63" t="s">
        <v>37</v>
      </c>
      <c r="H777" s="10">
        <v>8.5</v>
      </c>
      <c r="I777" s="10">
        <v>7.27</v>
      </c>
      <c r="J777" s="10">
        <v>15.77</v>
      </c>
    </row>
    <row r="778">
      <c r="A778" s="34">
        <v>825.0</v>
      </c>
      <c r="B778" s="37">
        <v>2018.0</v>
      </c>
      <c r="C778" s="37">
        <v>8.0</v>
      </c>
      <c r="D778" s="60">
        <v>1.0</v>
      </c>
      <c r="E778" s="60">
        <v>7.0</v>
      </c>
      <c r="F778" s="35" t="s">
        <v>16</v>
      </c>
      <c r="G778" s="63" t="s">
        <v>55</v>
      </c>
      <c r="H778" s="10">
        <v>7.13</v>
      </c>
      <c r="I778" s="10">
        <v>8.43</v>
      </c>
      <c r="J778" s="10">
        <v>15.56</v>
      </c>
    </row>
    <row r="779">
      <c r="A779" s="34">
        <v>826.0</v>
      </c>
      <c r="B779" s="37">
        <v>2018.0</v>
      </c>
      <c r="C779" s="37">
        <v>8.0</v>
      </c>
      <c r="D779" s="60">
        <v>1.0</v>
      </c>
      <c r="E779" s="64">
        <v>8.0</v>
      </c>
      <c r="F779" s="35" t="s">
        <v>16</v>
      </c>
      <c r="G779" s="63" t="s">
        <v>38</v>
      </c>
      <c r="H779" s="10">
        <v>8.67</v>
      </c>
      <c r="I779" s="10">
        <v>6.83</v>
      </c>
      <c r="J779" s="10">
        <v>15.5</v>
      </c>
    </row>
    <row r="780">
      <c r="A780" s="34">
        <v>827.0</v>
      </c>
      <c r="B780" s="37">
        <v>2018.0</v>
      </c>
      <c r="C780" s="37">
        <v>8.0</v>
      </c>
      <c r="D780" s="60">
        <v>1.0</v>
      </c>
      <c r="E780" s="64">
        <v>9.0</v>
      </c>
      <c r="F780" s="35" t="s">
        <v>16</v>
      </c>
      <c r="G780" s="10" t="s">
        <v>169</v>
      </c>
      <c r="H780" s="10">
        <v>6.07</v>
      </c>
      <c r="I780" s="10">
        <v>9.0</v>
      </c>
      <c r="J780" s="10">
        <v>15.07</v>
      </c>
    </row>
    <row r="781">
      <c r="A781" s="34">
        <v>828.0</v>
      </c>
      <c r="B781" s="37">
        <v>2018.0</v>
      </c>
      <c r="C781" s="37">
        <v>8.0</v>
      </c>
      <c r="D781" s="60">
        <v>1.0</v>
      </c>
      <c r="E781" s="60">
        <v>10.0</v>
      </c>
      <c r="F781" s="39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>
      <c r="A782" s="34">
        <v>829.0</v>
      </c>
      <c r="B782" s="37">
        <v>2018.0</v>
      </c>
      <c r="C782" s="37">
        <v>8.0</v>
      </c>
      <c r="D782" s="60">
        <v>1.0</v>
      </c>
      <c r="E782" s="64">
        <v>11.0</v>
      </c>
      <c r="F782" s="35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>
      <c r="A783" s="34">
        <v>830.0</v>
      </c>
      <c r="B783" s="37">
        <v>2018.0</v>
      </c>
      <c r="C783" s="37">
        <v>8.0</v>
      </c>
      <c r="D783" s="60">
        <v>1.0</v>
      </c>
      <c r="E783" s="64">
        <v>12.0</v>
      </c>
      <c r="F783" s="35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>
      <c r="A784" s="34">
        <v>831.0</v>
      </c>
      <c r="B784" s="37">
        <v>2018.0</v>
      </c>
      <c r="C784" s="37">
        <v>8.0</v>
      </c>
      <c r="D784" s="60">
        <v>1.0</v>
      </c>
      <c r="E784" s="60">
        <v>13.0</v>
      </c>
      <c r="F784" s="35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>
      <c r="A785" s="34">
        <v>832.0</v>
      </c>
      <c r="B785" s="37">
        <v>2018.0</v>
      </c>
      <c r="C785" s="37">
        <v>8.0</v>
      </c>
      <c r="D785" s="60">
        <v>1.0</v>
      </c>
      <c r="E785" s="64">
        <v>14.0</v>
      </c>
      <c r="F785" s="35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>
      <c r="A786" s="34">
        <v>833.0</v>
      </c>
      <c r="B786" s="37">
        <v>2018.0</v>
      </c>
      <c r="C786" s="37">
        <v>8.0</v>
      </c>
      <c r="D786" s="60">
        <v>1.0</v>
      </c>
      <c r="E786" s="64">
        <v>15.0</v>
      </c>
      <c r="F786" s="35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>
      <c r="A787" s="34">
        <v>834.0</v>
      </c>
      <c r="B787" s="37">
        <v>2018.0</v>
      </c>
      <c r="C787" s="37">
        <v>8.0</v>
      </c>
      <c r="D787" s="60">
        <v>1.0</v>
      </c>
      <c r="E787" s="60">
        <v>16.0</v>
      </c>
      <c r="F787" s="35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>
      <c r="A788" s="34">
        <v>835.0</v>
      </c>
      <c r="B788" s="37">
        <v>2018.0</v>
      </c>
      <c r="C788" s="37">
        <v>8.0</v>
      </c>
      <c r="D788" s="60">
        <v>1.0</v>
      </c>
      <c r="E788" s="64">
        <v>17.0</v>
      </c>
      <c r="F788" s="35" t="s">
        <v>16</v>
      </c>
      <c r="G788" s="10" t="s">
        <v>178</v>
      </c>
      <c r="H788" s="10">
        <v>5.67</v>
      </c>
      <c r="I788" s="10">
        <v>8.87</v>
      </c>
      <c r="J788" s="10">
        <v>14.54</v>
      </c>
    </row>
    <row r="789">
      <c r="A789" s="34">
        <v>836.0</v>
      </c>
      <c r="B789" s="37">
        <v>2018.0</v>
      </c>
      <c r="C789" s="37">
        <v>8.0</v>
      </c>
      <c r="D789" s="60">
        <v>1.0</v>
      </c>
      <c r="E789" s="64">
        <v>18.0</v>
      </c>
      <c r="F789" s="35" t="s">
        <v>16</v>
      </c>
      <c r="G789" s="10" t="s">
        <v>176</v>
      </c>
      <c r="H789" s="10">
        <v>6.3</v>
      </c>
      <c r="I789" s="10">
        <v>8.03</v>
      </c>
      <c r="J789" s="10">
        <v>14.33</v>
      </c>
    </row>
    <row r="790">
      <c r="A790" s="34">
        <v>837.0</v>
      </c>
      <c r="B790" s="37">
        <v>2018.0</v>
      </c>
      <c r="C790" s="37">
        <v>8.0</v>
      </c>
      <c r="D790" s="60">
        <v>1.0</v>
      </c>
      <c r="E790" s="60">
        <v>19.0</v>
      </c>
      <c r="F790" s="35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>
      <c r="A791" s="34">
        <v>838.0</v>
      </c>
      <c r="B791" s="37">
        <v>2018.0</v>
      </c>
      <c r="C791" s="37">
        <v>8.0</v>
      </c>
      <c r="D791" s="60">
        <v>1.0</v>
      </c>
      <c r="E791" s="64">
        <v>20.0</v>
      </c>
      <c r="F791" s="35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>
      <c r="A792" s="34">
        <v>839.0</v>
      </c>
      <c r="B792" s="37">
        <v>2018.0</v>
      </c>
      <c r="C792" s="37">
        <v>8.0</v>
      </c>
      <c r="D792" s="60">
        <v>1.0</v>
      </c>
      <c r="E792" s="64">
        <v>21.0</v>
      </c>
      <c r="F792" s="35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>
      <c r="A793" s="34">
        <v>840.0</v>
      </c>
      <c r="B793" s="37">
        <v>2018.0</v>
      </c>
      <c r="C793" s="37">
        <v>8.0</v>
      </c>
      <c r="D793" s="60">
        <v>1.0</v>
      </c>
      <c r="E793" s="60">
        <v>22.0</v>
      </c>
      <c r="F793" s="35" t="s">
        <v>16</v>
      </c>
      <c r="G793" s="10" t="s">
        <v>177</v>
      </c>
      <c r="H793" s="10">
        <v>6.73</v>
      </c>
      <c r="I793" s="10">
        <v>7.37</v>
      </c>
      <c r="J793" s="10">
        <v>14.1</v>
      </c>
    </row>
    <row r="794">
      <c r="A794" s="34">
        <v>841.0</v>
      </c>
      <c r="B794" s="37">
        <v>2018.0</v>
      </c>
      <c r="C794" s="37">
        <v>8.0</v>
      </c>
      <c r="D794" s="60">
        <v>1.0</v>
      </c>
      <c r="E794" s="64">
        <v>23.0</v>
      </c>
      <c r="F794" s="35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>
      <c r="A795" s="34">
        <v>842.0</v>
      </c>
      <c r="B795" s="37">
        <v>2018.0</v>
      </c>
      <c r="C795" s="37">
        <v>8.0</v>
      </c>
      <c r="D795" s="60">
        <v>1.0</v>
      </c>
      <c r="E795" s="64">
        <v>24.0</v>
      </c>
      <c r="F795" s="35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>
      <c r="A796" s="34">
        <v>843.0</v>
      </c>
      <c r="B796" s="37">
        <v>2018.0</v>
      </c>
      <c r="C796" s="37">
        <v>8.0</v>
      </c>
      <c r="D796" s="60">
        <v>1.0</v>
      </c>
      <c r="E796" s="60">
        <v>25.0</v>
      </c>
      <c r="F796" s="35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>
      <c r="A797" s="34">
        <v>844.0</v>
      </c>
      <c r="B797" s="37">
        <v>2018.0</v>
      </c>
      <c r="C797" s="37">
        <v>8.0</v>
      </c>
      <c r="D797" s="60">
        <v>1.0</v>
      </c>
      <c r="E797" s="64">
        <v>26.0</v>
      </c>
      <c r="F797" s="35" t="s">
        <v>16</v>
      </c>
      <c r="G797" s="10" t="s">
        <v>179</v>
      </c>
      <c r="H797" s="10">
        <v>7.27</v>
      </c>
      <c r="I797" s="10">
        <v>5.83</v>
      </c>
      <c r="J797" s="10">
        <v>13.1</v>
      </c>
    </row>
    <row r="798">
      <c r="A798" s="34">
        <v>845.0</v>
      </c>
      <c r="B798" s="37">
        <v>2018.0</v>
      </c>
      <c r="C798" s="37">
        <v>8.0</v>
      </c>
      <c r="D798" s="60">
        <v>1.0</v>
      </c>
      <c r="E798" s="64">
        <v>27.0</v>
      </c>
      <c r="F798" s="35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>
      <c r="A799" s="34">
        <v>846.0</v>
      </c>
      <c r="B799" s="37">
        <v>2018.0</v>
      </c>
      <c r="C799" s="37">
        <v>8.0</v>
      </c>
      <c r="D799" s="60">
        <v>1.0</v>
      </c>
      <c r="E799" s="60">
        <v>28.0</v>
      </c>
      <c r="F799" s="35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>
      <c r="A800" s="34">
        <v>847.0</v>
      </c>
      <c r="B800" s="37">
        <v>2018.0</v>
      </c>
      <c r="C800" s="37">
        <v>8.0</v>
      </c>
      <c r="D800" s="60">
        <v>1.0</v>
      </c>
      <c r="E800" s="64">
        <v>29.0</v>
      </c>
      <c r="F800" s="35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>
      <c r="A801" s="34">
        <v>848.0</v>
      </c>
      <c r="B801" s="37">
        <v>2018.0</v>
      </c>
      <c r="C801" s="37">
        <v>8.0</v>
      </c>
      <c r="D801" s="60">
        <v>1.0</v>
      </c>
      <c r="E801" s="64">
        <v>30.0</v>
      </c>
      <c r="F801" s="35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>
      <c r="A802" s="34">
        <v>849.0</v>
      </c>
      <c r="B802" s="37">
        <v>2018.0</v>
      </c>
      <c r="C802" s="37">
        <v>8.0</v>
      </c>
      <c r="D802" s="60">
        <v>1.0</v>
      </c>
      <c r="E802" s="60">
        <v>31.0</v>
      </c>
      <c r="F802" s="35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>
      <c r="A803" s="34">
        <v>850.0</v>
      </c>
      <c r="B803" s="37">
        <v>2018.0</v>
      </c>
      <c r="C803" s="37">
        <v>8.0</v>
      </c>
      <c r="D803" s="60">
        <v>1.0</v>
      </c>
      <c r="E803" s="64">
        <v>32.0</v>
      </c>
      <c r="F803" s="35" t="s">
        <v>16</v>
      </c>
      <c r="G803" s="10" t="s">
        <v>142</v>
      </c>
      <c r="H803" s="10">
        <v>7.97</v>
      </c>
      <c r="I803" s="10">
        <v>4.2</v>
      </c>
      <c r="J803" s="10">
        <v>12.17</v>
      </c>
    </row>
    <row r="804">
      <c r="A804" s="34">
        <v>851.0</v>
      </c>
      <c r="B804" s="37">
        <v>2018.0</v>
      </c>
      <c r="C804" s="37">
        <v>8.0</v>
      </c>
      <c r="D804" s="60">
        <v>1.0</v>
      </c>
      <c r="E804" s="64">
        <v>33.0</v>
      </c>
      <c r="F804" s="35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>
      <c r="A805" s="34">
        <v>852.0</v>
      </c>
      <c r="B805" s="37">
        <v>2018.0</v>
      </c>
      <c r="C805" s="37">
        <v>8.0</v>
      </c>
      <c r="D805" s="60">
        <v>1.0</v>
      </c>
      <c r="E805" s="60">
        <v>34.0</v>
      </c>
      <c r="F805" s="35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>
      <c r="A806" s="34">
        <v>853.0</v>
      </c>
      <c r="B806" s="37">
        <v>2018.0</v>
      </c>
      <c r="C806" s="37">
        <v>8.0</v>
      </c>
      <c r="D806" s="60">
        <v>1.0</v>
      </c>
      <c r="E806" s="64">
        <v>35.0</v>
      </c>
      <c r="F806" s="35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>
      <c r="A807" s="34">
        <v>854.0</v>
      </c>
      <c r="B807" s="37">
        <v>2018.0</v>
      </c>
      <c r="C807" s="37">
        <v>8.0</v>
      </c>
      <c r="D807" s="60">
        <v>1.0</v>
      </c>
      <c r="E807" s="64">
        <v>36.0</v>
      </c>
      <c r="F807" s="35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>
      <c r="A808" s="34">
        <v>855.0</v>
      </c>
      <c r="B808" s="37">
        <v>2018.0</v>
      </c>
      <c r="C808" s="37">
        <v>8.0</v>
      </c>
      <c r="D808" s="60">
        <v>2.0</v>
      </c>
      <c r="E808" s="64">
        <v>1.0</v>
      </c>
      <c r="F808" s="35" t="s">
        <v>16</v>
      </c>
      <c r="G808" s="63" t="s">
        <v>30</v>
      </c>
      <c r="H808" s="10">
        <v>8.73</v>
      </c>
      <c r="I808" s="10">
        <v>9.13</v>
      </c>
      <c r="J808" s="10">
        <v>17.86</v>
      </c>
    </row>
    <row r="809">
      <c r="A809" s="34">
        <v>856.0</v>
      </c>
      <c r="B809" s="37">
        <v>2018.0</v>
      </c>
      <c r="C809" s="37">
        <v>8.0</v>
      </c>
      <c r="D809" s="60">
        <v>2.0</v>
      </c>
      <c r="E809" s="64">
        <v>2.0</v>
      </c>
      <c r="F809" s="35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>
      <c r="A810" s="34">
        <v>857.0</v>
      </c>
      <c r="B810" s="37">
        <v>2018.0</v>
      </c>
      <c r="C810" s="37">
        <v>8.0</v>
      </c>
      <c r="D810" s="60">
        <v>2.0</v>
      </c>
      <c r="E810" s="64">
        <v>3.0</v>
      </c>
      <c r="F810" s="35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>
      <c r="A811" s="34">
        <v>858.0</v>
      </c>
      <c r="B811" s="37">
        <v>2018.0</v>
      </c>
      <c r="C811" s="37">
        <v>8.0</v>
      </c>
      <c r="D811" s="60">
        <v>2.0</v>
      </c>
      <c r="E811" s="64">
        <v>4.0</v>
      </c>
      <c r="F811" s="35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>
      <c r="A812" s="34">
        <v>859.0</v>
      </c>
      <c r="B812" s="37">
        <v>2018.0</v>
      </c>
      <c r="C812" s="37">
        <v>8.0</v>
      </c>
      <c r="D812" s="60">
        <v>2.0</v>
      </c>
      <c r="E812" s="64">
        <v>5.0</v>
      </c>
      <c r="F812" s="35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>
      <c r="A813" s="34">
        <v>860.0</v>
      </c>
      <c r="B813" s="37">
        <v>2018.0</v>
      </c>
      <c r="C813" s="37">
        <v>8.0</v>
      </c>
      <c r="D813" s="60">
        <v>2.0</v>
      </c>
      <c r="E813" s="64">
        <v>6.0</v>
      </c>
      <c r="F813" s="35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>
      <c r="A814" s="34">
        <v>861.0</v>
      </c>
      <c r="B814" s="37">
        <v>2018.0</v>
      </c>
      <c r="C814" s="37">
        <v>8.0</v>
      </c>
      <c r="D814" s="60">
        <v>2.0</v>
      </c>
      <c r="E814" s="64">
        <v>7.0</v>
      </c>
      <c r="F814" s="35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>
      <c r="A815" s="34">
        <v>862.0</v>
      </c>
      <c r="B815" s="37">
        <v>2018.0</v>
      </c>
      <c r="C815" s="37">
        <v>8.0</v>
      </c>
      <c r="D815" s="60">
        <v>2.0</v>
      </c>
      <c r="E815" s="64">
        <v>8.0</v>
      </c>
      <c r="F815" s="35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>
      <c r="A816" s="34">
        <v>929.0</v>
      </c>
      <c r="B816" s="37">
        <v>2018.0</v>
      </c>
      <c r="C816" s="37">
        <v>9.0</v>
      </c>
      <c r="D816" s="60">
        <v>1.0</v>
      </c>
      <c r="E816" s="60">
        <v>1.0</v>
      </c>
      <c r="F816" s="35" t="s">
        <v>16</v>
      </c>
      <c r="G816" s="65" t="s">
        <v>28</v>
      </c>
      <c r="H816" s="10">
        <v>7.83</v>
      </c>
      <c r="I816" s="10">
        <v>6.03</v>
      </c>
      <c r="J816" s="10">
        <v>13.86</v>
      </c>
      <c r="L816" s="3">
        <f t="shared" ref="L816:L925" si="9">IF(G816="Jorgann Couzinet",J816,0)</f>
        <v>0</v>
      </c>
    </row>
    <row r="817">
      <c r="A817" s="34">
        <v>930.0</v>
      </c>
      <c r="B817" s="37">
        <v>2018.0</v>
      </c>
      <c r="C817" s="37">
        <v>9.0</v>
      </c>
      <c r="D817" s="60">
        <v>1.0</v>
      </c>
      <c r="E817" s="60">
        <v>1.0</v>
      </c>
      <c r="F817" s="35" t="s">
        <v>16</v>
      </c>
      <c r="G817" s="66" t="s">
        <v>69</v>
      </c>
      <c r="H817" s="10">
        <v>7.0</v>
      </c>
      <c r="I817" s="10">
        <v>6.33</v>
      </c>
      <c r="J817" s="10">
        <v>13.33</v>
      </c>
      <c r="L817" s="3">
        <f t="shared" si="9"/>
        <v>0</v>
      </c>
    </row>
    <row r="818">
      <c r="A818" s="34">
        <v>931.0</v>
      </c>
      <c r="B818" s="37">
        <v>2018.0</v>
      </c>
      <c r="C818" s="37">
        <v>9.0</v>
      </c>
      <c r="D818" s="60">
        <v>1.0</v>
      </c>
      <c r="E818" s="60">
        <v>1.0</v>
      </c>
      <c r="F818" s="35" t="s">
        <v>16</v>
      </c>
      <c r="G818" s="66" t="s">
        <v>34</v>
      </c>
      <c r="H818" s="10">
        <v>5.8</v>
      </c>
      <c r="I818" s="10">
        <v>5.27</v>
      </c>
      <c r="J818" s="10">
        <v>11.07</v>
      </c>
      <c r="L818" s="3">
        <f t="shared" si="9"/>
        <v>0</v>
      </c>
    </row>
    <row r="819">
      <c r="A819" s="34">
        <v>932.0</v>
      </c>
      <c r="B819" s="37">
        <v>2018.0</v>
      </c>
      <c r="C819" s="37">
        <v>9.0</v>
      </c>
      <c r="D819" s="60">
        <v>1.0</v>
      </c>
      <c r="E819" s="60">
        <v>2.0</v>
      </c>
      <c r="F819" s="35" t="s">
        <v>16</v>
      </c>
      <c r="G819" s="67" t="s">
        <v>38</v>
      </c>
      <c r="H819" s="10">
        <v>5.83</v>
      </c>
      <c r="I819" s="10">
        <v>4.87</v>
      </c>
      <c r="J819" s="10">
        <v>10.7</v>
      </c>
      <c r="L819" s="3">
        <f t="shared" si="9"/>
        <v>0</v>
      </c>
    </row>
    <row r="820">
      <c r="A820" s="34">
        <v>933.0</v>
      </c>
      <c r="B820" s="37">
        <v>2018.0</v>
      </c>
      <c r="C820" s="37">
        <v>9.0</v>
      </c>
      <c r="D820" s="60">
        <v>1.0</v>
      </c>
      <c r="E820" s="60">
        <v>2.0</v>
      </c>
      <c r="F820" s="35" t="s">
        <v>16</v>
      </c>
      <c r="G820" s="66" t="s">
        <v>57</v>
      </c>
      <c r="H820" s="10">
        <v>5.73</v>
      </c>
      <c r="I820" s="10">
        <v>4.83</v>
      </c>
      <c r="J820" s="10">
        <v>10.56</v>
      </c>
      <c r="L820" s="3">
        <f t="shared" si="9"/>
        <v>0</v>
      </c>
    </row>
    <row r="821">
      <c r="A821" s="34">
        <v>934.0</v>
      </c>
      <c r="B821" s="37">
        <v>2018.0</v>
      </c>
      <c r="C821" s="37">
        <v>9.0</v>
      </c>
      <c r="D821" s="60">
        <v>1.0</v>
      </c>
      <c r="E821" s="60">
        <v>2.0</v>
      </c>
      <c r="F821" s="35" t="s">
        <v>16</v>
      </c>
      <c r="G821" s="66" t="s">
        <v>65</v>
      </c>
      <c r="H821" s="10">
        <v>5.67</v>
      </c>
      <c r="I821" s="10">
        <v>3.83</v>
      </c>
      <c r="J821" s="10">
        <v>9.5</v>
      </c>
      <c r="L821" s="3">
        <f t="shared" si="9"/>
        <v>0</v>
      </c>
    </row>
    <row r="822">
      <c r="A822" s="34">
        <v>935.0</v>
      </c>
      <c r="B822" s="37">
        <v>2018.0</v>
      </c>
      <c r="C822" s="37">
        <v>9.0</v>
      </c>
      <c r="D822" s="60">
        <v>1.0</v>
      </c>
      <c r="E822" s="60">
        <v>3.0</v>
      </c>
      <c r="F822" s="35" t="s">
        <v>16</v>
      </c>
      <c r="G822" s="65" t="s">
        <v>17</v>
      </c>
      <c r="H822" s="10">
        <v>7.0</v>
      </c>
      <c r="I822" s="10">
        <v>6.4</v>
      </c>
      <c r="J822" s="10">
        <v>13.4</v>
      </c>
      <c r="L822" s="3">
        <f t="shared" si="9"/>
        <v>0</v>
      </c>
    </row>
    <row r="823">
      <c r="A823" s="34">
        <v>936.0</v>
      </c>
      <c r="B823" s="37">
        <v>2018.0</v>
      </c>
      <c r="C823" s="37">
        <v>9.0</v>
      </c>
      <c r="D823" s="60">
        <v>1.0</v>
      </c>
      <c r="E823" s="60">
        <v>3.0</v>
      </c>
      <c r="F823" s="35" t="s">
        <v>16</v>
      </c>
      <c r="G823" s="66" t="s">
        <v>25</v>
      </c>
      <c r="H823" s="10">
        <v>6.33</v>
      </c>
      <c r="I823" s="10">
        <v>4.37</v>
      </c>
      <c r="J823" s="10">
        <v>10.7</v>
      </c>
      <c r="L823" s="3">
        <f t="shared" si="9"/>
        <v>0</v>
      </c>
    </row>
    <row r="824">
      <c r="A824" s="34">
        <v>937.0</v>
      </c>
      <c r="B824" s="37">
        <v>2018.0</v>
      </c>
      <c r="C824" s="37">
        <v>9.0</v>
      </c>
      <c r="D824" s="60">
        <v>1.0</v>
      </c>
      <c r="E824" s="60">
        <v>3.0</v>
      </c>
      <c r="F824" s="35" t="s">
        <v>16</v>
      </c>
      <c r="G824" s="66" t="s">
        <v>169</v>
      </c>
      <c r="H824" s="10">
        <v>2.57</v>
      </c>
      <c r="I824" s="10">
        <v>2.0</v>
      </c>
      <c r="J824" s="10">
        <v>4.57</v>
      </c>
      <c r="L824" s="3">
        <f t="shared" si="9"/>
        <v>0</v>
      </c>
    </row>
    <row r="825">
      <c r="A825" s="34">
        <v>938.0</v>
      </c>
      <c r="B825" s="37">
        <v>2018.0</v>
      </c>
      <c r="C825" s="37">
        <v>9.0</v>
      </c>
      <c r="D825" s="60">
        <v>1.0</v>
      </c>
      <c r="E825" s="60">
        <v>4.0</v>
      </c>
      <c r="F825" s="35" t="s">
        <v>16</v>
      </c>
      <c r="G825" s="65" t="s">
        <v>31</v>
      </c>
      <c r="H825" s="10">
        <v>8.5</v>
      </c>
      <c r="I825" s="10">
        <v>5.17</v>
      </c>
      <c r="J825" s="10">
        <v>13.67</v>
      </c>
      <c r="L825" s="3">
        <f t="shared" si="9"/>
        <v>0</v>
      </c>
    </row>
    <row r="826">
      <c r="A826" s="34">
        <v>939.0</v>
      </c>
      <c r="B826" s="37">
        <v>2018.0</v>
      </c>
      <c r="C826" s="37">
        <v>9.0</v>
      </c>
      <c r="D826" s="60">
        <v>1.0</v>
      </c>
      <c r="E826" s="60">
        <v>4.0</v>
      </c>
      <c r="F826" s="35" t="s">
        <v>16</v>
      </c>
      <c r="G826" s="66" t="s">
        <v>64</v>
      </c>
      <c r="H826" s="10">
        <v>5.83</v>
      </c>
      <c r="I826" s="10">
        <v>4.63</v>
      </c>
      <c r="J826" s="10">
        <v>10.46</v>
      </c>
      <c r="L826" s="3">
        <f t="shared" si="9"/>
        <v>0</v>
      </c>
    </row>
    <row r="827">
      <c r="A827" s="34">
        <v>940.0</v>
      </c>
      <c r="B827" s="37">
        <v>2018.0</v>
      </c>
      <c r="C827" s="37">
        <v>9.0</v>
      </c>
      <c r="D827" s="60">
        <v>1.0</v>
      </c>
      <c r="E827" s="60">
        <v>4.0</v>
      </c>
      <c r="F827" s="35" t="s">
        <v>16</v>
      </c>
      <c r="G827" s="66" t="s">
        <v>54</v>
      </c>
      <c r="H827" s="10">
        <v>4.27</v>
      </c>
      <c r="I827" s="10">
        <v>3.47</v>
      </c>
      <c r="J827" s="10">
        <v>7.74</v>
      </c>
      <c r="L827" s="3">
        <f t="shared" si="9"/>
        <v>0</v>
      </c>
    </row>
    <row r="828">
      <c r="A828" s="34">
        <v>941.0</v>
      </c>
      <c r="B828" s="37">
        <v>2018.0</v>
      </c>
      <c r="C828" s="37">
        <v>9.0</v>
      </c>
      <c r="D828" s="60">
        <v>1.0</v>
      </c>
      <c r="E828" s="60">
        <v>5.0</v>
      </c>
      <c r="F828" s="35" t="s">
        <v>16</v>
      </c>
      <c r="G828" s="67" t="s">
        <v>30</v>
      </c>
      <c r="H828" s="10">
        <v>6.43</v>
      </c>
      <c r="I828" s="10">
        <v>5.5</v>
      </c>
      <c r="J828" s="10">
        <v>11.93</v>
      </c>
      <c r="L828" s="3">
        <f t="shared" si="9"/>
        <v>0</v>
      </c>
    </row>
    <row r="829">
      <c r="A829" s="34">
        <v>942.0</v>
      </c>
      <c r="B829" s="37">
        <v>2018.0</v>
      </c>
      <c r="C829" s="37">
        <v>9.0</v>
      </c>
      <c r="D829" s="60">
        <v>1.0</v>
      </c>
      <c r="E829" s="60">
        <v>5.0</v>
      </c>
      <c r="F829" s="35" t="s">
        <v>16</v>
      </c>
      <c r="G829" s="66" t="s">
        <v>111</v>
      </c>
      <c r="H829" s="10">
        <v>5.83</v>
      </c>
      <c r="I829" s="10">
        <v>5.43</v>
      </c>
      <c r="J829" s="10">
        <v>11.26</v>
      </c>
      <c r="L829" s="3">
        <f t="shared" si="9"/>
        <v>0</v>
      </c>
    </row>
    <row r="830">
      <c r="A830" s="34">
        <v>943.0</v>
      </c>
      <c r="B830" s="37">
        <v>2018.0</v>
      </c>
      <c r="C830" s="37">
        <v>9.0</v>
      </c>
      <c r="D830" s="60">
        <v>1.0</v>
      </c>
      <c r="E830" s="60">
        <v>5.0</v>
      </c>
      <c r="F830" s="35" t="s">
        <v>16</v>
      </c>
      <c r="G830" s="66" t="s">
        <v>18</v>
      </c>
      <c r="H830" s="10">
        <v>6.83</v>
      </c>
      <c r="I830" s="10">
        <v>3.5</v>
      </c>
      <c r="J830" s="10">
        <v>10.33</v>
      </c>
      <c r="L830" s="3">
        <f t="shared" si="9"/>
        <v>0</v>
      </c>
    </row>
    <row r="831">
      <c r="A831" s="34">
        <v>944.0</v>
      </c>
      <c r="B831" s="37">
        <v>2018.0</v>
      </c>
      <c r="C831" s="37">
        <v>9.0</v>
      </c>
      <c r="D831" s="60">
        <v>1.0</v>
      </c>
      <c r="E831" s="60">
        <v>6.0</v>
      </c>
      <c r="F831" s="35" t="s">
        <v>16</v>
      </c>
      <c r="G831" s="65" t="s">
        <v>61</v>
      </c>
      <c r="H831" s="10">
        <v>5.17</v>
      </c>
      <c r="I831" s="10">
        <v>5.0</v>
      </c>
      <c r="J831" s="10">
        <v>10.17</v>
      </c>
      <c r="L831" s="3">
        <f t="shared" si="9"/>
        <v>0</v>
      </c>
    </row>
    <row r="832">
      <c r="A832" s="34">
        <v>945.0</v>
      </c>
      <c r="B832" s="37">
        <v>2018.0</v>
      </c>
      <c r="C832" s="37">
        <v>9.0</v>
      </c>
      <c r="D832" s="60">
        <v>1.0</v>
      </c>
      <c r="E832" s="60">
        <v>6.0</v>
      </c>
      <c r="F832" s="35" t="s">
        <v>16</v>
      </c>
      <c r="G832" s="66" t="s">
        <v>33</v>
      </c>
      <c r="H832" s="10">
        <v>5.77</v>
      </c>
      <c r="I832" s="10">
        <v>3.33</v>
      </c>
      <c r="J832" s="10">
        <v>9.1</v>
      </c>
      <c r="L832" s="3">
        <f t="shared" si="9"/>
        <v>0</v>
      </c>
    </row>
    <row r="833">
      <c r="A833" s="34">
        <v>946.0</v>
      </c>
      <c r="B833" s="37">
        <v>2018.0</v>
      </c>
      <c r="C833" s="37">
        <v>9.0</v>
      </c>
      <c r="D833" s="60">
        <v>1.0</v>
      </c>
      <c r="E833" s="60">
        <v>6.0</v>
      </c>
      <c r="F833" s="35" t="s">
        <v>16</v>
      </c>
      <c r="G833" s="66" t="s">
        <v>192</v>
      </c>
      <c r="H833" s="10">
        <v>2.93</v>
      </c>
      <c r="I833" s="10">
        <v>1.07</v>
      </c>
      <c r="J833" s="10">
        <v>4.0</v>
      </c>
      <c r="L833" s="3">
        <f t="shared" si="9"/>
        <v>4</v>
      </c>
    </row>
    <row r="834">
      <c r="A834" s="34">
        <v>947.0</v>
      </c>
      <c r="B834" s="37">
        <v>2018.0</v>
      </c>
      <c r="C834" s="37">
        <v>9.0</v>
      </c>
      <c r="D834" s="60">
        <v>1.0</v>
      </c>
      <c r="E834" s="60">
        <v>7.0</v>
      </c>
      <c r="F834" s="35" t="s">
        <v>16</v>
      </c>
      <c r="G834" s="65" t="s">
        <v>42</v>
      </c>
      <c r="H834" s="10">
        <v>7.17</v>
      </c>
      <c r="I834" s="10">
        <v>6.33</v>
      </c>
      <c r="J834" s="10">
        <v>13.5</v>
      </c>
      <c r="L834" s="3">
        <f t="shared" si="9"/>
        <v>0</v>
      </c>
    </row>
    <row r="835">
      <c r="A835" s="34">
        <v>948.0</v>
      </c>
      <c r="B835" s="37">
        <v>2018.0</v>
      </c>
      <c r="C835" s="37">
        <v>9.0</v>
      </c>
      <c r="D835" s="60">
        <v>1.0</v>
      </c>
      <c r="E835" s="60">
        <v>7.0</v>
      </c>
      <c r="F835" s="35" t="s">
        <v>16</v>
      </c>
      <c r="G835" s="66" t="s">
        <v>55</v>
      </c>
      <c r="H835" s="10">
        <v>5.5</v>
      </c>
      <c r="I835" s="10">
        <v>3.0</v>
      </c>
      <c r="J835" s="10">
        <v>8.5</v>
      </c>
      <c r="L835" s="3">
        <f t="shared" si="9"/>
        <v>0</v>
      </c>
    </row>
    <row r="836">
      <c r="A836" s="34">
        <v>949.0</v>
      </c>
      <c r="B836" s="37">
        <v>2018.0</v>
      </c>
      <c r="C836" s="37">
        <v>9.0</v>
      </c>
      <c r="D836" s="60">
        <v>1.0</v>
      </c>
      <c r="E836" s="60">
        <v>7.0</v>
      </c>
      <c r="F836" s="35" t="s">
        <v>16</v>
      </c>
      <c r="G836" s="66" t="s">
        <v>43</v>
      </c>
      <c r="H836" s="10">
        <v>4.5</v>
      </c>
      <c r="I836" s="10">
        <v>3.5</v>
      </c>
      <c r="J836" s="10">
        <v>8.0</v>
      </c>
      <c r="L836" s="3">
        <f t="shared" si="9"/>
        <v>0</v>
      </c>
    </row>
    <row r="837">
      <c r="A837" s="34">
        <v>950.0</v>
      </c>
      <c r="B837" s="37">
        <v>2018.0</v>
      </c>
      <c r="C837" s="37">
        <v>9.0</v>
      </c>
      <c r="D837" s="60">
        <v>1.0</v>
      </c>
      <c r="E837" s="60">
        <v>8.0</v>
      </c>
      <c r="F837" s="35" t="s">
        <v>16</v>
      </c>
      <c r="G837" s="65" t="s">
        <v>47</v>
      </c>
      <c r="H837" s="10">
        <v>7.1</v>
      </c>
      <c r="I837" s="10">
        <v>6.33</v>
      </c>
      <c r="J837" s="10">
        <v>13.43</v>
      </c>
      <c r="L837" s="3">
        <f t="shared" si="9"/>
        <v>0</v>
      </c>
    </row>
    <row r="838">
      <c r="A838" s="34">
        <v>951.0</v>
      </c>
      <c r="B838" s="37">
        <v>2018.0</v>
      </c>
      <c r="C838" s="37">
        <v>9.0</v>
      </c>
      <c r="D838" s="60">
        <v>1.0</v>
      </c>
      <c r="E838" s="60">
        <v>8.0</v>
      </c>
      <c r="F838" s="35" t="s">
        <v>16</v>
      </c>
      <c r="G838" s="66" t="s">
        <v>67</v>
      </c>
      <c r="H838" s="10">
        <v>6.9</v>
      </c>
      <c r="I838" s="10">
        <v>6.33</v>
      </c>
      <c r="J838" s="10">
        <v>13.23</v>
      </c>
      <c r="L838" s="3">
        <f t="shared" si="9"/>
        <v>0</v>
      </c>
    </row>
    <row r="839">
      <c r="A839" s="34">
        <v>952.0</v>
      </c>
      <c r="B839" s="37">
        <v>2018.0</v>
      </c>
      <c r="C839" s="37">
        <v>9.0</v>
      </c>
      <c r="D839" s="60">
        <v>1.0</v>
      </c>
      <c r="E839" s="60">
        <v>8.0</v>
      </c>
      <c r="F839" s="35" t="s">
        <v>16</v>
      </c>
      <c r="G839" s="66" t="s">
        <v>32</v>
      </c>
      <c r="H839" s="10">
        <v>5.17</v>
      </c>
      <c r="I839" s="10">
        <v>4.8</v>
      </c>
      <c r="J839" s="10">
        <v>9.97</v>
      </c>
      <c r="L839" s="3">
        <f t="shared" si="9"/>
        <v>0</v>
      </c>
    </row>
    <row r="840">
      <c r="A840" s="34">
        <v>953.0</v>
      </c>
      <c r="B840" s="37">
        <v>2018.0</v>
      </c>
      <c r="C840" s="37">
        <v>9.0</v>
      </c>
      <c r="D840" s="60">
        <v>1.0</v>
      </c>
      <c r="E840" s="60">
        <v>9.0</v>
      </c>
      <c r="F840" s="35" t="s">
        <v>16</v>
      </c>
      <c r="G840" s="65" t="s">
        <v>177</v>
      </c>
      <c r="H840" s="10">
        <v>7.83</v>
      </c>
      <c r="I840" s="10">
        <v>6.07</v>
      </c>
      <c r="J840" s="10">
        <v>13.9</v>
      </c>
      <c r="L840" s="3">
        <f t="shared" si="9"/>
        <v>0</v>
      </c>
    </row>
    <row r="841">
      <c r="A841" s="34">
        <v>954.0</v>
      </c>
      <c r="B841" s="37">
        <v>2018.0</v>
      </c>
      <c r="C841" s="37">
        <v>9.0</v>
      </c>
      <c r="D841" s="60">
        <v>1.0</v>
      </c>
      <c r="E841" s="60">
        <v>9.0</v>
      </c>
      <c r="F841" s="35" t="s">
        <v>16</v>
      </c>
      <c r="G841" s="66" t="s">
        <v>53</v>
      </c>
      <c r="H841" s="10">
        <v>6.17</v>
      </c>
      <c r="I841" s="10">
        <v>0.5</v>
      </c>
      <c r="J841" s="10">
        <v>6.67</v>
      </c>
      <c r="L841" s="3">
        <f t="shared" si="9"/>
        <v>0</v>
      </c>
    </row>
    <row r="842">
      <c r="A842" s="34">
        <v>955.0</v>
      </c>
      <c r="B842" s="37">
        <v>2018.0</v>
      </c>
      <c r="C842" s="37">
        <v>9.0</v>
      </c>
      <c r="D842" s="60">
        <v>1.0</v>
      </c>
      <c r="E842" s="60">
        <v>9.0</v>
      </c>
      <c r="F842" s="35" t="s">
        <v>16</v>
      </c>
      <c r="G842" s="66" t="s">
        <v>176</v>
      </c>
      <c r="H842" s="10">
        <v>1.0</v>
      </c>
      <c r="I842" s="10">
        <v>0.5</v>
      </c>
      <c r="J842" s="10">
        <v>1.5</v>
      </c>
      <c r="L842" s="3">
        <f t="shared" si="9"/>
        <v>0</v>
      </c>
    </row>
    <row r="843">
      <c r="A843" s="34">
        <v>956.0</v>
      </c>
      <c r="B843" s="37">
        <v>2018.0</v>
      </c>
      <c r="C843" s="37">
        <v>9.0</v>
      </c>
      <c r="D843" s="60">
        <v>1.0</v>
      </c>
      <c r="E843" s="60">
        <v>10.0</v>
      </c>
      <c r="F843" s="35" t="s">
        <v>16</v>
      </c>
      <c r="G843" s="65" t="s">
        <v>178</v>
      </c>
      <c r="H843" s="10">
        <v>7.57</v>
      </c>
      <c r="I843" s="10">
        <v>6.67</v>
      </c>
      <c r="J843" s="10">
        <v>14.24</v>
      </c>
      <c r="L843" s="3">
        <f t="shared" si="9"/>
        <v>0</v>
      </c>
    </row>
    <row r="844">
      <c r="A844" s="34">
        <v>957.0</v>
      </c>
      <c r="B844" s="37">
        <v>2018.0</v>
      </c>
      <c r="C844" s="37">
        <v>9.0</v>
      </c>
      <c r="D844" s="60">
        <v>1.0</v>
      </c>
      <c r="E844" s="60">
        <v>10.0</v>
      </c>
      <c r="F844" s="35" t="s">
        <v>16</v>
      </c>
      <c r="G844" s="66" t="s">
        <v>27</v>
      </c>
      <c r="H844" s="10">
        <v>6.57</v>
      </c>
      <c r="I844" s="10">
        <v>5.33</v>
      </c>
      <c r="J844" s="10">
        <v>11.9</v>
      </c>
      <c r="L844" s="3">
        <f t="shared" si="9"/>
        <v>0</v>
      </c>
    </row>
    <row r="845">
      <c r="A845" s="34">
        <v>958.0</v>
      </c>
      <c r="B845" s="37">
        <v>2018.0</v>
      </c>
      <c r="C845" s="37">
        <v>9.0</v>
      </c>
      <c r="D845" s="60">
        <v>1.0</v>
      </c>
      <c r="E845" s="60">
        <v>10.0</v>
      </c>
      <c r="F845" s="35" t="s">
        <v>16</v>
      </c>
      <c r="G845" s="66" t="s">
        <v>142</v>
      </c>
      <c r="H845" s="10">
        <v>5.73</v>
      </c>
      <c r="I845" s="10">
        <v>5.1</v>
      </c>
      <c r="J845" s="10">
        <v>10.83</v>
      </c>
      <c r="L845" s="3">
        <f t="shared" si="9"/>
        <v>0</v>
      </c>
    </row>
    <row r="846">
      <c r="A846" s="34">
        <v>959.0</v>
      </c>
      <c r="B846" s="37">
        <v>2018.0</v>
      </c>
      <c r="C846" s="37">
        <v>9.0</v>
      </c>
      <c r="D846" s="60">
        <v>1.0</v>
      </c>
      <c r="E846" s="60">
        <v>11.0</v>
      </c>
      <c r="F846" s="35" t="s">
        <v>16</v>
      </c>
      <c r="G846" s="65" t="s">
        <v>46</v>
      </c>
      <c r="H846" s="10">
        <v>7.8</v>
      </c>
      <c r="I846" s="10">
        <v>7.5</v>
      </c>
      <c r="J846" s="10">
        <v>15.3</v>
      </c>
      <c r="L846" s="3">
        <f t="shared" si="9"/>
        <v>0</v>
      </c>
    </row>
    <row r="847">
      <c r="A847" s="34">
        <v>960.0</v>
      </c>
      <c r="B847" s="37">
        <v>2018.0</v>
      </c>
      <c r="C847" s="37">
        <v>9.0</v>
      </c>
      <c r="D847" s="60">
        <v>1.0</v>
      </c>
      <c r="E847" s="60">
        <v>11.0</v>
      </c>
      <c r="F847" s="35" t="s">
        <v>16</v>
      </c>
      <c r="G847" s="66" t="s">
        <v>52</v>
      </c>
      <c r="H847" s="10">
        <v>7.4</v>
      </c>
      <c r="I847" s="10">
        <v>6.33</v>
      </c>
      <c r="J847" s="10">
        <v>13.73</v>
      </c>
      <c r="L847" s="3">
        <f t="shared" si="9"/>
        <v>0</v>
      </c>
    </row>
    <row r="848">
      <c r="A848" s="34">
        <v>961.0</v>
      </c>
      <c r="B848" s="37">
        <v>2018.0</v>
      </c>
      <c r="C848" s="37">
        <v>9.0</v>
      </c>
      <c r="D848" s="60">
        <v>1.0</v>
      </c>
      <c r="E848" s="60">
        <v>11.0</v>
      </c>
      <c r="F848" s="35" t="s">
        <v>16</v>
      </c>
      <c r="G848" s="66" t="s">
        <v>110</v>
      </c>
      <c r="H848" s="10">
        <v>6.27</v>
      </c>
      <c r="I848" s="10">
        <v>4.5</v>
      </c>
      <c r="J848" s="10">
        <v>10.77</v>
      </c>
      <c r="L848" s="3">
        <f t="shared" si="9"/>
        <v>0</v>
      </c>
    </row>
    <row r="849">
      <c r="A849" s="34">
        <v>962.0</v>
      </c>
      <c r="B849" s="37">
        <v>2018.0</v>
      </c>
      <c r="C849" s="37">
        <v>9.0</v>
      </c>
      <c r="D849" s="60">
        <v>1.0</v>
      </c>
      <c r="E849" s="60">
        <v>12.0</v>
      </c>
      <c r="F849" s="35" t="s">
        <v>16</v>
      </c>
      <c r="G849" s="65" t="s">
        <v>39</v>
      </c>
      <c r="H849" s="10">
        <v>5.6</v>
      </c>
      <c r="I849" s="10">
        <v>5.33</v>
      </c>
      <c r="J849" s="10">
        <v>10.93</v>
      </c>
      <c r="L849" s="3">
        <f t="shared" si="9"/>
        <v>0</v>
      </c>
    </row>
    <row r="850">
      <c r="A850" s="34">
        <v>963.0</v>
      </c>
      <c r="B850" s="37">
        <v>2018.0</v>
      </c>
      <c r="C850" s="37">
        <v>9.0</v>
      </c>
      <c r="D850" s="60">
        <v>1.0</v>
      </c>
      <c r="E850" s="60">
        <v>12.0</v>
      </c>
      <c r="F850" s="35" t="s">
        <v>16</v>
      </c>
      <c r="G850" s="66" t="s">
        <v>179</v>
      </c>
      <c r="H850" s="10">
        <v>5.67</v>
      </c>
      <c r="I850" s="10">
        <v>3.0</v>
      </c>
      <c r="J850" s="10">
        <v>8.67</v>
      </c>
      <c r="L850" s="3">
        <f t="shared" si="9"/>
        <v>0</v>
      </c>
    </row>
    <row r="851">
      <c r="A851" s="34">
        <v>964.0</v>
      </c>
      <c r="B851" s="37">
        <v>2018.0</v>
      </c>
      <c r="C851" s="37">
        <v>9.0</v>
      </c>
      <c r="D851" s="60">
        <v>1.0</v>
      </c>
      <c r="E851" s="60">
        <v>12.0</v>
      </c>
      <c r="F851" s="35" t="s">
        <v>16</v>
      </c>
      <c r="G851" s="66" t="s">
        <v>50</v>
      </c>
      <c r="H851" s="10">
        <v>3.13</v>
      </c>
      <c r="I851" s="10">
        <v>2.77</v>
      </c>
      <c r="J851" s="10">
        <v>5.9</v>
      </c>
      <c r="L851" s="3">
        <f t="shared" si="9"/>
        <v>0</v>
      </c>
    </row>
    <row r="852">
      <c r="A852" s="34">
        <v>965.0</v>
      </c>
      <c r="B852" s="37">
        <v>2018.0</v>
      </c>
      <c r="C852" s="37">
        <v>9.0</v>
      </c>
      <c r="D852" s="60">
        <v>2.0</v>
      </c>
      <c r="E852" s="60">
        <v>1.0</v>
      </c>
      <c r="F852" s="35" t="s">
        <v>16</v>
      </c>
      <c r="G852" s="65" t="s">
        <v>33</v>
      </c>
      <c r="H852" s="10">
        <v>8.17</v>
      </c>
      <c r="I852" s="10">
        <v>7.67</v>
      </c>
      <c r="J852" s="10">
        <v>15.84</v>
      </c>
      <c r="L852" s="3">
        <f t="shared" si="9"/>
        <v>0</v>
      </c>
    </row>
    <row r="853">
      <c r="A853" s="34">
        <v>966.0</v>
      </c>
      <c r="B853" s="37">
        <v>2018.0</v>
      </c>
      <c r="C853" s="37">
        <v>9.0</v>
      </c>
      <c r="D853" s="60">
        <v>2.0</v>
      </c>
      <c r="E853" s="60">
        <v>1.0</v>
      </c>
      <c r="F853" s="35" t="s">
        <v>16</v>
      </c>
      <c r="G853" s="66" t="s">
        <v>192</v>
      </c>
      <c r="H853" s="10">
        <v>4.77</v>
      </c>
      <c r="I853" s="10">
        <v>3.0</v>
      </c>
      <c r="J853" s="10">
        <v>7.77</v>
      </c>
      <c r="L853" s="3">
        <f t="shared" si="9"/>
        <v>7.77</v>
      </c>
    </row>
    <row r="854">
      <c r="A854" s="34">
        <v>967.0</v>
      </c>
      <c r="B854" s="37">
        <v>2018.0</v>
      </c>
      <c r="C854" s="37">
        <v>9.0</v>
      </c>
      <c r="D854" s="60">
        <v>2.0</v>
      </c>
      <c r="E854" s="60">
        <v>2.0</v>
      </c>
      <c r="F854" s="35" t="s">
        <v>16</v>
      </c>
      <c r="G854" s="65" t="s">
        <v>18</v>
      </c>
      <c r="H854" s="10">
        <v>8.17</v>
      </c>
      <c r="I854" s="10">
        <v>7.93</v>
      </c>
      <c r="J854" s="10">
        <v>16.1</v>
      </c>
      <c r="L854" s="3">
        <f t="shared" si="9"/>
        <v>0</v>
      </c>
    </row>
    <row r="855">
      <c r="A855" s="34">
        <v>968.0</v>
      </c>
      <c r="B855" s="37">
        <v>2018.0</v>
      </c>
      <c r="C855" s="37">
        <v>9.0</v>
      </c>
      <c r="D855" s="60">
        <v>2.0</v>
      </c>
      <c r="E855" s="60">
        <v>2.0</v>
      </c>
      <c r="F855" s="35" t="s">
        <v>16</v>
      </c>
      <c r="G855" s="66" t="s">
        <v>57</v>
      </c>
      <c r="H855" s="10">
        <v>6.17</v>
      </c>
      <c r="I855" s="10">
        <v>6.0</v>
      </c>
      <c r="J855" s="10">
        <v>12.17</v>
      </c>
      <c r="L855" s="3">
        <f t="shared" si="9"/>
        <v>0</v>
      </c>
    </row>
    <row r="856">
      <c r="A856" s="34">
        <v>969.0</v>
      </c>
      <c r="B856" s="37">
        <v>2018.0</v>
      </c>
      <c r="C856" s="37">
        <v>9.0</v>
      </c>
      <c r="D856" s="60">
        <v>2.0</v>
      </c>
      <c r="E856" s="60">
        <v>3.0</v>
      </c>
      <c r="F856" s="35" t="s">
        <v>16</v>
      </c>
      <c r="G856" s="65" t="s">
        <v>54</v>
      </c>
      <c r="H856" s="10">
        <v>5.67</v>
      </c>
      <c r="I856" s="10">
        <v>4.33</v>
      </c>
      <c r="J856" s="10">
        <v>10.0</v>
      </c>
      <c r="L856" s="3">
        <f t="shared" si="9"/>
        <v>0</v>
      </c>
    </row>
    <row r="857">
      <c r="A857" s="34">
        <v>970.0</v>
      </c>
      <c r="B857" s="37">
        <v>2018.0</v>
      </c>
      <c r="C857" s="37">
        <v>9.0</v>
      </c>
      <c r="D857" s="60">
        <v>2.0</v>
      </c>
      <c r="E857" s="60">
        <v>3.0</v>
      </c>
      <c r="F857" s="35" t="s">
        <v>16</v>
      </c>
      <c r="G857" s="66" t="s">
        <v>43</v>
      </c>
      <c r="H857" s="10">
        <v>3.83</v>
      </c>
      <c r="I857" s="10">
        <v>3.0</v>
      </c>
      <c r="J857" s="10">
        <v>6.83</v>
      </c>
      <c r="L857" s="3">
        <f t="shared" si="9"/>
        <v>0</v>
      </c>
    </row>
    <row r="858">
      <c r="A858" s="34">
        <v>971.0</v>
      </c>
      <c r="B858" s="37">
        <v>2018.0</v>
      </c>
      <c r="C858" s="37">
        <v>9.0</v>
      </c>
      <c r="D858" s="60">
        <v>2.0</v>
      </c>
      <c r="E858" s="60">
        <v>4.0</v>
      </c>
      <c r="F858" s="35" t="s">
        <v>16</v>
      </c>
      <c r="G858" s="65" t="s">
        <v>32</v>
      </c>
      <c r="H858" s="10">
        <v>6.57</v>
      </c>
      <c r="I858" s="10">
        <v>6.5</v>
      </c>
      <c r="J858" s="10">
        <v>13.07</v>
      </c>
      <c r="L858" s="3">
        <f t="shared" si="9"/>
        <v>0</v>
      </c>
    </row>
    <row r="859">
      <c r="A859" s="34">
        <v>972.0</v>
      </c>
      <c r="B859" s="37">
        <v>2018.0</v>
      </c>
      <c r="C859" s="37">
        <v>9.0</v>
      </c>
      <c r="D859" s="60">
        <v>2.0</v>
      </c>
      <c r="E859" s="60">
        <v>4.0</v>
      </c>
      <c r="F859" s="35" t="s">
        <v>16</v>
      </c>
      <c r="G859" s="66" t="s">
        <v>25</v>
      </c>
      <c r="H859" s="10">
        <v>6.23</v>
      </c>
      <c r="I859" s="10">
        <v>4.9</v>
      </c>
      <c r="J859" s="10">
        <v>11.13</v>
      </c>
      <c r="L859" s="3">
        <f t="shared" si="9"/>
        <v>0</v>
      </c>
    </row>
    <row r="860">
      <c r="A860" s="34">
        <v>973.0</v>
      </c>
      <c r="B860" s="37">
        <v>2018.0</v>
      </c>
      <c r="C860" s="37">
        <v>9.0</v>
      </c>
      <c r="D860" s="60">
        <v>2.0</v>
      </c>
      <c r="E860" s="60">
        <v>5.0</v>
      </c>
      <c r="F860" s="35" t="s">
        <v>16</v>
      </c>
      <c r="G860" s="65" t="s">
        <v>65</v>
      </c>
      <c r="H860" s="10">
        <v>5.77</v>
      </c>
      <c r="I860" s="10">
        <v>5.67</v>
      </c>
      <c r="J860" s="10">
        <v>11.44</v>
      </c>
      <c r="L860" s="3">
        <f t="shared" si="9"/>
        <v>0</v>
      </c>
    </row>
    <row r="861">
      <c r="A861" s="34">
        <v>974.0</v>
      </c>
      <c r="B861" s="37">
        <v>2018.0</v>
      </c>
      <c r="C861" s="37">
        <v>9.0</v>
      </c>
      <c r="D861" s="60">
        <v>2.0</v>
      </c>
      <c r="E861" s="60">
        <v>5.0</v>
      </c>
      <c r="F861" s="35" t="s">
        <v>16</v>
      </c>
      <c r="G861" s="66" t="s">
        <v>53</v>
      </c>
      <c r="H861" s="10">
        <v>5.33</v>
      </c>
      <c r="I861" s="10">
        <v>5.23</v>
      </c>
      <c r="J861" s="10">
        <v>10.56</v>
      </c>
      <c r="L861" s="3">
        <f t="shared" si="9"/>
        <v>0</v>
      </c>
    </row>
    <row r="862">
      <c r="A862" s="34">
        <v>975.0</v>
      </c>
      <c r="B862" s="37">
        <v>2018.0</v>
      </c>
      <c r="C862" s="37">
        <v>9.0</v>
      </c>
      <c r="D862" s="60">
        <v>2.0</v>
      </c>
      <c r="E862" s="60">
        <v>6.0</v>
      </c>
      <c r="F862" s="35" t="s">
        <v>16</v>
      </c>
      <c r="G862" s="65" t="s">
        <v>34</v>
      </c>
      <c r="H862" s="10">
        <v>6.0</v>
      </c>
      <c r="I862" s="10">
        <v>5.5</v>
      </c>
      <c r="J862" s="10">
        <v>11.5</v>
      </c>
      <c r="L862" s="3">
        <f t="shared" si="9"/>
        <v>0</v>
      </c>
    </row>
    <row r="863">
      <c r="A863" s="34">
        <v>976.0</v>
      </c>
      <c r="B863" s="37">
        <v>2018.0</v>
      </c>
      <c r="C863" s="37">
        <v>9.0</v>
      </c>
      <c r="D863" s="60">
        <v>2.0</v>
      </c>
      <c r="E863" s="60">
        <v>6.0</v>
      </c>
      <c r="F863" s="35" t="s">
        <v>16</v>
      </c>
      <c r="G863" s="66" t="s">
        <v>27</v>
      </c>
      <c r="H863" s="10">
        <v>4.67</v>
      </c>
      <c r="I863" s="10">
        <v>4.33</v>
      </c>
      <c r="J863" s="10">
        <v>9.0</v>
      </c>
      <c r="L863" s="3">
        <f t="shared" si="9"/>
        <v>0</v>
      </c>
    </row>
    <row r="864">
      <c r="A864" s="34">
        <v>977.0</v>
      </c>
      <c r="B864" s="37">
        <v>2018.0</v>
      </c>
      <c r="C864" s="37">
        <v>9.0</v>
      </c>
      <c r="D864" s="60">
        <v>2.0</v>
      </c>
      <c r="E864" s="60">
        <v>7.0</v>
      </c>
      <c r="F864" s="35" t="s">
        <v>16</v>
      </c>
      <c r="G864" s="65" t="s">
        <v>179</v>
      </c>
      <c r="H864" s="10">
        <v>6.77</v>
      </c>
      <c r="I864" s="10">
        <v>6.67</v>
      </c>
      <c r="J864" s="10">
        <v>13.44</v>
      </c>
      <c r="L864" s="3">
        <f t="shared" si="9"/>
        <v>0</v>
      </c>
    </row>
    <row r="865">
      <c r="A865" s="34">
        <v>978.0</v>
      </c>
      <c r="B865" s="37">
        <v>2018.0</v>
      </c>
      <c r="C865" s="37">
        <v>9.0</v>
      </c>
      <c r="D865" s="60">
        <v>2.0</v>
      </c>
      <c r="E865" s="60">
        <v>7.0</v>
      </c>
      <c r="F865" s="35" t="s">
        <v>16</v>
      </c>
      <c r="G865" s="66" t="s">
        <v>55</v>
      </c>
      <c r="H865" s="10">
        <v>2.6</v>
      </c>
      <c r="I865" s="10">
        <v>1.0</v>
      </c>
      <c r="J865" s="10">
        <v>3.6</v>
      </c>
      <c r="L865" s="3">
        <f t="shared" si="9"/>
        <v>0</v>
      </c>
    </row>
    <row r="866">
      <c r="A866" s="34">
        <v>979.0</v>
      </c>
      <c r="B866" s="37">
        <v>2018.0</v>
      </c>
      <c r="C866" s="37">
        <v>9.0</v>
      </c>
      <c r="D866" s="60">
        <v>2.0</v>
      </c>
      <c r="E866" s="60">
        <v>8.0</v>
      </c>
      <c r="F866" s="35" t="s">
        <v>16</v>
      </c>
      <c r="G866" s="65" t="s">
        <v>67</v>
      </c>
      <c r="H866" s="10">
        <v>7.33</v>
      </c>
      <c r="I866" s="10">
        <v>5.03</v>
      </c>
      <c r="J866" s="10">
        <v>12.36</v>
      </c>
      <c r="L866" s="3">
        <f t="shared" si="9"/>
        <v>0</v>
      </c>
    </row>
    <row r="867">
      <c r="A867" s="34">
        <v>980.0</v>
      </c>
      <c r="B867" s="37">
        <v>2018.0</v>
      </c>
      <c r="C867" s="37">
        <v>9.0</v>
      </c>
      <c r="D867" s="60">
        <v>2.0</v>
      </c>
      <c r="E867" s="60">
        <v>8.0</v>
      </c>
      <c r="F867" s="35" t="s">
        <v>16</v>
      </c>
      <c r="G867" s="66" t="s">
        <v>50</v>
      </c>
      <c r="H867" s="10">
        <v>5.17</v>
      </c>
      <c r="I867" s="10">
        <v>4.33</v>
      </c>
      <c r="J867" s="10">
        <v>9.5</v>
      </c>
      <c r="L867" s="3">
        <f t="shared" si="9"/>
        <v>0</v>
      </c>
    </row>
    <row r="868">
      <c r="A868" s="34">
        <v>981.0</v>
      </c>
      <c r="B868" s="37">
        <v>2018.0</v>
      </c>
      <c r="C868" s="37">
        <v>9.0</v>
      </c>
      <c r="D868" s="60">
        <v>2.0</v>
      </c>
      <c r="E868" s="60">
        <v>9.0</v>
      </c>
      <c r="F868" s="35" t="s">
        <v>16</v>
      </c>
      <c r="G868" s="65" t="s">
        <v>52</v>
      </c>
      <c r="H868" s="10">
        <v>7.93</v>
      </c>
      <c r="I868" s="10">
        <v>6.07</v>
      </c>
      <c r="J868" s="10">
        <v>14.0</v>
      </c>
      <c r="L868" s="3">
        <f t="shared" si="9"/>
        <v>0</v>
      </c>
    </row>
    <row r="869">
      <c r="A869" s="34">
        <v>982.0</v>
      </c>
      <c r="B869" s="37">
        <v>2018.0</v>
      </c>
      <c r="C869" s="37">
        <v>9.0</v>
      </c>
      <c r="D869" s="60">
        <v>2.0</v>
      </c>
      <c r="E869" s="60">
        <v>9.0</v>
      </c>
      <c r="F869" s="35" t="s">
        <v>16</v>
      </c>
      <c r="G869" s="66" t="s">
        <v>142</v>
      </c>
      <c r="H869" s="10">
        <v>5.93</v>
      </c>
      <c r="I869" s="10">
        <v>5.5</v>
      </c>
      <c r="J869" s="10">
        <v>11.43</v>
      </c>
      <c r="L869" s="3">
        <f t="shared" si="9"/>
        <v>0</v>
      </c>
    </row>
    <row r="870">
      <c r="A870" s="34">
        <v>983.0</v>
      </c>
      <c r="B870" s="37">
        <v>2018.0</v>
      </c>
      <c r="C870" s="37">
        <v>9.0</v>
      </c>
      <c r="D870" s="60">
        <v>2.0</v>
      </c>
      <c r="E870" s="60">
        <v>10.0</v>
      </c>
      <c r="F870" s="35" t="s">
        <v>16</v>
      </c>
      <c r="G870" s="65" t="s">
        <v>176</v>
      </c>
      <c r="H870" s="10">
        <v>7.27</v>
      </c>
      <c r="I870" s="10">
        <v>6.83</v>
      </c>
      <c r="J870" s="10">
        <v>14.1</v>
      </c>
      <c r="L870" s="3">
        <f t="shared" si="9"/>
        <v>0</v>
      </c>
    </row>
    <row r="871">
      <c r="A871" s="34">
        <v>984.0</v>
      </c>
      <c r="B871" s="37">
        <v>2018.0</v>
      </c>
      <c r="C871" s="37">
        <v>9.0</v>
      </c>
      <c r="D871" s="60">
        <v>2.0</v>
      </c>
      <c r="E871" s="60">
        <v>10.0</v>
      </c>
      <c r="F871" s="35" t="s">
        <v>16</v>
      </c>
      <c r="G871" s="66" t="s">
        <v>110</v>
      </c>
      <c r="H871" s="10">
        <v>6.83</v>
      </c>
      <c r="I871" s="10">
        <v>6.1</v>
      </c>
      <c r="J871" s="10">
        <v>12.93</v>
      </c>
      <c r="L871" s="3">
        <f t="shared" si="9"/>
        <v>0</v>
      </c>
    </row>
    <row r="872">
      <c r="A872" s="34">
        <v>985.0</v>
      </c>
      <c r="B872" s="37">
        <v>2018.0</v>
      </c>
      <c r="C872" s="37">
        <v>9.0</v>
      </c>
      <c r="D872" s="60">
        <v>2.0</v>
      </c>
      <c r="E872" s="60">
        <v>11.0</v>
      </c>
      <c r="F872" s="35" t="s">
        <v>16</v>
      </c>
      <c r="G872" s="65" t="s">
        <v>69</v>
      </c>
      <c r="H872" s="10">
        <v>7.93</v>
      </c>
      <c r="I872" s="10">
        <v>6.0</v>
      </c>
      <c r="J872" s="10">
        <v>13.93</v>
      </c>
      <c r="L872" s="3">
        <f t="shared" si="9"/>
        <v>0</v>
      </c>
    </row>
    <row r="873">
      <c r="A873" s="34">
        <v>986.0</v>
      </c>
      <c r="B873" s="37">
        <v>2018.0</v>
      </c>
      <c r="C873" s="37">
        <v>9.0</v>
      </c>
      <c r="D873" s="60">
        <v>2.0</v>
      </c>
      <c r="E873" s="60">
        <v>11.0</v>
      </c>
      <c r="F873" s="35" t="s">
        <v>16</v>
      </c>
      <c r="G873" s="66" t="s">
        <v>111</v>
      </c>
      <c r="H873" s="10">
        <v>6.97</v>
      </c>
      <c r="I873" s="10">
        <v>6.83</v>
      </c>
      <c r="J873" s="10">
        <v>13.8</v>
      </c>
      <c r="L873" s="3">
        <f t="shared" si="9"/>
        <v>0</v>
      </c>
    </row>
    <row r="874">
      <c r="A874" s="34">
        <v>987.0</v>
      </c>
      <c r="B874" s="37">
        <v>2018.0</v>
      </c>
      <c r="C874" s="37">
        <v>9.0</v>
      </c>
      <c r="D874" s="60">
        <v>2.0</v>
      </c>
      <c r="E874" s="60">
        <v>12.0</v>
      </c>
      <c r="F874" s="35" t="s">
        <v>16</v>
      </c>
      <c r="G874" s="65" t="s">
        <v>169</v>
      </c>
      <c r="H874" s="10">
        <v>8.0</v>
      </c>
      <c r="I874" s="10">
        <v>7.77</v>
      </c>
      <c r="J874" s="10">
        <v>15.77</v>
      </c>
      <c r="L874" s="3">
        <f t="shared" si="9"/>
        <v>0</v>
      </c>
    </row>
    <row r="875">
      <c r="A875" s="34">
        <v>988.0</v>
      </c>
      <c r="B875" s="37">
        <v>2018.0</v>
      </c>
      <c r="C875" s="37">
        <v>9.0</v>
      </c>
      <c r="D875" s="60">
        <v>2.0</v>
      </c>
      <c r="E875" s="60">
        <v>12.0</v>
      </c>
      <c r="F875" s="35" t="s">
        <v>16</v>
      </c>
      <c r="G875" s="66" t="s">
        <v>64</v>
      </c>
      <c r="H875" s="10">
        <v>7.87</v>
      </c>
      <c r="I875" s="10">
        <v>7.7</v>
      </c>
      <c r="J875" s="10">
        <v>15.57</v>
      </c>
      <c r="L875" s="3">
        <f t="shared" si="9"/>
        <v>0</v>
      </c>
    </row>
    <row r="876">
      <c r="A876" s="34">
        <v>989.0</v>
      </c>
      <c r="B876" s="37">
        <v>2018.0</v>
      </c>
      <c r="C876" s="37">
        <v>9.0</v>
      </c>
      <c r="D876" s="60">
        <v>3.0</v>
      </c>
      <c r="E876" s="60">
        <v>1.0</v>
      </c>
      <c r="F876" s="35" t="s">
        <v>16</v>
      </c>
      <c r="G876" s="65" t="s">
        <v>34</v>
      </c>
      <c r="H876" s="10">
        <v>7.43</v>
      </c>
      <c r="I876" s="10">
        <v>6.47</v>
      </c>
      <c r="J876" s="10">
        <v>13.9</v>
      </c>
      <c r="L876" s="3">
        <f t="shared" si="9"/>
        <v>0</v>
      </c>
    </row>
    <row r="877">
      <c r="A877" s="34">
        <v>990.0</v>
      </c>
      <c r="B877" s="37">
        <v>2018.0</v>
      </c>
      <c r="C877" s="37">
        <v>9.0</v>
      </c>
      <c r="D877" s="60">
        <v>3.0</v>
      </c>
      <c r="E877" s="60">
        <v>1.0</v>
      </c>
      <c r="F877" s="35" t="s">
        <v>16</v>
      </c>
      <c r="G877" s="66" t="s">
        <v>17</v>
      </c>
      <c r="H877" s="10">
        <v>7.27</v>
      </c>
      <c r="I877" s="10">
        <v>6.57</v>
      </c>
      <c r="J877" s="10">
        <v>13.84</v>
      </c>
      <c r="L877" s="3">
        <f t="shared" si="9"/>
        <v>0</v>
      </c>
    </row>
    <row r="878">
      <c r="A878" s="34">
        <v>991.0</v>
      </c>
      <c r="B878" s="37">
        <v>2018.0</v>
      </c>
      <c r="C878" s="37">
        <v>9.0</v>
      </c>
      <c r="D878" s="60">
        <v>3.0</v>
      </c>
      <c r="E878" s="60">
        <v>2.0</v>
      </c>
      <c r="F878" s="35" t="s">
        <v>16</v>
      </c>
      <c r="G878" s="65" t="s">
        <v>52</v>
      </c>
      <c r="H878" s="10">
        <v>5.33</v>
      </c>
      <c r="I878" s="10">
        <v>5.1</v>
      </c>
      <c r="J878" s="10">
        <v>10.43</v>
      </c>
      <c r="L878" s="3">
        <f t="shared" si="9"/>
        <v>0</v>
      </c>
    </row>
    <row r="879">
      <c r="A879" s="34">
        <v>992.0</v>
      </c>
      <c r="B879" s="37">
        <v>2018.0</v>
      </c>
      <c r="C879" s="37">
        <v>9.0</v>
      </c>
      <c r="D879" s="60">
        <v>3.0</v>
      </c>
      <c r="E879" s="60">
        <v>2.0</v>
      </c>
      <c r="F879" s="35" t="s">
        <v>16</v>
      </c>
      <c r="G879" s="66" t="s">
        <v>169</v>
      </c>
      <c r="H879" s="10">
        <v>6.0</v>
      </c>
      <c r="I879" s="10">
        <v>4.27</v>
      </c>
      <c r="J879" s="10">
        <v>10.27</v>
      </c>
      <c r="L879" s="3">
        <f t="shared" si="9"/>
        <v>0</v>
      </c>
    </row>
    <row r="880">
      <c r="A880" s="34">
        <v>993.0</v>
      </c>
      <c r="B880" s="37">
        <v>2018.0</v>
      </c>
      <c r="C880" s="37">
        <v>9.0</v>
      </c>
      <c r="D880" s="60">
        <v>3.0</v>
      </c>
      <c r="E880" s="60">
        <v>3.0</v>
      </c>
      <c r="F880" s="35" t="s">
        <v>16</v>
      </c>
      <c r="G880" s="65" t="s">
        <v>28</v>
      </c>
      <c r="H880" s="10">
        <v>6.0</v>
      </c>
      <c r="I880" s="10">
        <v>4.5</v>
      </c>
      <c r="J880" s="10">
        <v>10.5</v>
      </c>
      <c r="L880" s="3">
        <f t="shared" si="9"/>
        <v>0</v>
      </c>
    </row>
    <row r="881">
      <c r="A881" s="34">
        <v>994.0</v>
      </c>
      <c r="B881" s="37">
        <v>2018.0</v>
      </c>
      <c r="C881" s="37">
        <v>9.0</v>
      </c>
      <c r="D881" s="60">
        <v>3.0</v>
      </c>
      <c r="E881" s="60">
        <v>3.0</v>
      </c>
      <c r="F881" s="35" t="s">
        <v>16</v>
      </c>
      <c r="G881" s="66" t="s">
        <v>67</v>
      </c>
      <c r="H881" s="10">
        <v>5.5</v>
      </c>
      <c r="I881" s="10">
        <v>4.8</v>
      </c>
      <c r="J881" s="10">
        <v>10.3</v>
      </c>
      <c r="L881" s="3">
        <f t="shared" si="9"/>
        <v>0</v>
      </c>
    </row>
    <row r="882">
      <c r="A882" s="34">
        <v>995.0</v>
      </c>
      <c r="B882" s="37">
        <v>2018.0</v>
      </c>
      <c r="C882" s="37">
        <v>9.0</v>
      </c>
      <c r="D882" s="60">
        <v>3.0</v>
      </c>
      <c r="E882" s="60">
        <v>4.0</v>
      </c>
      <c r="F882" s="35" t="s">
        <v>16</v>
      </c>
      <c r="G882" s="65" t="s">
        <v>179</v>
      </c>
      <c r="H882" s="10">
        <v>6.3</v>
      </c>
      <c r="I882" s="10">
        <v>4.83</v>
      </c>
      <c r="J882" s="10">
        <v>11.13</v>
      </c>
      <c r="L882" s="3">
        <f t="shared" si="9"/>
        <v>0</v>
      </c>
    </row>
    <row r="883">
      <c r="A883" s="34">
        <v>996.0</v>
      </c>
      <c r="B883" s="37">
        <v>2018.0</v>
      </c>
      <c r="C883" s="37">
        <v>9.0</v>
      </c>
      <c r="D883" s="60">
        <v>3.0</v>
      </c>
      <c r="E883" s="60">
        <v>4.0</v>
      </c>
      <c r="F883" s="35" t="s">
        <v>16</v>
      </c>
      <c r="G883" s="66" t="s">
        <v>61</v>
      </c>
      <c r="H883" s="10">
        <v>6.5</v>
      </c>
      <c r="I883" s="10">
        <v>4.57</v>
      </c>
      <c r="J883" s="10">
        <v>11.07</v>
      </c>
      <c r="L883" s="3">
        <f t="shared" si="9"/>
        <v>0</v>
      </c>
    </row>
    <row r="884">
      <c r="A884" s="34">
        <v>997.0</v>
      </c>
      <c r="B884" s="37">
        <v>2018.0</v>
      </c>
      <c r="C884" s="37">
        <v>9.0</v>
      </c>
      <c r="D884" s="60">
        <v>3.0</v>
      </c>
      <c r="E884" s="60">
        <v>5.0</v>
      </c>
      <c r="F884" s="35" t="s">
        <v>16</v>
      </c>
      <c r="G884" s="65" t="s">
        <v>42</v>
      </c>
      <c r="H884" s="10">
        <v>8.7</v>
      </c>
      <c r="I884" s="10">
        <v>6.5</v>
      </c>
      <c r="J884" s="10">
        <v>15.2</v>
      </c>
      <c r="L884" s="3">
        <f t="shared" si="9"/>
        <v>0</v>
      </c>
    </row>
    <row r="885">
      <c r="A885" s="34">
        <v>998.0</v>
      </c>
      <c r="B885" s="37">
        <v>2018.0</v>
      </c>
      <c r="C885" s="37">
        <v>9.0</v>
      </c>
      <c r="D885" s="60">
        <v>3.0</v>
      </c>
      <c r="E885" s="60">
        <v>5.0</v>
      </c>
      <c r="F885" s="35" t="s">
        <v>16</v>
      </c>
      <c r="G885" s="66" t="s">
        <v>47</v>
      </c>
      <c r="H885" s="10">
        <v>5.77</v>
      </c>
      <c r="I885" s="10">
        <v>5.37</v>
      </c>
      <c r="J885" s="10">
        <v>11.14</v>
      </c>
      <c r="L885" s="3">
        <f t="shared" si="9"/>
        <v>0</v>
      </c>
    </row>
    <row r="886">
      <c r="A886" s="34">
        <v>999.0</v>
      </c>
      <c r="B886" s="37">
        <v>2018.0</v>
      </c>
      <c r="C886" s="37">
        <v>9.0</v>
      </c>
      <c r="D886" s="60">
        <v>3.0</v>
      </c>
      <c r="E886" s="60">
        <v>6.0</v>
      </c>
      <c r="F886" s="35" t="s">
        <v>16</v>
      </c>
      <c r="G886" s="65" t="s">
        <v>18</v>
      </c>
      <c r="H886" s="10">
        <v>8.87</v>
      </c>
      <c r="I886" s="10">
        <v>7.93</v>
      </c>
      <c r="J886" s="10">
        <v>16.8</v>
      </c>
      <c r="L886" s="3">
        <f t="shared" si="9"/>
        <v>0</v>
      </c>
    </row>
    <row r="887">
      <c r="A887" s="34">
        <v>1000.0</v>
      </c>
      <c r="B887" s="37">
        <v>2018.0</v>
      </c>
      <c r="C887" s="37">
        <v>9.0</v>
      </c>
      <c r="D887" s="60">
        <v>3.0</v>
      </c>
      <c r="E887" s="60">
        <v>6.0</v>
      </c>
      <c r="F887" s="35" t="s">
        <v>16</v>
      </c>
      <c r="G887" s="66" t="s">
        <v>33</v>
      </c>
      <c r="H887" s="10">
        <v>9.0</v>
      </c>
      <c r="I887" s="10">
        <v>7.6</v>
      </c>
      <c r="J887" s="10">
        <v>16.6</v>
      </c>
      <c r="L887" s="3">
        <f t="shared" si="9"/>
        <v>0</v>
      </c>
    </row>
    <row r="888">
      <c r="A888" s="34">
        <v>1001.0</v>
      </c>
      <c r="B888" s="37">
        <v>2018.0</v>
      </c>
      <c r="C888" s="37">
        <v>9.0</v>
      </c>
      <c r="D888" s="60">
        <v>3.0</v>
      </c>
      <c r="E888" s="60">
        <v>7.0</v>
      </c>
      <c r="F888" s="35" t="s">
        <v>16</v>
      </c>
      <c r="G888" s="67" t="s">
        <v>30</v>
      </c>
      <c r="H888" s="10">
        <v>6.33</v>
      </c>
      <c r="I888" s="10">
        <v>5.0</v>
      </c>
      <c r="J888" s="10">
        <v>11.33</v>
      </c>
      <c r="L888" s="3">
        <f t="shared" si="9"/>
        <v>0</v>
      </c>
    </row>
    <row r="889">
      <c r="A889" s="34">
        <v>1002.0</v>
      </c>
      <c r="B889" s="37">
        <v>2018.0</v>
      </c>
      <c r="C889" s="37">
        <v>9.0</v>
      </c>
      <c r="D889" s="60">
        <v>3.0</v>
      </c>
      <c r="E889" s="60">
        <v>7.0</v>
      </c>
      <c r="F889" s="35" t="s">
        <v>16</v>
      </c>
      <c r="G889" s="66" t="s">
        <v>54</v>
      </c>
      <c r="H889" s="10">
        <v>4.37</v>
      </c>
      <c r="I889" s="10">
        <v>4.0</v>
      </c>
      <c r="J889" s="10">
        <v>8.37</v>
      </c>
      <c r="L889" s="3">
        <f t="shared" si="9"/>
        <v>0</v>
      </c>
    </row>
    <row r="890">
      <c r="A890" s="34">
        <v>1003.0</v>
      </c>
      <c r="B890" s="37">
        <v>2018.0</v>
      </c>
      <c r="C890" s="37">
        <v>9.0</v>
      </c>
      <c r="D890" s="60">
        <v>3.0</v>
      </c>
      <c r="E890" s="60">
        <v>8.0</v>
      </c>
      <c r="F890" s="35" t="s">
        <v>16</v>
      </c>
      <c r="G890" s="65" t="s">
        <v>176</v>
      </c>
      <c r="H890" s="10">
        <v>7.33</v>
      </c>
      <c r="I890" s="10">
        <v>6.2</v>
      </c>
      <c r="J890" s="10">
        <v>13.53</v>
      </c>
      <c r="L890" s="3">
        <f t="shared" si="9"/>
        <v>0</v>
      </c>
    </row>
    <row r="891">
      <c r="A891" s="34">
        <v>1004.0</v>
      </c>
      <c r="B891" s="37">
        <v>2018.0</v>
      </c>
      <c r="C891" s="37">
        <v>9.0</v>
      </c>
      <c r="D891" s="60">
        <v>3.0</v>
      </c>
      <c r="E891" s="60">
        <v>8.0</v>
      </c>
      <c r="F891" s="35" t="s">
        <v>16</v>
      </c>
      <c r="G891" s="66" t="s">
        <v>69</v>
      </c>
      <c r="H891" s="10">
        <v>5.63</v>
      </c>
      <c r="I891" s="10">
        <v>5.53</v>
      </c>
      <c r="J891" s="10">
        <v>11.16</v>
      </c>
      <c r="L891" s="3">
        <f t="shared" si="9"/>
        <v>0</v>
      </c>
    </row>
    <row r="892">
      <c r="A892" s="34">
        <v>1005.0</v>
      </c>
      <c r="B892" s="37">
        <v>2018.0</v>
      </c>
      <c r="C892" s="37">
        <v>9.0</v>
      </c>
      <c r="D892" s="60">
        <v>3.0</v>
      </c>
      <c r="E892" s="60">
        <v>9.0</v>
      </c>
      <c r="F892" s="35" t="s">
        <v>16</v>
      </c>
      <c r="G892" s="65" t="s">
        <v>46</v>
      </c>
      <c r="H892" s="10">
        <v>7.1</v>
      </c>
      <c r="I892" s="10">
        <v>4.43</v>
      </c>
      <c r="J892" s="10">
        <v>11.53</v>
      </c>
      <c r="L892" s="3">
        <f t="shared" si="9"/>
        <v>0</v>
      </c>
    </row>
    <row r="893">
      <c r="A893" s="34">
        <v>1006.0</v>
      </c>
      <c r="B893" s="37">
        <v>2018.0</v>
      </c>
      <c r="C893" s="37">
        <v>9.0</v>
      </c>
      <c r="D893" s="60">
        <v>3.0</v>
      </c>
      <c r="E893" s="60">
        <v>9.0</v>
      </c>
      <c r="F893" s="35" t="s">
        <v>16</v>
      </c>
      <c r="G893" s="66" t="s">
        <v>39</v>
      </c>
      <c r="H893" s="10">
        <v>5.83</v>
      </c>
      <c r="I893" s="10">
        <v>5.07</v>
      </c>
      <c r="J893" s="10">
        <v>10.9</v>
      </c>
      <c r="L893" s="3">
        <f t="shared" si="9"/>
        <v>0</v>
      </c>
    </row>
    <row r="894">
      <c r="A894" s="34">
        <v>1007.0</v>
      </c>
      <c r="B894" s="37">
        <v>2018.0</v>
      </c>
      <c r="C894" s="37">
        <v>9.0</v>
      </c>
      <c r="D894" s="60">
        <v>3.0</v>
      </c>
      <c r="E894" s="60">
        <v>10.0</v>
      </c>
      <c r="F894" s="35" t="s">
        <v>16</v>
      </c>
      <c r="G894" s="65" t="s">
        <v>177</v>
      </c>
      <c r="H894" s="10">
        <v>4.33</v>
      </c>
      <c r="I894" s="10">
        <v>3.73</v>
      </c>
      <c r="J894" s="10">
        <v>8.06</v>
      </c>
      <c r="L894" s="3">
        <f t="shared" si="9"/>
        <v>0</v>
      </c>
    </row>
    <row r="895">
      <c r="A895" s="34">
        <v>1008.0</v>
      </c>
      <c r="B895" s="37">
        <v>2018.0</v>
      </c>
      <c r="C895" s="37">
        <v>9.0</v>
      </c>
      <c r="D895" s="60">
        <v>3.0</v>
      </c>
      <c r="E895" s="60">
        <v>10.0</v>
      </c>
      <c r="F895" s="35" t="s">
        <v>16</v>
      </c>
      <c r="G895" s="66" t="s">
        <v>32</v>
      </c>
      <c r="H895" s="10">
        <v>6.77</v>
      </c>
      <c r="J895" s="10">
        <v>6.77</v>
      </c>
      <c r="L895" s="3">
        <f t="shared" si="9"/>
        <v>0</v>
      </c>
    </row>
    <row r="896">
      <c r="A896" s="34">
        <v>1009.0</v>
      </c>
      <c r="B896" s="37">
        <v>2018.0</v>
      </c>
      <c r="C896" s="37">
        <v>9.0</v>
      </c>
      <c r="D896" s="60">
        <v>3.0</v>
      </c>
      <c r="E896" s="60">
        <v>11.0</v>
      </c>
      <c r="F896" s="35" t="s">
        <v>16</v>
      </c>
      <c r="G896" s="67" t="s">
        <v>38</v>
      </c>
      <c r="H896" s="10">
        <v>6.5</v>
      </c>
      <c r="I896" s="10">
        <v>6.2</v>
      </c>
      <c r="J896" s="10">
        <v>12.7</v>
      </c>
      <c r="L896" s="3">
        <f t="shared" si="9"/>
        <v>0</v>
      </c>
    </row>
    <row r="897">
      <c r="A897" s="34">
        <v>1010.0</v>
      </c>
      <c r="B897" s="37">
        <v>2018.0</v>
      </c>
      <c r="C897" s="37">
        <v>9.0</v>
      </c>
      <c r="D897" s="60">
        <v>3.0</v>
      </c>
      <c r="E897" s="60">
        <v>11.0</v>
      </c>
      <c r="F897" s="35" t="s">
        <v>16</v>
      </c>
      <c r="G897" s="66" t="s">
        <v>178</v>
      </c>
      <c r="H897" s="10">
        <v>6.5</v>
      </c>
      <c r="I897" s="10">
        <v>5.83</v>
      </c>
      <c r="J897" s="10">
        <v>12.33</v>
      </c>
      <c r="L897" s="3">
        <f t="shared" si="9"/>
        <v>0</v>
      </c>
    </row>
    <row r="898">
      <c r="A898" s="34">
        <v>1011.0</v>
      </c>
      <c r="B898" s="37">
        <v>2018.0</v>
      </c>
      <c r="C898" s="37">
        <v>9.0</v>
      </c>
      <c r="D898" s="60">
        <v>3.0</v>
      </c>
      <c r="E898" s="60">
        <v>12.0</v>
      </c>
      <c r="F898" s="35" t="s">
        <v>16</v>
      </c>
      <c r="G898" s="65" t="s">
        <v>31</v>
      </c>
      <c r="H898" s="10">
        <v>7.03</v>
      </c>
      <c r="I898" s="10">
        <v>6.5</v>
      </c>
      <c r="J898" s="10">
        <v>13.53</v>
      </c>
      <c r="L898" s="3">
        <f t="shared" si="9"/>
        <v>0</v>
      </c>
    </row>
    <row r="899">
      <c r="A899" s="34">
        <v>1012.0</v>
      </c>
      <c r="B899" s="37">
        <v>2018.0</v>
      </c>
      <c r="C899" s="37">
        <v>9.0</v>
      </c>
      <c r="D899" s="60">
        <v>3.0</v>
      </c>
      <c r="E899" s="60">
        <v>12.0</v>
      </c>
      <c r="F899" s="35" t="s">
        <v>16</v>
      </c>
      <c r="G899" s="66" t="s">
        <v>65</v>
      </c>
      <c r="H899" s="10">
        <v>6.03</v>
      </c>
      <c r="I899" s="10">
        <v>4.33</v>
      </c>
      <c r="J899" s="10">
        <v>10.36</v>
      </c>
      <c r="L899" s="3">
        <f t="shared" si="9"/>
        <v>0</v>
      </c>
    </row>
    <row r="900">
      <c r="A900" s="34">
        <v>1013.0</v>
      </c>
      <c r="B900" s="37">
        <v>2018.0</v>
      </c>
      <c r="C900" s="37">
        <v>9.0</v>
      </c>
      <c r="D900" s="60">
        <v>4.0</v>
      </c>
      <c r="E900" s="60">
        <v>1.0</v>
      </c>
      <c r="F900" s="35" t="s">
        <v>16</v>
      </c>
      <c r="G900" s="65" t="s">
        <v>52</v>
      </c>
      <c r="H900" s="10">
        <v>6.5</v>
      </c>
      <c r="I900" s="10">
        <v>6.0</v>
      </c>
      <c r="J900" s="10">
        <v>12.5</v>
      </c>
      <c r="L900" s="3">
        <f t="shared" si="9"/>
        <v>0</v>
      </c>
    </row>
    <row r="901">
      <c r="A901" s="34">
        <v>1014.0</v>
      </c>
      <c r="B901" s="37">
        <v>2018.0</v>
      </c>
      <c r="C901" s="37">
        <v>9.0</v>
      </c>
      <c r="D901" s="60">
        <v>4.0</v>
      </c>
      <c r="E901" s="60">
        <v>1.0</v>
      </c>
      <c r="F901" s="35" t="s">
        <v>16</v>
      </c>
      <c r="G901" s="65" t="s">
        <v>28</v>
      </c>
      <c r="H901" s="10">
        <v>5.97</v>
      </c>
      <c r="I901" s="10">
        <v>5.23</v>
      </c>
      <c r="J901" s="10">
        <v>11.2</v>
      </c>
      <c r="L901" s="3">
        <f t="shared" si="9"/>
        <v>0</v>
      </c>
    </row>
    <row r="902">
      <c r="A902" s="34">
        <v>1015.0</v>
      </c>
      <c r="B902" s="37">
        <v>2018.0</v>
      </c>
      <c r="C902" s="37">
        <v>9.0</v>
      </c>
      <c r="D902" s="60">
        <v>4.0</v>
      </c>
      <c r="E902" s="60">
        <v>1.0</v>
      </c>
      <c r="F902" s="35" t="s">
        <v>16</v>
      </c>
      <c r="G902" s="66" t="s">
        <v>34</v>
      </c>
      <c r="H902" s="10">
        <v>5.57</v>
      </c>
      <c r="I902" s="10">
        <v>5.23</v>
      </c>
      <c r="J902" s="10">
        <v>10.8</v>
      </c>
      <c r="L902" s="3">
        <f t="shared" si="9"/>
        <v>0</v>
      </c>
    </row>
    <row r="903">
      <c r="A903" s="34">
        <v>1016.0</v>
      </c>
      <c r="B903" s="37">
        <v>2018.0</v>
      </c>
      <c r="C903" s="37">
        <v>9.0</v>
      </c>
      <c r="D903" s="60">
        <v>4.0</v>
      </c>
      <c r="E903" s="60">
        <v>2.0</v>
      </c>
      <c r="F903" s="35" t="s">
        <v>16</v>
      </c>
      <c r="G903" s="65" t="s">
        <v>18</v>
      </c>
      <c r="H903" s="10">
        <v>9.43</v>
      </c>
      <c r="I903" s="10">
        <v>9.1</v>
      </c>
      <c r="J903" s="10">
        <v>18.53</v>
      </c>
      <c r="L903" s="3">
        <f t="shared" si="9"/>
        <v>0</v>
      </c>
    </row>
    <row r="904">
      <c r="A904" s="34">
        <v>1017.0</v>
      </c>
      <c r="B904" s="37">
        <v>2018.0</v>
      </c>
      <c r="C904" s="37">
        <v>9.0</v>
      </c>
      <c r="D904" s="60">
        <v>4.0</v>
      </c>
      <c r="E904" s="60">
        <v>2.0</v>
      </c>
      <c r="F904" s="35" t="s">
        <v>16</v>
      </c>
      <c r="G904" s="65" t="s">
        <v>42</v>
      </c>
      <c r="H904" s="10">
        <v>8.83</v>
      </c>
      <c r="I904" s="10">
        <v>7.67</v>
      </c>
      <c r="J904" s="10">
        <v>16.5</v>
      </c>
      <c r="L904" s="3">
        <f t="shared" si="9"/>
        <v>0</v>
      </c>
    </row>
    <row r="905">
      <c r="A905" s="34">
        <v>1018.0</v>
      </c>
      <c r="B905" s="37">
        <v>2018.0</v>
      </c>
      <c r="C905" s="37">
        <v>9.0</v>
      </c>
      <c r="D905" s="60">
        <v>4.0</v>
      </c>
      <c r="E905" s="60">
        <v>2.0</v>
      </c>
      <c r="F905" s="35" t="s">
        <v>16</v>
      </c>
      <c r="G905" s="66" t="s">
        <v>179</v>
      </c>
      <c r="H905" s="10">
        <v>6.77</v>
      </c>
      <c r="I905" s="10">
        <v>5.67</v>
      </c>
      <c r="J905" s="10">
        <v>12.44</v>
      </c>
      <c r="L905" s="3">
        <f t="shared" si="9"/>
        <v>0</v>
      </c>
    </row>
    <row r="906">
      <c r="A906" s="34">
        <v>1019.0</v>
      </c>
      <c r="B906" s="37">
        <v>2018.0</v>
      </c>
      <c r="C906" s="37">
        <v>9.0</v>
      </c>
      <c r="D906" s="60">
        <v>4.0</v>
      </c>
      <c r="E906" s="60">
        <v>3.0</v>
      </c>
      <c r="F906" s="35" t="s">
        <v>16</v>
      </c>
      <c r="G906" s="65" t="s">
        <v>193</v>
      </c>
      <c r="H906" s="10">
        <v>7.13</v>
      </c>
      <c r="I906" s="10">
        <v>6.83</v>
      </c>
      <c r="J906" s="10">
        <v>13.96</v>
      </c>
      <c r="L906" s="3">
        <f t="shared" si="9"/>
        <v>0</v>
      </c>
    </row>
    <row r="907">
      <c r="A907" s="34">
        <v>1020.0</v>
      </c>
      <c r="B907" s="37">
        <v>2018.0</v>
      </c>
      <c r="C907" s="37">
        <v>9.0</v>
      </c>
      <c r="D907" s="60">
        <v>4.0</v>
      </c>
      <c r="E907" s="60">
        <v>3.0</v>
      </c>
      <c r="F907" s="35" t="s">
        <v>16</v>
      </c>
      <c r="G907" s="67" t="s">
        <v>30</v>
      </c>
      <c r="H907" s="10">
        <v>7.4</v>
      </c>
      <c r="I907" s="10">
        <v>6.5</v>
      </c>
      <c r="J907" s="10">
        <v>13.9</v>
      </c>
      <c r="L907" s="3">
        <f t="shared" si="9"/>
        <v>0</v>
      </c>
    </row>
    <row r="908">
      <c r="A908" s="34">
        <v>1021.0</v>
      </c>
      <c r="B908" s="37">
        <v>2018.0</v>
      </c>
      <c r="C908" s="37">
        <v>9.0</v>
      </c>
      <c r="D908" s="60">
        <v>4.0</v>
      </c>
      <c r="E908" s="60">
        <v>3.0</v>
      </c>
      <c r="F908" s="35" t="s">
        <v>16</v>
      </c>
      <c r="G908" s="66" t="s">
        <v>176</v>
      </c>
      <c r="H908" s="10">
        <v>3.7</v>
      </c>
      <c r="I908" s="10">
        <v>3.0</v>
      </c>
      <c r="J908" s="10">
        <v>6.7</v>
      </c>
      <c r="L908" s="3">
        <f t="shared" si="9"/>
        <v>0</v>
      </c>
    </row>
    <row r="909">
      <c r="A909" s="34">
        <v>1022.0</v>
      </c>
      <c r="B909" s="37">
        <v>2018.0</v>
      </c>
      <c r="C909" s="37">
        <v>9.0</v>
      </c>
      <c r="D909" s="60">
        <v>4.0</v>
      </c>
      <c r="E909" s="60">
        <v>4.0</v>
      </c>
      <c r="F909" s="35" t="s">
        <v>16</v>
      </c>
      <c r="G909" s="67" t="s">
        <v>38</v>
      </c>
      <c r="H909" s="10">
        <v>8.07</v>
      </c>
      <c r="I909" s="10">
        <v>6.83</v>
      </c>
      <c r="J909" s="10">
        <v>15.9</v>
      </c>
      <c r="L909" s="3">
        <f t="shared" si="9"/>
        <v>0</v>
      </c>
    </row>
    <row r="910">
      <c r="A910" s="34">
        <v>1023.0</v>
      </c>
      <c r="B910" s="37">
        <v>2018.0</v>
      </c>
      <c r="C910" s="37">
        <v>9.0</v>
      </c>
      <c r="D910" s="60">
        <v>4.0</v>
      </c>
      <c r="E910" s="60">
        <v>4.0</v>
      </c>
      <c r="F910" s="35" t="s">
        <v>16</v>
      </c>
      <c r="G910" s="65" t="s">
        <v>31</v>
      </c>
      <c r="H910" s="10">
        <v>7.27</v>
      </c>
      <c r="I910" s="10">
        <v>6.83</v>
      </c>
      <c r="J910" s="10">
        <v>14.1</v>
      </c>
      <c r="L910" s="3">
        <f t="shared" si="9"/>
        <v>0</v>
      </c>
    </row>
    <row r="911">
      <c r="A911" s="34">
        <v>1024.0</v>
      </c>
      <c r="B911" s="37">
        <v>2018.0</v>
      </c>
      <c r="C911" s="37">
        <v>9.0</v>
      </c>
      <c r="D911" s="60">
        <v>4.0</v>
      </c>
      <c r="E911" s="60">
        <v>4.0</v>
      </c>
      <c r="F911" s="35" t="s">
        <v>16</v>
      </c>
      <c r="G911" s="66" t="s">
        <v>177</v>
      </c>
      <c r="H911" s="10">
        <v>5.17</v>
      </c>
      <c r="I911" s="10">
        <v>4.9</v>
      </c>
      <c r="J911" s="10">
        <v>10.07</v>
      </c>
      <c r="L911" s="3">
        <f t="shared" si="9"/>
        <v>0</v>
      </c>
    </row>
    <row r="912">
      <c r="A912" s="34">
        <v>1025.0</v>
      </c>
      <c r="B912" s="37">
        <v>2018.0</v>
      </c>
      <c r="C912" s="37">
        <v>9.0</v>
      </c>
      <c r="D912" s="60">
        <v>5.0</v>
      </c>
      <c r="E912" s="60">
        <v>1.0</v>
      </c>
      <c r="F912" s="35" t="s">
        <v>16</v>
      </c>
      <c r="G912" s="65" t="s">
        <v>52</v>
      </c>
      <c r="H912" s="10">
        <v>7.33</v>
      </c>
      <c r="I912" s="10">
        <v>6.17</v>
      </c>
      <c r="J912" s="10">
        <v>13.5</v>
      </c>
      <c r="L912" s="3">
        <f t="shared" si="9"/>
        <v>0</v>
      </c>
    </row>
    <row r="913">
      <c r="A913" s="34">
        <v>1026.0</v>
      </c>
      <c r="B913" s="37">
        <v>2018.0</v>
      </c>
      <c r="C913" s="37">
        <v>9.0</v>
      </c>
      <c r="D913" s="60">
        <v>5.0</v>
      </c>
      <c r="E913" s="60">
        <v>1.0</v>
      </c>
      <c r="F913" s="35" t="s">
        <v>16</v>
      </c>
      <c r="G913" s="66" t="s">
        <v>42</v>
      </c>
      <c r="H913" s="10">
        <v>5.33</v>
      </c>
      <c r="I913" s="10">
        <v>2.5</v>
      </c>
      <c r="J913" s="10">
        <v>7.83</v>
      </c>
      <c r="L913" s="3">
        <f t="shared" si="9"/>
        <v>0</v>
      </c>
    </row>
    <row r="914">
      <c r="A914" s="34">
        <v>1027.0</v>
      </c>
      <c r="B914" s="37">
        <v>2018.0</v>
      </c>
      <c r="C914" s="37">
        <v>9.0</v>
      </c>
      <c r="D914" s="60">
        <v>5.0</v>
      </c>
      <c r="E914" s="60">
        <v>2.0</v>
      </c>
      <c r="F914" s="35" t="s">
        <v>16</v>
      </c>
      <c r="G914" s="65" t="s">
        <v>18</v>
      </c>
      <c r="H914" s="10">
        <v>8.5</v>
      </c>
      <c r="I914" s="10">
        <v>7.27</v>
      </c>
      <c r="J914" s="10">
        <v>15.77</v>
      </c>
      <c r="L914" s="3">
        <f t="shared" si="9"/>
        <v>0</v>
      </c>
    </row>
    <row r="915">
      <c r="A915" s="34">
        <v>1028.0</v>
      </c>
      <c r="B915" s="37">
        <v>2018.0</v>
      </c>
      <c r="C915" s="37">
        <v>9.0</v>
      </c>
      <c r="D915" s="60">
        <v>5.0</v>
      </c>
      <c r="E915" s="60">
        <v>2.0</v>
      </c>
      <c r="F915" s="35" t="s">
        <v>16</v>
      </c>
      <c r="G915" s="66" t="s">
        <v>28</v>
      </c>
      <c r="H915" s="10">
        <v>7.7</v>
      </c>
      <c r="I915" s="10">
        <v>6.33</v>
      </c>
      <c r="J915" s="10">
        <v>14.03</v>
      </c>
      <c r="L915" s="3">
        <f t="shared" si="9"/>
        <v>0</v>
      </c>
    </row>
    <row r="916">
      <c r="A916" s="34">
        <v>1029.0</v>
      </c>
      <c r="B916" s="37">
        <v>2018.0</v>
      </c>
      <c r="C916" s="37">
        <v>9.0</v>
      </c>
      <c r="D916" s="60">
        <v>5.0</v>
      </c>
      <c r="E916" s="60">
        <v>3.0</v>
      </c>
      <c r="F916" s="35" t="s">
        <v>16</v>
      </c>
      <c r="G916" s="65" t="s">
        <v>31</v>
      </c>
      <c r="H916" s="10">
        <v>8.77</v>
      </c>
      <c r="I916" s="10">
        <v>6.33</v>
      </c>
      <c r="J916" s="10">
        <v>15.1</v>
      </c>
      <c r="L916" s="3">
        <f t="shared" si="9"/>
        <v>0</v>
      </c>
    </row>
    <row r="917">
      <c r="A917" s="34">
        <v>1030.0</v>
      </c>
      <c r="B917" s="37">
        <v>2018.0</v>
      </c>
      <c r="C917" s="37">
        <v>9.0</v>
      </c>
      <c r="D917" s="60">
        <v>5.0</v>
      </c>
      <c r="E917" s="60">
        <v>3.0</v>
      </c>
      <c r="F917" s="35" t="s">
        <v>16</v>
      </c>
      <c r="G917" s="66" t="s">
        <v>46</v>
      </c>
      <c r="H917" s="10">
        <v>8.43</v>
      </c>
      <c r="I917" s="10">
        <v>5.8</v>
      </c>
      <c r="J917" s="10">
        <v>14.23</v>
      </c>
      <c r="L917" s="3">
        <f t="shared" si="9"/>
        <v>0</v>
      </c>
    </row>
    <row r="918">
      <c r="A918" s="34">
        <v>1031.0</v>
      </c>
      <c r="B918" s="37">
        <v>2018.0</v>
      </c>
      <c r="C918" s="37">
        <v>9.0</v>
      </c>
      <c r="D918" s="60">
        <v>5.0</v>
      </c>
      <c r="E918" s="60">
        <v>4.0</v>
      </c>
      <c r="F918" s="35" t="s">
        <v>16</v>
      </c>
      <c r="G918" s="67" t="s">
        <v>30</v>
      </c>
      <c r="H918" s="10">
        <v>6.67</v>
      </c>
      <c r="I918" s="10">
        <v>5.77</v>
      </c>
      <c r="J918" s="10">
        <v>12.44</v>
      </c>
      <c r="L918" s="3">
        <f t="shared" si="9"/>
        <v>0</v>
      </c>
    </row>
    <row r="919">
      <c r="A919" s="34">
        <v>1032.0</v>
      </c>
      <c r="B919" s="37">
        <v>2018.0</v>
      </c>
      <c r="C919" s="37">
        <v>9.0</v>
      </c>
      <c r="D919" s="60">
        <v>5.0</v>
      </c>
      <c r="E919" s="60">
        <v>4.0</v>
      </c>
      <c r="F919" s="35" t="s">
        <v>16</v>
      </c>
      <c r="G919" s="51" t="s">
        <v>38</v>
      </c>
      <c r="H919" s="10">
        <v>6.83</v>
      </c>
      <c r="I919" s="10">
        <v>3.9</v>
      </c>
      <c r="J919" s="10">
        <v>10.73</v>
      </c>
      <c r="L919" s="3">
        <f t="shared" si="9"/>
        <v>0</v>
      </c>
    </row>
    <row r="920">
      <c r="A920" s="34">
        <v>1033.0</v>
      </c>
      <c r="B920" s="37">
        <v>2018.0</v>
      </c>
      <c r="C920" s="37">
        <v>9.0</v>
      </c>
      <c r="D920" s="54">
        <v>6.0</v>
      </c>
      <c r="E920" s="60">
        <v>1.0</v>
      </c>
      <c r="F920" s="35" t="s">
        <v>16</v>
      </c>
      <c r="G920" s="65" t="s">
        <v>18</v>
      </c>
      <c r="H920" s="10">
        <v>8.37</v>
      </c>
      <c r="I920" s="10">
        <v>6.93</v>
      </c>
      <c r="J920" s="10">
        <v>15.3</v>
      </c>
      <c r="L920" s="3">
        <f t="shared" si="9"/>
        <v>0</v>
      </c>
    </row>
    <row r="921">
      <c r="A921" s="34">
        <v>1034.0</v>
      </c>
      <c r="B921" s="37">
        <v>2018.0</v>
      </c>
      <c r="C921" s="37">
        <v>9.0</v>
      </c>
      <c r="D921" s="54">
        <v>6.0</v>
      </c>
      <c r="E921" s="60">
        <v>1.0</v>
      </c>
      <c r="F921" s="35" t="s">
        <v>16</v>
      </c>
      <c r="G921" s="66" t="s">
        <v>52</v>
      </c>
      <c r="H921" s="10">
        <v>6.0</v>
      </c>
      <c r="I921" s="10">
        <v>5.43</v>
      </c>
      <c r="J921" s="10">
        <v>11.43</v>
      </c>
      <c r="L921" s="3">
        <f t="shared" si="9"/>
        <v>0</v>
      </c>
    </row>
    <row r="922">
      <c r="A922" s="34">
        <v>1035.0</v>
      </c>
      <c r="B922" s="37">
        <v>2018.0</v>
      </c>
      <c r="C922" s="37">
        <v>9.0</v>
      </c>
      <c r="D922" s="54">
        <v>6.0</v>
      </c>
      <c r="E922" s="60">
        <v>2.0</v>
      </c>
      <c r="F922" s="35" t="s">
        <v>16</v>
      </c>
      <c r="G922" s="65" t="s">
        <v>31</v>
      </c>
      <c r="H922" s="10">
        <v>10.0</v>
      </c>
      <c r="I922" s="10">
        <v>6.67</v>
      </c>
      <c r="J922" s="10">
        <v>16.67</v>
      </c>
      <c r="L922" s="3">
        <f t="shared" si="9"/>
        <v>0</v>
      </c>
    </row>
    <row r="923">
      <c r="A923" s="34">
        <v>1036.0</v>
      </c>
      <c r="B923" s="37">
        <v>2018.0</v>
      </c>
      <c r="C923" s="37">
        <v>9.0</v>
      </c>
      <c r="D923" s="54">
        <v>6.0</v>
      </c>
      <c r="E923" s="60">
        <v>2.0</v>
      </c>
      <c r="F923" s="35" t="s">
        <v>16</v>
      </c>
      <c r="G923" s="51" t="s">
        <v>30</v>
      </c>
      <c r="H923" s="10">
        <v>7.77</v>
      </c>
      <c r="I923" s="10">
        <v>7.67</v>
      </c>
      <c r="J923" s="10">
        <v>15.44</v>
      </c>
      <c r="L923" s="3">
        <f t="shared" si="9"/>
        <v>0</v>
      </c>
    </row>
    <row r="924">
      <c r="A924" s="34">
        <v>1037.0</v>
      </c>
      <c r="B924" s="37">
        <v>2018.0</v>
      </c>
      <c r="C924" s="37">
        <v>9.0</v>
      </c>
      <c r="D924" s="54">
        <v>7.0</v>
      </c>
      <c r="E924" s="54">
        <v>1.0</v>
      </c>
      <c r="F924" s="35" t="s">
        <v>16</v>
      </c>
      <c r="G924" s="65" t="s">
        <v>31</v>
      </c>
      <c r="H924" s="10">
        <v>8.67</v>
      </c>
      <c r="I924" s="10">
        <v>6.67</v>
      </c>
      <c r="J924" s="10">
        <v>15.34</v>
      </c>
      <c r="L924" s="3">
        <f t="shared" si="9"/>
        <v>0</v>
      </c>
    </row>
    <row r="925">
      <c r="A925" s="34">
        <v>1038.0</v>
      </c>
      <c r="B925" s="37">
        <v>2018.0</v>
      </c>
      <c r="C925" s="37">
        <v>9.0</v>
      </c>
      <c r="D925" s="54">
        <v>7.0</v>
      </c>
      <c r="E925" s="54">
        <v>1.0</v>
      </c>
      <c r="F925" s="35" t="s">
        <v>16</v>
      </c>
      <c r="G925" s="66" t="s">
        <v>18</v>
      </c>
      <c r="H925" s="10">
        <v>7.4</v>
      </c>
      <c r="I925" s="10">
        <v>6.83</v>
      </c>
      <c r="J925" s="10">
        <v>14.23</v>
      </c>
      <c r="L925" s="3">
        <f t="shared" si="9"/>
        <v>0</v>
      </c>
      <c r="M925" s="3">
        <f>SUM(L816:L925)</f>
        <v>11.77</v>
      </c>
    </row>
    <row r="926">
      <c r="A926" s="34">
        <v>1039.0</v>
      </c>
      <c r="B926" s="37">
        <v>2018.0</v>
      </c>
      <c r="C926" s="54">
        <v>10.0</v>
      </c>
      <c r="D926" s="60">
        <v>1.0</v>
      </c>
      <c r="E926" s="60">
        <v>1.0</v>
      </c>
      <c r="F926" s="68" t="s">
        <v>16</v>
      </c>
      <c r="G926" s="10" t="s">
        <v>18</v>
      </c>
      <c r="H926" s="10">
        <v>6.0</v>
      </c>
      <c r="I926" s="10">
        <v>3.53</v>
      </c>
      <c r="J926" s="10">
        <v>9.53</v>
      </c>
      <c r="L926" s="3">
        <f t="shared" ref="L926:L1035" si="10">IF(G926="Miguel Blanco",J926,0)</f>
        <v>0</v>
      </c>
    </row>
    <row r="927">
      <c r="A927" s="34">
        <v>1040.0</v>
      </c>
      <c r="B927" s="37">
        <v>2018.0</v>
      </c>
      <c r="C927" s="54">
        <v>10.0</v>
      </c>
      <c r="D927" s="60">
        <v>1.0</v>
      </c>
      <c r="E927" s="60">
        <v>1.0</v>
      </c>
      <c r="F927" s="68" t="s">
        <v>16</v>
      </c>
      <c r="G927" s="10" t="s">
        <v>69</v>
      </c>
      <c r="H927" s="10">
        <v>5.33</v>
      </c>
      <c r="I927" s="10">
        <v>3.67</v>
      </c>
      <c r="J927" s="10">
        <v>9.0</v>
      </c>
      <c r="L927" s="3">
        <f t="shared" si="10"/>
        <v>0</v>
      </c>
    </row>
    <row r="928">
      <c r="A928" s="34">
        <v>1041.0</v>
      </c>
      <c r="B928" s="37">
        <v>2018.0</v>
      </c>
      <c r="C928" s="54">
        <v>10.0</v>
      </c>
      <c r="D928" s="60">
        <v>1.0</v>
      </c>
      <c r="E928" s="60">
        <v>1.0</v>
      </c>
      <c r="F928" s="68" t="s">
        <v>16</v>
      </c>
      <c r="G928" s="10" t="s">
        <v>57</v>
      </c>
      <c r="H928" s="10">
        <v>3.27</v>
      </c>
      <c r="I928" s="10">
        <v>3.23</v>
      </c>
      <c r="J928" s="10">
        <v>6.5</v>
      </c>
      <c r="L928" s="3">
        <f t="shared" si="10"/>
        <v>0</v>
      </c>
    </row>
    <row r="929">
      <c r="A929" s="34">
        <v>1042.0</v>
      </c>
      <c r="B929" s="37">
        <v>2018.0</v>
      </c>
      <c r="C929" s="54">
        <v>10.0</v>
      </c>
      <c r="D929" s="60">
        <v>1.0</v>
      </c>
      <c r="E929" s="60">
        <v>2.0</v>
      </c>
      <c r="F929" s="68" t="s">
        <v>16</v>
      </c>
      <c r="G929" s="10" t="s">
        <v>28</v>
      </c>
      <c r="H929" s="10">
        <v>5.0</v>
      </c>
      <c r="I929" s="10">
        <v>4.73</v>
      </c>
      <c r="J929" s="10">
        <v>9.73</v>
      </c>
      <c r="L929" s="3">
        <f t="shared" si="10"/>
        <v>0</v>
      </c>
    </row>
    <row r="930">
      <c r="A930" s="34">
        <v>1043.0</v>
      </c>
      <c r="B930" s="37">
        <v>2018.0</v>
      </c>
      <c r="C930" s="54">
        <v>10.0</v>
      </c>
      <c r="D930" s="60">
        <v>1.0</v>
      </c>
      <c r="E930" s="60">
        <v>2.0</v>
      </c>
      <c r="F930" s="68" t="s">
        <v>16</v>
      </c>
      <c r="G930" s="10" t="s">
        <v>169</v>
      </c>
      <c r="H930" s="10">
        <v>3.0</v>
      </c>
      <c r="I930" s="10">
        <v>2.57</v>
      </c>
      <c r="J930" s="10">
        <v>5.57</v>
      </c>
      <c r="L930" s="3">
        <f t="shared" si="10"/>
        <v>0</v>
      </c>
    </row>
    <row r="931">
      <c r="A931" s="34">
        <v>1044.0</v>
      </c>
      <c r="B931" s="37">
        <v>2018.0</v>
      </c>
      <c r="C931" s="54">
        <v>10.0</v>
      </c>
      <c r="D931" s="60">
        <v>1.0</v>
      </c>
      <c r="E931" s="60">
        <v>2.0</v>
      </c>
      <c r="F931" s="68" t="s">
        <v>16</v>
      </c>
      <c r="G931" s="10" t="s">
        <v>25</v>
      </c>
      <c r="H931" s="10">
        <v>2.37</v>
      </c>
      <c r="I931" s="10">
        <v>2.17</v>
      </c>
      <c r="J931" s="10">
        <v>4.54</v>
      </c>
      <c r="L931" s="3">
        <f t="shared" si="10"/>
        <v>0</v>
      </c>
    </row>
    <row r="932">
      <c r="A932" s="34">
        <v>1045.0</v>
      </c>
      <c r="B932" s="37">
        <v>2018.0</v>
      </c>
      <c r="C932" s="54">
        <v>10.0</v>
      </c>
      <c r="D932" s="60">
        <v>1.0</v>
      </c>
      <c r="E932" s="60">
        <v>3.0</v>
      </c>
      <c r="F932" s="68" t="s">
        <v>16</v>
      </c>
      <c r="G932" s="10" t="s">
        <v>17</v>
      </c>
      <c r="H932" s="10">
        <v>5.77</v>
      </c>
      <c r="I932" s="10">
        <v>5.17</v>
      </c>
      <c r="J932" s="10">
        <v>10.94</v>
      </c>
      <c r="L932" s="3">
        <f t="shared" si="10"/>
        <v>0</v>
      </c>
    </row>
    <row r="933">
      <c r="A933" s="34">
        <v>1046.0</v>
      </c>
      <c r="B933" s="37">
        <v>2018.0</v>
      </c>
      <c r="C933" s="54">
        <v>10.0</v>
      </c>
      <c r="D933" s="60">
        <v>1.0</v>
      </c>
      <c r="E933" s="60">
        <v>3.0</v>
      </c>
      <c r="F933" s="68" t="s">
        <v>16</v>
      </c>
      <c r="G933" s="10" t="s">
        <v>64</v>
      </c>
      <c r="H933" s="10">
        <v>3.17</v>
      </c>
      <c r="I933" s="10">
        <v>3.03</v>
      </c>
      <c r="J933" s="10">
        <v>6.2</v>
      </c>
      <c r="L933" s="3">
        <f t="shared" si="10"/>
        <v>0</v>
      </c>
    </row>
    <row r="934">
      <c r="A934" s="34">
        <v>1047.0</v>
      </c>
      <c r="B934" s="37">
        <v>2018.0</v>
      </c>
      <c r="C934" s="54">
        <v>10.0</v>
      </c>
      <c r="D934" s="60">
        <v>1.0</v>
      </c>
      <c r="E934" s="60">
        <v>3.0</v>
      </c>
      <c r="F934" s="68" t="s">
        <v>16</v>
      </c>
      <c r="G934" s="10" t="s">
        <v>54</v>
      </c>
      <c r="H934" s="10">
        <v>2.73</v>
      </c>
      <c r="I934" s="10">
        <v>1.7</v>
      </c>
      <c r="J934" s="10">
        <v>4.43</v>
      </c>
      <c r="L934" s="3">
        <f t="shared" si="10"/>
        <v>0</v>
      </c>
    </row>
    <row r="935">
      <c r="A935" s="34">
        <v>1048.0</v>
      </c>
      <c r="B935" s="37">
        <v>2018.0</v>
      </c>
      <c r="C935" s="54">
        <v>10.0</v>
      </c>
      <c r="D935" s="60">
        <v>1.0</v>
      </c>
      <c r="E935" s="60">
        <v>4.0</v>
      </c>
      <c r="F935" s="68" t="s">
        <v>16</v>
      </c>
      <c r="G935" s="10" t="s">
        <v>31</v>
      </c>
      <c r="H935" s="10">
        <v>7.5</v>
      </c>
      <c r="I935" s="10">
        <v>7.0</v>
      </c>
      <c r="J935" s="10">
        <v>14.5</v>
      </c>
      <c r="L935" s="3">
        <f t="shared" si="10"/>
        <v>0</v>
      </c>
    </row>
    <row r="936">
      <c r="A936" s="34">
        <v>1049.0</v>
      </c>
      <c r="B936" s="37">
        <v>2018.0</v>
      </c>
      <c r="C936" s="54">
        <v>10.0</v>
      </c>
      <c r="D936" s="60">
        <v>1.0</v>
      </c>
      <c r="E936" s="60">
        <v>4.0</v>
      </c>
      <c r="F936" s="68" t="s">
        <v>16</v>
      </c>
      <c r="G936" s="10" t="s">
        <v>61</v>
      </c>
      <c r="H936" s="10">
        <v>6.17</v>
      </c>
      <c r="I936" s="10">
        <v>5.83</v>
      </c>
      <c r="J936" s="10">
        <v>12.0</v>
      </c>
      <c r="L936" s="3">
        <f t="shared" si="10"/>
        <v>0</v>
      </c>
    </row>
    <row r="937">
      <c r="A937" s="34">
        <v>1050.0</v>
      </c>
      <c r="B937" s="37">
        <v>2018.0</v>
      </c>
      <c r="C937" s="54">
        <v>10.0</v>
      </c>
      <c r="D937" s="60">
        <v>1.0</v>
      </c>
      <c r="E937" s="60">
        <v>4.0</v>
      </c>
      <c r="F937" s="68" t="s">
        <v>16</v>
      </c>
      <c r="G937" s="10" t="s">
        <v>119</v>
      </c>
      <c r="H937" s="10">
        <v>6.0</v>
      </c>
      <c r="I937" s="10">
        <v>3.47</v>
      </c>
      <c r="J937" s="10">
        <v>9.47</v>
      </c>
      <c r="L937" s="3">
        <f t="shared" si="10"/>
        <v>0</v>
      </c>
    </row>
    <row r="938">
      <c r="A938" s="34">
        <v>1051.0</v>
      </c>
      <c r="B938" s="37">
        <v>2018.0</v>
      </c>
      <c r="C938" s="54">
        <v>10.0</v>
      </c>
      <c r="D938" s="60">
        <v>1.0</v>
      </c>
      <c r="E938" s="60">
        <v>5.0</v>
      </c>
      <c r="F938" s="68" t="s">
        <v>16</v>
      </c>
      <c r="G938" s="10" t="s">
        <v>111</v>
      </c>
      <c r="H938" s="10">
        <v>5.5</v>
      </c>
      <c r="I938" s="10">
        <v>5.0</v>
      </c>
      <c r="J938" s="10">
        <v>10.5</v>
      </c>
      <c r="L938" s="3">
        <f t="shared" si="10"/>
        <v>0</v>
      </c>
    </row>
    <row r="939">
      <c r="A939" s="34">
        <v>1052.0</v>
      </c>
      <c r="B939" s="37">
        <v>2018.0</v>
      </c>
      <c r="C939" s="54">
        <v>10.0</v>
      </c>
      <c r="D939" s="60">
        <v>1.0</v>
      </c>
      <c r="E939" s="60">
        <v>5.0</v>
      </c>
      <c r="F939" s="68" t="s">
        <v>16</v>
      </c>
      <c r="G939" s="10" t="s">
        <v>33</v>
      </c>
      <c r="H939" s="10">
        <v>5.33</v>
      </c>
      <c r="I939" s="10">
        <v>4.23</v>
      </c>
      <c r="J939" s="10">
        <v>9.56</v>
      </c>
      <c r="L939" s="3">
        <f t="shared" si="10"/>
        <v>0</v>
      </c>
    </row>
    <row r="940">
      <c r="A940" s="34">
        <v>1053.0</v>
      </c>
      <c r="B940" s="37">
        <v>2018.0</v>
      </c>
      <c r="C940" s="54">
        <v>10.0</v>
      </c>
      <c r="D940" s="60">
        <v>1.0</v>
      </c>
      <c r="E940" s="60">
        <v>5.0</v>
      </c>
      <c r="F940" s="68" t="s">
        <v>16</v>
      </c>
      <c r="G940" s="10" t="s">
        <v>194</v>
      </c>
      <c r="H940" s="10">
        <v>3.1</v>
      </c>
      <c r="I940" s="10">
        <v>1.07</v>
      </c>
      <c r="J940" s="10">
        <v>4.17</v>
      </c>
      <c r="L940" s="3">
        <f t="shared" si="10"/>
        <v>4.17</v>
      </c>
    </row>
    <row r="941">
      <c r="A941" s="34">
        <v>1054.0</v>
      </c>
      <c r="B941" s="37">
        <v>2018.0</v>
      </c>
      <c r="C941" s="54">
        <v>10.0</v>
      </c>
      <c r="D941" s="60">
        <v>1.0</v>
      </c>
      <c r="E941" s="60">
        <v>6.0</v>
      </c>
      <c r="F941" s="68" t="s">
        <v>16</v>
      </c>
      <c r="G941" s="10" t="s">
        <v>30</v>
      </c>
      <c r="H941" s="10">
        <v>6.67</v>
      </c>
      <c r="I941" s="10">
        <v>6.5</v>
      </c>
      <c r="J941" s="10">
        <v>13.17</v>
      </c>
      <c r="L941" s="3">
        <f t="shared" si="10"/>
        <v>0</v>
      </c>
    </row>
    <row r="942">
      <c r="A942" s="34">
        <v>1055.0</v>
      </c>
      <c r="B942" s="37">
        <v>2018.0</v>
      </c>
      <c r="C942" s="54">
        <v>10.0</v>
      </c>
      <c r="D942" s="60">
        <v>1.0</v>
      </c>
      <c r="E942" s="60">
        <v>6.0</v>
      </c>
      <c r="F942" s="68" t="s">
        <v>16</v>
      </c>
      <c r="G942" s="10" t="s">
        <v>143</v>
      </c>
      <c r="H942" s="10">
        <v>5.0</v>
      </c>
      <c r="I942" s="10">
        <v>1.03</v>
      </c>
      <c r="J942" s="10">
        <v>6.03</v>
      </c>
      <c r="L942" s="3">
        <f t="shared" si="10"/>
        <v>0</v>
      </c>
    </row>
    <row r="943">
      <c r="A943" s="34">
        <v>1056.0</v>
      </c>
      <c r="B943" s="37">
        <v>2018.0</v>
      </c>
      <c r="C943" s="54">
        <v>10.0</v>
      </c>
      <c r="D943" s="60">
        <v>1.0</v>
      </c>
      <c r="E943" s="60">
        <v>6.0</v>
      </c>
      <c r="F943" s="68" t="s">
        <v>16</v>
      </c>
      <c r="G943" s="10" t="s">
        <v>177</v>
      </c>
      <c r="H943" s="10">
        <v>3.07</v>
      </c>
      <c r="I943" s="10">
        <v>1.7</v>
      </c>
      <c r="J943" s="10">
        <v>4.77</v>
      </c>
      <c r="L943" s="3">
        <f t="shared" si="10"/>
        <v>0</v>
      </c>
    </row>
    <row r="944">
      <c r="A944" s="34">
        <v>1057.0</v>
      </c>
      <c r="B944" s="37">
        <v>2018.0</v>
      </c>
      <c r="C944" s="54">
        <v>10.0</v>
      </c>
      <c r="D944" s="60">
        <v>1.0</v>
      </c>
      <c r="E944" s="60">
        <v>7.0</v>
      </c>
      <c r="F944" s="68" t="s">
        <v>16</v>
      </c>
      <c r="G944" s="10" t="s">
        <v>47</v>
      </c>
      <c r="H944" s="10">
        <v>4.87</v>
      </c>
      <c r="I944" s="10">
        <v>4.23</v>
      </c>
      <c r="J944" s="10">
        <v>9.1</v>
      </c>
      <c r="L944" s="3">
        <f t="shared" si="10"/>
        <v>0</v>
      </c>
    </row>
    <row r="945">
      <c r="A945" s="34">
        <v>1058.0</v>
      </c>
      <c r="B945" s="37">
        <v>2018.0</v>
      </c>
      <c r="C945" s="54">
        <v>10.0</v>
      </c>
      <c r="D945" s="60">
        <v>1.0</v>
      </c>
      <c r="E945" s="60">
        <v>7.0</v>
      </c>
      <c r="F945" s="68" t="s">
        <v>16</v>
      </c>
      <c r="G945" s="10" t="s">
        <v>55</v>
      </c>
      <c r="H945" s="10">
        <v>4.83</v>
      </c>
      <c r="I945" s="10">
        <v>3.47</v>
      </c>
      <c r="J945" s="10">
        <v>8.3</v>
      </c>
      <c r="L945" s="3">
        <f t="shared" si="10"/>
        <v>0</v>
      </c>
    </row>
    <row r="946">
      <c r="A946" s="34">
        <v>1059.0</v>
      </c>
      <c r="B946" s="37">
        <v>2018.0</v>
      </c>
      <c r="C946" s="54">
        <v>10.0</v>
      </c>
      <c r="D946" s="60">
        <v>1.0</v>
      </c>
      <c r="E946" s="60">
        <v>7.0</v>
      </c>
      <c r="F946" s="68" t="s">
        <v>16</v>
      </c>
      <c r="G946" s="10" t="s">
        <v>43</v>
      </c>
      <c r="H946" s="10">
        <v>3.47</v>
      </c>
      <c r="I946" s="10">
        <v>2.33</v>
      </c>
      <c r="J946" s="10">
        <v>5.8</v>
      </c>
      <c r="L946" s="3">
        <f t="shared" si="10"/>
        <v>0</v>
      </c>
    </row>
    <row r="947">
      <c r="A947" s="34">
        <v>1060.0</v>
      </c>
      <c r="B947" s="37">
        <v>2018.0</v>
      </c>
      <c r="C947" s="54">
        <v>10.0</v>
      </c>
      <c r="D947" s="60">
        <v>1.0</v>
      </c>
      <c r="E947" s="60">
        <v>8.0</v>
      </c>
      <c r="F947" s="68" t="s">
        <v>16</v>
      </c>
      <c r="G947" s="10" t="s">
        <v>52</v>
      </c>
      <c r="H947" s="10">
        <v>7.33</v>
      </c>
      <c r="I947" s="10">
        <v>4.83</v>
      </c>
      <c r="J947" s="10">
        <v>12.16</v>
      </c>
      <c r="L947" s="3">
        <f t="shared" si="10"/>
        <v>0</v>
      </c>
    </row>
    <row r="948">
      <c r="A948" s="34">
        <v>1061.0</v>
      </c>
      <c r="B948" s="37">
        <v>2018.0</v>
      </c>
      <c r="C948" s="54">
        <v>10.0</v>
      </c>
      <c r="D948" s="60">
        <v>1.0</v>
      </c>
      <c r="E948" s="60">
        <v>8.0</v>
      </c>
      <c r="F948" s="68" t="s">
        <v>16</v>
      </c>
      <c r="G948" s="10" t="s">
        <v>178</v>
      </c>
      <c r="H948" s="10">
        <v>8.0</v>
      </c>
      <c r="I948" s="10">
        <v>2.17</v>
      </c>
      <c r="J948" s="10">
        <v>10.17</v>
      </c>
      <c r="L948" s="3">
        <f t="shared" si="10"/>
        <v>0</v>
      </c>
    </row>
    <row r="949">
      <c r="A949" s="34">
        <v>1062.0</v>
      </c>
      <c r="B949" s="37">
        <v>2018.0</v>
      </c>
      <c r="C949" s="54">
        <v>10.0</v>
      </c>
      <c r="D949" s="60">
        <v>1.0</v>
      </c>
      <c r="E949" s="60">
        <v>8.0</v>
      </c>
      <c r="F949" s="68" t="s">
        <v>16</v>
      </c>
      <c r="G949" s="10" t="s">
        <v>65</v>
      </c>
      <c r="H949" s="10">
        <v>1.67</v>
      </c>
      <c r="I949" s="10">
        <v>1.5</v>
      </c>
      <c r="J949" s="10">
        <v>3.17</v>
      </c>
      <c r="L949" s="3">
        <f t="shared" si="10"/>
        <v>0</v>
      </c>
    </row>
    <row r="950">
      <c r="A950" s="34">
        <v>1063.0</v>
      </c>
      <c r="B950" s="37">
        <v>2018.0</v>
      </c>
      <c r="C950" s="54">
        <v>10.0</v>
      </c>
      <c r="D950" s="60">
        <v>1.0</v>
      </c>
      <c r="E950" s="60">
        <v>9.0</v>
      </c>
      <c r="F950" s="68" t="s">
        <v>16</v>
      </c>
      <c r="G950" s="10" t="s">
        <v>67</v>
      </c>
      <c r="H950" s="10">
        <v>6.17</v>
      </c>
      <c r="I950" s="10">
        <v>5.33</v>
      </c>
      <c r="J950" s="10">
        <v>11.5</v>
      </c>
      <c r="L950" s="3">
        <f t="shared" si="10"/>
        <v>0</v>
      </c>
    </row>
    <row r="951">
      <c r="A951" s="34">
        <v>1064.0</v>
      </c>
      <c r="B951" s="37">
        <v>2018.0</v>
      </c>
      <c r="C951" s="54">
        <v>10.0</v>
      </c>
      <c r="D951" s="60">
        <v>1.0</v>
      </c>
      <c r="E951" s="60">
        <v>9.0</v>
      </c>
      <c r="F951" s="68" t="s">
        <v>16</v>
      </c>
      <c r="G951" s="10" t="s">
        <v>32</v>
      </c>
      <c r="H951" s="10">
        <v>3.33</v>
      </c>
      <c r="I951" s="10">
        <v>2.43</v>
      </c>
      <c r="J951" s="10">
        <v>5.76</v>
      </c>
      <c r="L951" s="3">
        <f t="shared" si="10"/>
        <v>0</v>
      </c>
    </row>
    <row r="952">
      <c r="A952" s="34">
        <v>1065.0</v>
      </c>
      <c r="B952" s="37">
        <v>2018.0</v>
      </c>
      <c r="C952" s="54">
        <v>10.0</v>
      </c>
      <c r="D952" s="60">
        <v>1.0</v>
      </c>
      <c r="E952" s="60">
        <v>9.0</v>
      </c>
      <c r="F952" s="68" t="s">
        <v>16</v>
      </c>
      <c r="G952" s="10" t="s">
        <v>50</v>
      </c>
      <c r="H952" s="10">
        <v>1.0</v>
      </c>
      <c r="I952" s="10">
        <v>0.8</v>
      </c>
      <c r="J952" s="10">
        <v>1.8</v>
      </c>
      <c r="L952" s="3">
        <f t="shared" si="10"/>
        <v>0</v>
      </c>
    </row>
    <row r="953">
      <c r="A953" s="34">
        <v>1066.0</v>
      </c>
      <c r="B953" s="37">
        <v>2018.0</v>
      </c>
      <c r="C953" s="54">
        <v>10.0</v>
      </c>
      <c r="D953" s="60">
        <v>1.0</v>
      </c>
      <c r="E953" s="60">
        <v>10.0</v>
      </c>
      <c r="F953" s="68" t="s">
        <v>16</v>
      </c>
      <c r="G953" s="10" t="s">
        <v>142</v>
      </c>
      <c r="H953" s="10">
        <v>4.83</v>
      </c>
      <c r="I953" s="10">
        <v>4.0</v>
      </c>
      <c r="J953" s="10">
        <v>8.83</v>
      </c>
      <c r="L953" s="3">
        <f t="shared" si="10"/>
        <v>0</v>
      </c>
    </row>
    <row r="954">
      <c r="A954" s="34">
        <v>1067.0</v>
      </c>
      <c r="B954" s="37">
        <v>2018.0</v>
      </c>
      <c r="C954" s="54">
        <v>10.0</v>
      </c>
      <c r="D954" s="60">
        <v>1.0</v>
      </c>
      <c r="E954" s="60">
        <v>10.0</v>
      </c>
      <c r="F954" s="68" t="s">
        <v>16</v>
      </c>
      <c r="G954" s="10" t="s">
        <v>179</v>
      </c>
      <c r="H954" s="10">
        <v>4.1</v>
      </c>
      <c r="I954" s="10">
        <v>2.93</v>
      </c>
      <c r="J954" s="10">
        <v>7.03</v>
      </c>
      <c r="L954" s="3">
        <f t="shared" si="10"/>
        <v>0</v>
      </c>
    </row>
    <row r="955">
      <c r="A955" s="34">
        <v>1068.0</v>
      </c>
      <c r="B955" s="37">
        <v>2018.0</v>
      </c>
      <c r="C955" s="54">
        <v>10.0</v>
      </c>
      <c r="D955" s="60">
        <v>1.0</v>
      </c>
      <c r="E955" s="60">
        <v>10.0</v>
      </c>
      <c r="F955" s="68" t="s">
        <v>16</v>
      </c>
      <c r="G955" s="10" t="s">
        <v>38</v>
      </c>
      <c r="H955" s="10">
        <v>1.37</v>
      </c>
      <c r="I955" s="10">
        <v>1.17</v>
      </c>
      <c r="J955" s="10">
        <v>2.54</v>
      </c>
      <c r="L955" s="3">
        <f t="shared" si="10"/>
        <v>0</v>
      </c>
    </row>
    <row r="956">
      <c r="A956" s="34">
        <v>1069.0</v>
      </c>
      <c r="B956" s="37">
        <v>2018.0</v>
      </c>
      <c r="C956" s="54">
        <v>10.0</v>
      </c>
      <c r="D956" s="60">
        <v>1.0</v>
      </c>
      <c r="E956" s="60">
        <v>11.0</v>
      </c>
      <c r="F956" s="68" t="s">
        <v>16</v>
      </c>
      <c r="G956" s="10" t="s">
        <v>53</v>
      </c>
      <c r="H956" s="10">
        <v>7.77</v>
      </c>
      <c r="I956" s="10">
        <v>7.0</v>
      </c>
      <c r="J956" s="10">
        <v>14.77</v>
      </c>
      <c r="L956" s="3">
        <f t="shared" si="10"/>
        <v>0</v>
      </c>
    </row>
    <row r="957">
      <c r="A957" s="34">
        <v>1070.0</v>
      </c>
      <c r="B957" s="37">
        <v>2018.0</v>
      </c>
      <c r="C957" s="54">
        <v>10.0</v>
      </c>
      <c r="D957" s="60">
        <v>1.0</v>
      </c>
      <c r="E957" s="60">
        <v>11.0</v>
      </c>
      <c r="F957" s="68" t="s">
        <v>16</v>
      </c>
      <c r="G957" s="10" t="s">
        <v>34</v>
      </c>
      <c r="H957" s="10">
        <v>3.67</v>
      </c>
      <c r="I957" s="10">
        <v>3.1</v>
      </c>
      <c r="J957" s="10">
        <v>6.77</v>
      </c>
      <c r="L957" s="3">
        <f t="shared" si="10"/>
        <v>0</v>
      </c>
    </row>
    <row r="958">
      <c r="A958" s="34">
        <v>1071.0</v>
      </c>
      <c r="B958" s="37">
        <v>2018.0</v>
      </c>
      <c r="C958" s="54">
        <v>10.0</v>
      </c>
      <c r="D958" s="60">
        <v>1.0</v>
      </c>
      <c r="E958" s="60">
        <v>11.0</v>
      </c>
      <c r="F958" s="68" t="s">
        <v>16</v>
      </c>
      <c r="G958" s="10" t="s">
        <v>42</v>
      </c>
      <c r="H958" s="10">
        <v>5.17</v>
      </c>
      <c r="I958" s="10">
        <v>1.0</v>
      </c>
      <c r="J958" s="10">
        <v>6.17</v>
      </c>
      <c r="L958" s="3">
        <f t="shared" si="10"/>
        <v>0</v>
      </c>
    </row>
    <row r="959">
      <c r="A959" s="34">
        <v>1072.0</v>
      </c>
      <c r="B959" s="37">
        <v>2018.0</v>
      </c>
      <c r="C959" s="54">
        <v>10.0</v>
      </c>
      <c r="D959" s="60">
        <v>1.0</v>
      </c>
      <c r="E959" s="60">
        <v>12.0</v>
      </c>
      <c r="F959" s="68" t="s">
        <v>16</v>
      </c>
      <c r="G959" s="10" t="s">
        <v>27</v>
      </c>
      <c r="H959" s="10">
        <v>6.6</v>
      </c>
      <c r="I959" s="10">
        <v>3.87</v>
      </c>
      <c r="J959" s="10">
        <v>10.47</v>
      </c>
      <c r="L959" s="3">
        <f t="shared" si="10"/>
        <v>0</v>
      </c>
    </row>
    <row r="960">
      <c r="A960" s="34">
        <v>1073.0</v>
      </c>
      <c r="B960" s="37">
        <v>2018.0</v>
      </c>
      <c r="C960" s="54">
        <v>10.0</v>
      </c>
      <c r="D960" s="60">
        <v>1.0</v>
      </c>
      <c r="E960" s="60">
        <v>12.0</v>
      </c>
      <c r="F960" s="68" t="s">
        <v>16</v>
      </c>
      <c r="G960" s="10" t="s">
        <v>110</v>
      </c>
      <c r="H960" s="10">
        <v>4.33</v>
      </c>
      <c r="I960" s="10">
        <v>2.4</v>
      </c>
      <c r="J960" s="10">
        <v>6.73</v>
      </c>
      <c r="L960" s="3">
        <f t="shared" si="10"/>
        <v>0</v>
      </c>
    </row>
    <row r="961">
      <c r="A961" s="34">
        <v>1074.0</v>
      </c>
      <c r="B961" s="37">
        <v>2018.0</v>
      </c>
      <c r="C961" s="54">
        <v>10.0</v>
      </c>
      <c r="D961" s="60">
        <v>1.0</v>
      </c>
      <c r="E961" s="60">
        <v>12.0</v>
      </c>
      <c r="F961" s="68" t="s">
        <v>16</v>
      </c>
      <c r="G961" s="10" t="s">
        <v>176</v>
      </c>
      <c r="H961" s="10">
        <v>1.67</v>
      </c>
      <c r="I961" s="10"/>
      <c r="J961" s="10">
        <v>1.67</v>
      </c>
      <c r="L961" s="3">
        <f t="shared" si="10"/>
        <v>0</v>
      </c>
    </row>
    <row r="962">
      <c r="A962" s="34">
        <v>1075.0</v>
      </c>
      <c r="B962" s="37">
        <v>2018.0</v>
      </c>
      <c r="C962" s="54">
        <v>10.0</v>
      </c>
      <c r="D962" s="60">
        <v>2.0</v>
      </c>
      <c r="E962" s="60">
        <v>1.0</v>
      </c>
      <c r="F962" s="68" t="s">
        <v>16</v>
      </c>
      <c r="G962" s="10" t="s">
        <v>33</v>
      </c>
      <c r="H962" s="10">
        <v>8.17</v>
      </c>
      <c r="I962" s="10">
        <v>4.5</v>
      </c>
      <c r="J962" s="10">
        <v>12.67</v>
      </c>
      <c r="L962" s="3">
        <f t="shared" si="10"/>
        <v>0</v>
      </c>
    </row>
    <row r="963">
      <c r="A963" s="34">
        <v>1076.0</v>
      </c>
      <c r="B963" s="37">
        <v>2018.0</v>
      </c>
      <c r="C963" s="54">
        <v>10.0</v>
      </c>
      <c r="D963" s="60">
        <v>2.0</v>
      </c>
      <c r="E963" s="60">
        <v>1.0</v>
      </c>
      <c r="F963" s="68" t="s">
        <v>16</v>
      </c>
      <c r="G963" s="10" t="s">
        <v>143</v>
      </c>
      <c r="H963" s="10">
        <v>3.83</v>
      </c>
      <c r="I963" s="10">
        <v>1.2</v>
      </c>
      <c r="J963" s="10">
        <v>5.03</v>
      </c>
      <c r="L963" s="3">
        <f t="shared" si="10"/>
        <v>0</v>
      </c>
    </row>
    <row r="964">
      <c r="A964" s="34">
        <v>1077.0</v>
      </c>
      <c r="B964" s="37">
        <v>2018.0</v>
      </c>
      <c r="C964" s="54">
        <v>10.0</v>
      </c>
      <c r="D964" s="60">
        <v>2.0</v>
      </c>
      <c r="E964" s="60">
        <v>2.0</v>
      </c>
      <c r="F964" s="68" t="s">
        <v>16</v>
      </c>
      <c r="G964" s="10" t="s">
        <v>57</v>
      </c>
      <c r="H964" s="10">
        <v>6.0</v>
      </c>
      <c r="I964" s="10">
        <v>3.33</v>
      </c>
      <c r="J964" s="10">
        <v>9.33</v>
      </c>
      <c r="L964" s="3">
        <f t="shared" si="10"/>
        <v>0</v>
      </c>
    </row>
    <row r="965">
      <c r="A965" s="34">
        <v>1078.0</v>
      </c>
      <c r="B965" s="37">
        <v>2018.0</v>
      </c>
      <c r="C965" s="54">
        <v>10.0</v>
      </c>
      <c r="D965" s="60">
        <v>2.0</v>
      </c>
      <c r="E965" s="60">
        <v>2.0</v>
      </c>
      <c r="F965" s="68" t="s">
        <v>16</v>
      </c>
      <c r="G965" s="10" t="s">
        <v>194</v>
      </c>
      <c r="H965" s="10">
        <v>4.03</v>
      </c>
      <c r="I965" s="10">
        <v>3.7</v>
      </c>
      <c r="J965" s="10">
        <v>7.73</v>
      </c>
      <c r="L965" s="3">
        <f t="shared" si="10"/>
        <v>7.73</v>
      </c>
    </row>
    <row r="966">
      <c r="A966" s="34">
        <v>1079.0</v>
      </c>
      <c r="B966" s="37">
        <v>2018.0</v>
      </c>
      <c r="C966" s="54">
        <v>10.0</v>
      </c>
      <c r="D966" s="60">
        <v>2.0</v>
      </c>
      <c r="E966" s="60">
        <v>3.0</v>
      </c>
      <c r="F966" s="68" t="s">
        <v>16</v>
      </c>
      <c r="G966" s="10" t="s">
        <v>43</v>
      </c>
      <c r="H966" s="10">
        <v>4.33</v>
      </c>
      <c r="I966" s="10">
        <v>3.7</v>
      </c>
      <c r="J966" s="10">
        <v>8.03</v>
      </c>
      <c r="L966" s="3">
        <f t="shared" si="10"/>
        <v>0</v>
      </c>
    </row>
    <row r="967">
      <c r="A967" s="34">
        <v>1080.0</v>
      </c>
      <c r="B967" s="37">
        <v>2018.0</v>
      </c>
      <c r="C967" s="54">
        <v>10.0</v>
      </c>
      <c r="D967" s="60">
        <v>2.0</v>
      </c>
      <c r="E967" s="60">
        <v>3.0</v>
      </c>
      <c r="F967" s="68" t="s">
        <v>16</v>
      </c>
      <c r="G967" s="10" t="s">
        <v>119</v>
      </c>
      <c r="H967" s="10">
        <v>3.97</v>
      </c>
      <c r="I967" s="10">
        <v>3.93</v>
      </c>
      <c r="J967" s="10">
        <v>7.9</v>
      </c>
      <c r="L967" s="3">
        <f t="shared" si="10"/>
        <v>0</v>
      </c>
    </row>
    <row r="968">
      <c r="A968" s="34">
        <v>1081.0</v>
      </c>
      <c r="B968" s="37">
        <v>2018.0</v>
      </c>
      <c r="C968" s="54">
        <v>10.0</v>
      </c>
      <c r="D968" s="60">
        <v>2.0</v>
      </c>
      <c r="E968" s="60">
        <v>4.0</v>
      </c>
      <c r="F968" s="68" t="s">
        <v>16</v>
      </c>
      <c r="G968" s="10" t="s">
        <v>32</v>
      </c>
      <c r="H968" s="10">
        <v>6.5</v>
      </c>
      <c r="I968" s="10">
        <v>5.83</v>
      </c>
      <c r="J968" s="10">
        <v>12.33</v>
      </c>
      <c r="L968" s="3">
        <f t="shared" si="10"/>
        <v>0</v>
      </c>
    </row>
    <row r="969">
      <c r="A969" s="34">
        <v>1082.0</v>
      </c>
      <c r="B969" s="37">
        <v>2018.0</v>
      </c>
      <c r="C969" s="54">
        <v>10.0</v>
      </c>
      <c r="D969" s="60">
        <v>2.0</v>
      </c>
      <c r="E969" s="60">
        <v>4.0</v>
      </c>
      <c r="F969" s="68" t="s">
        <v>16</v>
      </c>
      <c r="G969" s="10" t="s">
        <v>54</v>
      </c>
      <c r="H969" s="10">
        <v>5.0</v>
      </c>
      <c r="I969" s="10">
        <v>4.73</v>
      </c>
      <c r="J969" s="10">
        <v>9.73</v>
      </c>
      <c r="L969" s="3">
        <f t="shared" si="10"/>
        <v>0</v>
      </c>
    </row>
    <row r="970">
      <c r="A970" s="34">
        <v>1083.0</v>
      </c>
      <c r="B970" s="37">
        <v>2018.0</v>
      </c>
      <c r="C970" s="54">
        <v>10.0</v>
      </c>
      <c r="D970" s="60">
        <v>2.0</v>
      </c>
      <c r="E970" s="60">
        <v>5.0</v>
      </c>
      <c r="F970" s="68" t="s">
        <v>16</v>
      </c>
      <c r="G970" s="10" t="s">
        <v>179</v>
      </c>
      <c r="H970" s="10">
        <v>7.83</v>
      </c>
      <c r="I970" s="10">
        <v>6.67</v>
      </c>
      <c r="J970" s="10">
        <v>14.5</v>
      </c>
      <c r="L970" s="3">
        <f t="shared" si="10"/>
        <v>0</v>
      </c>
    </row>
    <row r="971">
      <c r="A971" s="34">
        <v>1084.0</v>
      </c>
      <c r="B971" s="37">
        <v>2018.0</v>
      </c>
      <c r="C971" s="54">
        <v>10.0</v>
      </c>
      <c r="D971" s="60">
        <v>2.0</v>
      </c>
      <c r="E971" s="60">
        <v>5.0</v>
      </c>
      <c r="F971" s="68" t="s">
        <v>16</v>
      </c>
      <c r="G971" s="10" t="s">
        <v>25</v>
      </c>
      <c r="H971" s="10">
        <v>5.17</v>
      </c>
      <c r="I971" s="10">
        <v>4.5</v>
      </c>
      <c r="J971" s="10">
        <v>9.67</v>
      </c>
      <c r="L971" s="3">
        <f t="shared" si="10"/>
        <v>0</v>
      </c>
    </row>
    <row r="972">
      <c r="A972" s="34">
        <v>1085.0</v>
      </c>
      <c r="B972" s="37">
        <v>2018.0</v>
      </c>
      <c r="C972" s="54">
        <v>10.0</v>
      </c>
      <c r="D972" s="60">
        <v>2.0</v>
      </c>
      <c r="E972" s="60">
        <v>6.0</v>
      </c>
      <c r="F972" s="68" t="s">
        <v>16</v>
      </c>
      <c r="G972" s="10" t="s">
        <v>176</v>
      </c>
      <c r="H972" s="10">
        <v>6.83</v>
      </c>
      <c r="I972" s="10">
        <v>6.17</v>
      </c>
      <c r="J972" s="10">
        <v>13.0</v>
      </c>
      <c r="L972" s="3">
        <f t="shared" si="10"/>
        <v>0</v>
      </c>
    </row>
    <row r="973">
      <c r="A973" s="34">
        <v>1086.0</v>
      </c>
      <c r="B973" s="37">
        <v>2018.0</v>
      </c>
      <c r="C973" s="54">
        <v>10.0</v>
      </c>
      <c r="D973" s="60">
        <v>2.0</v>
      </c>
      <c r="E973" s="60">
        <v>6.0</v>
      </c>
      <c r="F973" s="68" t="s">
        <v>16</v>
      </c>
      <c r="G973" s="10" t="s">
        <v>55</v>
      </c>
      <c r="H973" s="10">
        <v>5.83</v>
      </c>
      <c r="I973" s="10">
        <v>4.27</v>
      </c>
      <c r="J973" s="10">
        <v>10.1</v>
      </c>
      <c r="L973" s="3">
        <f t="shared" si="10"/>
        <v>0</v>
      </c>
    </row>
    <row r="974">
      <c r="A974" s="34">
        <v>1087.0</v>
      </c>
      <c r="B974" s="37">
        <v>2018.0</v>
      </c>
      <c r="C974" s="54">
        <v>10.0</v>
      </c>
      <c r="D974" s="60">
        <v>2.0</v>
      </c>
      <c r="E974" s="60">
        <v>7.0</v>
      </c>
      <c r="F974" s="68" t="s">
        <v>16</v>
      </c>
      <c r="G974" s="10" t="s">
        <v>65</v>
      </c>
      <c r="H974" s="10">
        <v>7.0</v>
      </c>
      <c r="I974" s="10">
        <v>5.83</v>
      </c>
      <c r="J974" s="10">
        <v>12.83</v>
      </c>
      <c r="L974" s="3">
        <f t="shared" si="10"/>
        <v>0</v>
      </c>
    </row>
    <row r="975">
      <c r="A975" s="34">
        <v>1088.0</v>
      </c>
      <c r="B975" s="37">
        <v>2018.0</v>
      </c>
      <c r="C975" s="54">
        <v>10.0</v>
      </c>
      <c r="D975" s="60">
        <v>2.0</v>
      </c>
      <c r="E975" s="60">
        <v>7.0</v>
      </c>
      <c r="F975" s="68" t="s">
        <v>16</v>
      </c>
      <c r="G975" s="10" t="s">
        <v>42</v>
      </c>
      <c r="H975" s="10">
        <v>4.0</v>
      </c>
      <c r="I975" s="10">
        <v>0.5</v>
      </c>
      <c r="J975" s="10">
        <v>4.5</v>
      </c>
      <c r="L975" s="3">
        <f t="shared" si="10"/>
        <v>0</v>
      </c>
    </row>
    <row r="976">
      <c r="A976" s="34">
        <v>1089.0</v>
      </c>
      <c r="B976" s="37">
        <v>2018.0</v>
      </c>
      <c r="C976" s="54">
        <v>10.0</v>
      </c>
      <c r="D976" s="60">
        <v>2.0</v>
      </c>
      <c r="E976" s="60">
        <v>8.0</v>
      </c>
      <c r="F976" s="68" t="s">
        <v>16</v>
      </c>
      <c r="G976" s="10" t="s">
        <v>34</v>
      </c>
      <c r="H976" s="10">
        <v>5.9</v>
      </c>
      <c r="I976" s="10">
        <v>5.43</v>
      </c>
      <c r="J976" s="10">
        <v>11.33</v>
      </c>
      <c r="L976" s="3">
        <f t="shared" si="10"/>
        <v>0</v>
      </c>
    </row>
    <row r="977">
      <c r="A977" s="34">
        <v>1090.0</v>
      </c>
      <c r="B977" s="37">
        <v>2018.0</v>
      </c>
      <c r="C977" s="54">
        <v>10.0</v>
      </c>
      <c r="D977" s="60">
        <v>2.0</v>
      </c>
      <c r="E977" s="60">
        <v>8.0</v>
      </c>
      <c r="F977" s="68" t="s">
        <v>16</v>
      </c>
      <c r="G977" s="10" t="s">
        <v>38</v>
      </c>
      <c r="H977" s="10">
        <v>6.0</v>
      </c>
      <c r="I977" s="10">
        <v>4.83</v>
      </c>
      <c r="J977" s="10">
        <v>10.83</v>
      </c>
      <c r="L977" s="3">
        <f t="shared" si="10"/>
        <v>0</v>
      </c>
    </row>
    <row r="978">
      <c r="A978" s="34">
        <v>1091.0</v>
      </c>
      <c r="B978" s="37">
        <v>2018.0</v>
      </c>
      <c r="C978" s="54">
        <v>10.0</v>
      </c>
      <c r="D978" s="60">
        <v>2.0</v>
      </c>
      <c r="E978" s="60">
        <v>9.0</v>
      </c>
      <c r="F978" s="68" t="s">
        <v>16</v>
      </c>
      <c r="G978" s="10" t="s">
        <v>50</v>
      </c>
      <c r="H978" s="10">
        <v>6.5</v>
      </c>
      <c r="I978" s="10">
        <v>6.0</v>
      </c>
      <c r="J978" s="10">
        <v>12.5</v>
      </c>
      <c r="L978" s="3">
        <f t="shared" si="10"/>
        <v>0</v>
      </c>
    </row>
    <row r="979">
      <c r="A979" s="34">
        <v>1092.0</v>
      </c>
      <c r="B979" s="37">
        <v>2018.0</v>
      </c>
      <c r="C979" s="54">
        <v>10.0</v>
      </c>
      <c r="D979" s="60">
        <v>2.0</v>
      </c>
      <c r="E979" s="60">
        <v>9.0</v>
      </c>
      <c r="F979" s="68" t="s">
        <v>16</v>
      </c>
      <c r="G979" s="10" t="s">
        <v>110</v>
      </c>
      <c r="H979" s="10">
        <v>5.17</v>
      </c>
      <c r="I979" s="10">
        <v>4.67</v>
      </c>
      <c r="J979" s="10">
        <v>9.84</v>
      </c>
      <c r="L979" s="3">
        <f t="shared" si="10"/>
        <v>0</v>
      </c>
    </row>
    <row r="980">
      <c r="A980" s="34">
        <v>1093.0</v>
      </c>
      <c r="B980" s="37">
        <v>2018.0</v>
      </c>
      <c r="C980" s="54">
        <v>10.0</v>
      </c>
      <c r="D980" s="60">
        <v>2.0</v>
      </c>
      <c r="E980" s="60">
        <v>10.0</v>
      </c>
      <c r="F980" s="68" t="s">
        <v>16</v>
      </c>
      <c r="G980" s="10" t="s">
        <v>177</v>
      </c>
      <c r="H980" s="10">
        <v>7.0</v>
      </c>
      <c r="I980" s="10">
        <v>4.1</v>
      </c>
      <c r="J980" s="10">
        <v>11.1</v>
      </c>
      <c r="L980" s="3">
        <f t="shared" si="10"/>
        <v>0</v>
      </c>
    </row>
    <row r="981">
      <c r="A981" s="34">
        <v>1094.0</v>
      </c>
      <c r="B981" s="37">
        <v>2018.0</v>
      </c>
      <c r="C981" s="54">
        <v>10.0</v>
      </c>
      <c r="D981" s="60">
        <v>2.0</v>
      </c>
      <c r="E981" s="60">
        <v>10.0</v>
      </c>
      <c r="F981" s="68" t="s">
        <v>16</v>
      </c>
      <c r="G981" s="10" t="s">
        <v>178</v>
      </c>
      <c r="H981" s="10">
        <v>5.83</v>
      </c>
      <c r="I981" s="10">
        <v>4.83</v>
      </c>
      <c r="J981" s="10">
        <v>10.66</v>
      </c>
      <c r="L981" s="3">
        <f t="shared" si="10"/>
        <v>0</v>
      </c>
    </row>
    <row r="982">
      <c r="A982" s="34">
        <v>1095.0</v>
      </c>
      <c r="B982" s="37">
        <v>2018.0</v>
      </c>
      <c r="C982" s="54">
        <v>10.0</v>
      </c>
      <c r="D982" s="60">
        <v>2.0</v>
      </c>
      <c r="E982" s="60">
        <v>11.0</v>
      </c>
      <c r="F982" s="68" t="s">
        <v>16</v>
      </c>
      <c r="G982" s="10" t="s">
        <v>69</v>
      </c>
      <c r="H982" s="10">
        <v>7.33</v>
      </c>
      <c r="I982" s="10">
        <v>5.93</v>
      </c>
      <c r="J982" s="10">
        <v>13.26</v>
      </c>
      <c r="L982" s="3">
        <f t="shared" si="10"/>
        <v>0</v>
      </c>
    </row>
    <row r="983">
      <c r="A983" s="34">
        <v>1096.0</v>
      </c>
      <c r="B983" s="37">
        <v>2018.0</v>
      </c>
      <c r="C983" s="54">
        <v>10.0</v>
      </c>
      <c r="D983" s="60">
        <v>2.0</v>
      </c>
      <c r="E983" s="60">
        <v>11.0</v>
      </c>
      <c r="F983" s="68" t="s">
        <v>16</v>
      </c>
      <c r="G983" s="10" t="s">
        <v>61</v>
      </c>
      <c r="H983" s="10">
        <v>4.83</v>
      </c>
      <c r="I983" s="10">
        <v>3.53</v>
      </c>
      <c r="J983" s="10">
        <v>8.36</v>
      </c>
      <c r="L983" s="3">
        <f t="shared" si="10"/>
        <v>0</v>
      </c>
    </row>
    <row r="984">
      <c r="A984" s="34">
        <v>1097.0</v>
      </c>
      <c r="B984" s="37">
        <v>2018.0</v>
      </c>
      <c r="C984" s="54">
        <v>10.0</v>
      </c>
      <c r="D984" s="60">
        <v>2.0</v>
      </c>
      <c r="E984" s="60">
        <v>12.0</v>
      </c>
      <c r="F984" s="68" t="s">
        <v>16</v>
      </c>
      <c r="G984" s="10" t="s">
        <v>64</v>
      </c>
      <c r="H984" s="10">
        <v>5.77</v>
      </c>
      <c r="I984" s="10">
        <v>5.67</v>
      </c>
      <c r="J984" s="10">
        <v>11.44</v>
      </c>
      <c r="L984" s="3">
        <f t="shared" si="10"/>
        <v>0</v>
      </c>
    </row>
    <row r="985">
      <c r="A985" s="34">
        <v>1098.0</v>
      </c>
      <c r="B985" s="37">
        <v>2018.0</v>
      </c>
      <c r="C985" s="54">
        <v>10.0</v>
      </c>
      <c r="D985" s="60">
        <v>2.0</v>
      </c>
      <c r="E985" s="60">
        <v>12.0</v>
      </c>
      <c r="F985" s="68" t="s">
        <v>16</v>
      </c>
      <c r="G985" s="10" t="s">
        <v>169</v>
      </c>
      <c r="H985" s="10">
        <v>6.23</v>
      </c>
      <c r="I985" s="10">
        <v>2.93</v>
      </c>
      <c r="J985" s="10">
        <v>9.16</v>
      </c>
      <c r="L985" s="3">
        <f t="shared" si="10"/>
        <v>0</v>
      </c>
    </row>
    <row r="986">
      <c r="A986" s="34">
        <v>1099.0</v>
      </c>
      <c r="B986" s="37">
        <v>2018.0</v>
      </c>
      <c r="C986" s="54">
        <v>10.0</v>
      </c>
      <c r="D986" s="60">
        <v>3.0</v>
      </c>
      <c r="E986" s="60">
        <v>1.0</v>
      </c>
      <c r="F986" s="68" t="s">
        <v>16</v>
      </c>
      <c r="G986" s="10" t="s">
        <v>17</v>
      </c>
      <c r="H986" s="10">
        <v>7.33</v>
      </c>
      <c r="I986" s="10">
        <v>6.33</v>
      </c>
      <c r="J986" s="10">
        <v>13.66</v>
      </c>
      <c r="L986" s="3">
        <f t="shared" si="10"/>
        <v>0</v>
      </c>
    </row>
    <row r="987">
      <c r="A987" s="34">
        <v>1100.0</v>
      </c>
      <c r="B987" s="37">
        <v>2018.0</v>
      </c>
      <c r="C987" s="54">
        <v>10.0</v>
      </c>
      <c r="D987" s="60">
        <v>3.0</v>
      </c>
      <c r="E987" s="60">
        <v>1.0</v>
      </c>
      <c r="F987" s="68" t="s">
        <v>16</v>
      </c>
      <c r="G987" s="10" t="s">
        <v>142</v>
      </c>
      <c r="H987" s="10">
        <v>6.8</v>
      </c>
      <c r="I987" s="10">
        <v>6.5</v>
      </c>
      <c r="J987" s="10">
        <v>13.3</v>
      </c>
      <c r="L987" s="3">
        <f t="shared" si="10"/>
        <v>0</v>
      </c>
    </row>
    <row r="988">
      <c r="A988" s="34">
        <v>1101.0</v>
      </c>
      <c r="B988" s="37">
        <v>2018.0</v>
      </c>
      <c r="C988" s="54">
        <v>10.0</v>
      </c>
      <c r="D988" s="60">
        <v>3.0</v>
      </c>
      <c r="E988" s="60">
        <v>2.0</v>
      </c>
      <c r="F988" s="68" t="s">
        <v>16</v>
      </c>
      <c r="G988" s="10" t="s">
        <v>69</v>
      </c>
      <c r="H988" s="10">
        <v>7.5</v>
      </c>
      <c r="I988" s="10">
        <v>5.9</v>
      </c>
      <c r="J988" s="10">
        <v>13.4</v>
      </c>
      <c r="L988" s="3">
        <f t="shared" si="10"/>
        <v>0</v>
      </c>
    </row>
    <row r="989">
      <c r="A989" s="34">
        <v>1102.0</v>
      </c>
      <c r="B989" s="37">
        <v>2018.0</v>
      </c>
      <c r="C989" s="54">
        <v>10.0</v>
      </c>
      <c r="D989" s="60">
        <v>3.0</v>
      </c>
      <c r="E989" s="60">
        <v>2.0</v>
      </c>
      <c r="F989" s="68" t="s">
        <v>16</v>
      </c>
      <c r="G989" s="10" t="s">
        <v>32</v>
      </c>
      <c r="H989" s="10">
        <v>7.07</v>
      </c>
      <c r="I989" s="10">
        <v>6.33</v>
      </c>
      <c r="J989" s="10">
        <v>13.4</v>
      </c>
      <c r="L989" s="3">
        <f t="shared" si="10"/>
        <v>0</v>
      </c>
    </row>
    <row r="990">
      <c r="A990" s="34">
        <v>1103.0</v>
      </c>
      <c r="B990" s="37">
        <v>2018.0</v>
      </c>
      <c r="C990" s="54">
        <v>10.0</v>
      </c>
      <c r="D990" s="60">
        <v>3.0</v>
      </c>
      <c r="E990" s="60">
        <v>3.0</v>
      </c>
      <c r="F990" s="68" t="s">
        <v>16</v>
      </c>
      <c r="G990" s="10" t="s">
        <v>34</v>
      </c>
      <c r="H990" s="10">
        <v>7.0</v>
      </c>
      <c r="I990" s="10">
        <v>5.83</v>
      </c>
      <c r="J990" s="10">
        <v>12.83</v>
      </c>
      <c r="L990" s="3">
        <f t="shared" si="10"/>
        <v>0</v>
      </c>
    </row>
    <row r="991">
      <c r="A991" s="34">
        <v>1104.0</v>
      </c>
      <c r="B991" s="37">
        <v>2018.0</v>
      </c>
      <c r="C991" s="54">
        <v>10.0</v>
      </c>
      <c r="D991" s="60">
        <v>3.0</v>
      </c>
      <c r="E991" s="60">
        <v>3.0</v>
      </c>
      <c r="F991" s="68" t="s">
        <v>16</v>
      </c>
      <c r="G991" s="10" t="s">
        <v>28</v>
      </c>
      <c r="H991" s="10">
        <v>7.67</v>
      </c>
      <c r="I991" s="10">
        <v>5.1</v>
      </c>
      <c r="J991" s="10">
        <v>12.77</v>
      </c>
      <c r="L991" s="3">
        <f t="shared" si="10"/>
        <v>0</v>
      </c>
    </row>
    <row r="992">
      <c r="A992" s="34">
        <v>1105.0</v>
      </c>
      <c r="B992" s="37">
        <v>2018.0</v>
      </c>
      <c r="C992" s="54">
        <v>10.0</v>
      </c>
      <c r="D992" s="60">
        <v>3.0</v>
      </c>
      <c r="E992" s="60">
        <v>4.0</v>
      </c>
      <c r="F992" s="68" t="s">
        <v>16</v>
      </c>
      <c r="G992" s="10" t="s">
        <v>64</v>
      </c>
      <c r="H992" s="10">
        <v>6.83</v>
      </c>
      <c r="I992" s="10">
        <v>4.5</v>
      </c>
      <c r="J992" s="10">
        <v>11.33</v>
      </c>
      <c r="L992" s="3">
        <f t="shared" si="10"/>
        <v>0</v>
      </c>
    </row>
    <row r="993">
      <c r="A993" s="34">
        <v>1106.0</v>
      </c>
      <c r="B993" s="37">
        <v>2018.0</v>
      </c>
      <c r="C993" s="54">
        <v>10.0</v>
      </c>
      <c r="D993" s="60">
        <v>3.0</v>
      </c>
      <c r="E993" s="60">
        <v>4.0</v>
      </c>
      <c r="F993" s="68" t="s">
        <v>16</v>
      </c>
      <c r="G993" s="10" t="s">
        <v>52</v>
      </c>
      <c r="H993" s="10">
        <v>5.83</v>
      </c>
      <c r="I993" s="10">
        <v>4.57</v>
      </c>
      <c r="J993" s="10">
        <v>10.4</v>
      </c>
      <c r="L993" s="3">
        <f t="shared" si="10"/>
        <v>0</v>
      </c>
    </row>
    <row r="994">
      <c r="A994" s="34">
        <v>1107.0</v>
      </c>
      <c r="B994" s="37">
        <v>2018.0</v>
      </c>
      <c r="C994" s="54">
        <v>10.0</v>
      </c>
      <c r="D994" s="60">
        <v>3.0</v>
      </c>
      <c r="E994" s="60">
        <v>5.0</v>
      </c>
      <c r="F994" s="68" t="s">
        <v>16</v>
      </c>
      <c r="G994" s="10" t="s">
        <v>27</v>
      </c>
      <c r="H994" s="10">
        <v>6.5</v>
      </c>
      <c r="I994" s="10">
        <v>5.83</v>
      </c>
      <c r="J994" s="10">
        <v>12.33</v>
      </c>
      <c r="L994" s="3">
        <f t="shared" si="10"/>
        <v>0</v>
      </c>
    </row>
    <row r="995">
      <c r="A995" s="34">
        <v>1108.0</v>
      </c>
      <c r="B995" s="37">
        <v>2018.0</v>
      </c>
      <c r="C995" s="54">
        <v>10.0</v>
      </c>
      <c r="D995" s="60">
        <v>3.0</v>
      </c>
      <c r="E995" s="60">
        <v>5.0</v>
      </c>
      <c r="F995" s="68" t="s">
        <v>16</v>
      </c>
      <c r="G995" s="10" t="s">
        <v>176</v>
      </c>
      <c r="H995" s="10">
        <v>5.87</v>
      </c>
      <c r="I995" s="10">
        <v>5.27</v>
      </c>
      <c r="J995" s="10">
        <v>11.14</v>
      </c>
      <c r="L995" s="3">
        <f t="shared" si="10"/>
        <v>0</v>
      </c>
    </row>
    <row r="996">
      <c r="A996" s="34">
        <v>1109.0</v>
      </c>
      <c r="B996" s="37">
        <v>2018.0</v>
      </c>
      <c r="C996" s="54">
        <v>10.0</v>
      </c>
      <c r="D996" s="60">
        <v>3.0</v>
      </c>
      <c r="E996" s="60">
        <v>6.0</v>
      </c>
      <c r="F996" s="68" t="s">
        <v>16</v>
      </c>
      <c r="G996" s="10" t="s">
        <v>30</v>
      </c>
      <c r="H996" s="10">
        <v>7.93</v>
      </c>
      <c r="I996" s="10">
        <v>5.67</v>
      </c>
      <c r="J996" s="10">
        <v>13.6</v>
      </c>
      <c r="L996" s="3">
        <f t="shared" si="10"/>
        <v>0</v>
      </c>
    </row>
    <row r="997">
      <c r="A997" s="34">
        <v>1110.0</v>
      </c>
      <c r="B997" s="37">
        <v>2018.0</v>
      </c>
      <c r="C997" s="54">
        <v>10.0</v>
      </c>
      <c r="D997" s="60">
        <v>3.0</v>
      </c>
      <c r="E997" s="60">
        <v>6.0</v>
      </c>
      <c r="F997" s="68" t="s">
        <v>16</v>
      </c>
      <c r="G997" s="10" t="s">
        <v>18</v>
      </c>
      <c r="H997" s="10">
        <v>7.33</v>
      </c>
      <c r="J997" s="10">
        <v>7.33</v>
      </c>
      <c r="L997" s="3">
        <f t="shared" si="10"/>
        <v>0</v>
      </c>
    </row>
    <row r="998">
      <c r="A998" s="34">
        <v>1111.0</v>
      </c>
      <c r="B998" s="37">
        <v>2018.0</v>
      </c>
      <c r="C998" s="54">
        <v>10.0</v>
      </c>
      <c r="D998" s="60">
        <v>3.0</v>
      </c>
      <c r="E998" s="60">
        <v>7.0</v>
      </c>
      <c r="F998" s="68" t="s">
        <v>16</v>
      </c>
      <c r="G998" s="10" t="s">
        <v>65</v>
      </c>
      <c r="H998" s="10">
        <v>6.5</v>
      </c>
      <c r="I998" s="10">
        <v>6.0</v>
      </c>
      <c r="J998" s="10">
        <v>12.5</v>
      </c>
      <c r="L998" s="3">
        <f t="shared" si="10"/>
        <v>0</v>
      </c>
    </row>
    <row r="999">
      <c r="A999" s="34">
        <v>1112.0</v>
      </c>
      <c r="B999" s="37">
        <v>2018.0</v>
      </c>
      <c r="C999" s="54">
        <v>10.0</v>
      </c>
      <c r="D999" s="60">
        <v>3.0</v>
      </c>
      <c r="E999" s="60">
        <v>7.0</v>
      </c>
      <c r="F999" s="68" t="s">
        <v>16</v>
      </c>
      <c r="G999" s="10" t="s">
        <v>33</v>
      </c>
      <c r="H999" s="10">
        <v>6.67</v>
      </c>
      <c r="I999" s="10">
        <v>5.43</v>
      </c>
      <c r="J999" s="10">
        <v>12.1</v>
      </c>
      <c r="L999" s="3">
        <f t="shared" si="10"/>
        <v>0</v>
      </c>
    </row>
    <row r="1000">
      <c r="A1000" s="34">
        <v>1113.0</v>
      </c>
      <c r="B1000" s="37">
        <v>2018.0</v>
      </c>
      <c r="C1000" s="54">
        <v>10.0</v>
      </c>
      <c r="D1000" s="60">
        <v>3.0</v>
      </c>
      <c r="E1000" s="60">
        <v>8.0</v>
      </c>
      <c r="F1000" s="68" t="s">
        <v>16</v>
      </c>
      <c r="G1000" s="10" t="s">
        <v>53</v>
      </c>
      <c r="H1000" s="10">
        <v>6.93</v>
      </c>
      <c r="I1000" s="10">
        <v>6.67</v>
      </c>
      <c r="J1000" s="10">
        <v>13.6</v>
      </c>
      <c r="L1000" s="3">
        <f t="shared" si="10"/>
        <v>0</v>
      </c>
    </row>
    <row r="1001">
      <c r="A1001" s="34">
        <v>1114.0</v>
      </c>
      <c r="B1001" s="37">
        <v>2018.0</v>
      </c>
      <c r="C1001" s="54">
        <v>10.0</v>
      </c>
      <c r="D1001" s="60">
        <v>3.0</v>
      </c>
      <c r="E1001" s="60">
        <v>8.0</v>
      </c>
      <c r="F1001" s="68" t="s">
        <v>16</v>
      </c>
      <c r="G1001" s="10" t="s">
        <v>50</v>
      </c>
      <c r="H1001" s="10">
        <v>7.17</v>
      </c>
      <c r="I1001" s="10">
        <v>2.6</v>
      </c>
      <c r="J1001" s="10">
        <v>9.77</v>
      </c>
      <c r="L1001" s="3">
        <f t="shared" si="10"/>
        <v>0</v>
      </c>
    </row>
    <row r="1002">
      <c r="A1002" s="34">
        <v>1115.0</v>
      </c>
      <c r="B1002" s="37">
        <v>2018.0</v>
      </c>
      <c r="C1002" s="54">
        <v>10.0</v>
      </c>
      <c r="D1002" s="60">
        <v>3.0</v>
      </c>
      <c r="E1002" s="60">
        <v>9.0</v>
      </c>
      <c r="F1002" s="68" t="s">
        <v>16</v>
      </c>
      <c r="G1002" s="10" t="s">
        <v>43</v>
      </c>
      <c r="H1002" s="10">
        <v>6.0</v>
      </c>
      <c r="I1002" s="10">
        <v>4.17</v>
      </c>
      <c r="J1002" s="10">
        <v>10.17</v>
      </c>
      <c r="L1002" s="3">
        <f t="shared" si="10"/>
        <v>0</v>
      </c>
    </row>
    <row r="1003">
      <c r="A1003" s="34">
        <v>1116.0</v>
      </c>
      <c r="B1003" s="37">
        <v>2018.0</v>
      </c>
      <c r="C1003" s="54">
        <v>10.0</v>
      </c>
      <c r="D1003" s="60">
        <v>3.0</v>
      </c>
      <c r="E1003" s="60">
        <v>9.0</v>
      </c>
      <c r="F1003" s="68" t="s">
        <v>16</v>
      </c>
      <c r="G1003" s="10" t="s">
        <v>111</v>
      </c>
      <c r="H1003" s="10">
        <v>2.7</v>
      </c>
      <c r="I1003" s="10">
        <v>2.6</v>
      </c>
      <c r="J1003" s="10">
        <v>5.3</v>
      </c>
      <c r="L1003" s="3">
        <f t="shared" si="10"/>
        <v>0</v>
      </c>
    </row>
    <row r="1004">
      <c r="A1004" s="34">
        <v>1117.0</v>
      </c>
      <c r="B1004" s="37">
        <v>2018.0</v>
      </c>
      <c r="C1004" s="54">
        <v>10.0</v>
      </c>
      <c r="D1004" s="60">
        <v>3.0</v>
      </c>
      <c r="E1004" s="60">
        <v>10.0</v>
      </c>
      <c r="F1004" s="68" t="s">
        <v>16</v>
      </c>
      <c r="G1004" s="10" t="s">
        <v>57</v>
      </c>
      <c r="H1004" s="10">
        <v>8.67</v>
      </c>
      <c r="I1004" s="10">
        <v>6.6</v>
      </c>
      <c r="J1004" s="10">
        <v>15.27</v>
      </c>
      <c r="L1004" s="3">
        <f t="shared" si="10"/>
        <v>0</v>
      </c>
    </row>
    <row r="1005">
      <c r="A1005" s="34">
        <v>1118.0</v>
      </c>
      <c r="B1005" s="37">
        <v>2018.0</v>
      </c>
      <c r="C1005" s="54">
        <v>10.0</v>
      </c>
      <c r="D1005" s="60">
        <v>3.0</v>
      </c>
      <c r="E1005" s="60">
        <v>10.0</v>
      </c>
      <c r="F1005" s="68" t="s">
        <v>16</v>
      </c>
      <c r="G1005" s="10" t="s">
        <v>177</v>
      </c>
      <c r="H1005" s="10">
        <v>5.0</v>
      </c>
      <c r="I1005" s="10">
        <v>1.97</v>
      </c>
      <c r="J1005" s="10">
        <v>6.97</v>
      </c>
      <c r="L1005" s="3">
        <f t="shared" si="10"/>
        <v>0</v>
      </c>
    </row>
    <row r="1006">
      <c r="A1006" s="34">
        <v>1119.0</v>
      </c>
      <c r="B1006" s="37">
        <v>2018.0</v>
      </c>
      <c r="C1006" s="54">
        <v>10.0</v>
      </c>
      <c r="D1006" s="60">
        <v>3.0</v>
      </c>
      <c r="E1006" s="60">
        <v>11.0</v>
      </c>
      <c r="F1006" s="68" t="s">
        <v>16</v>
      </c>
      <c r="G1006" s="10" t="s">
        <v>47</v>
      </c>
      <c r="H1006" s="10">
        <v>5.83</v>
      </c>
      <c r="I1006" s="10">
        <v>3.83</v>
      </c>
      <c r="J1006" s="10">
        <v>9.66</v>
      </c>
      <c r="L1006" s="3">
        <f t="shared" si="10"/>
        <v>0</v>
      </c>
    </row>
    <row r="1007">
      <c r="A1007" s="34">
        <v>1120.0</v>
      </c>
      <c r="B1007" s="37">
        <v>2018.0</v>
      </c>
      <c r="C1007" s="54">
        <v>10.0</v>
      </c>
      <c r="D1007" s="60">
        <v>3.0</v>
      </c>
      <c r="E1007" s="60">
        <v>11.0</v>
      </c>
      <c r="F1007" s="68" t="s">
        <v>16</v>
      </c>
      <c r="G1007" s="10" t="s">
        <v>179</v>
      </c>
      <c r="H1007" s="10">
        <v>3.7</v>
      </c>
      <c r="I1007" s="10">
        <v>3.33</v>
      </c>
      <c r="J1007" s="10">
        <v>7.03</v>
      </c>
      <c r="L1007" s="3">
        <f t="shared" si="10"/>
        <v>0</v>
      </c>
    </row>
    <row r="1008">
      <c r="A1008" s="34">
        <v>1121.0</v>
      </c>
      <c r="B1008" s="37">
        <v>2018.0</v>
      </c>
      <c r="C1008" s="54">
        <v>10.0</v>
      </c>
      <c r="D1008" s="60">
        <v>3.0</v>
      </c>
      <c r="E1008" s="60">
        <v>12.0</v>
      </c>
      <c r="F1008" s="68" t="s">
        <v>16</v>
      </c>
      <c r="G1008" s="10" t="s">
        <v>31</v>
      </c>
      <c r="H1008" s="10">
        <v>8.67</v>
      </c>
      <c r="I1008" s="10">
        <v>5.23</v>
      </c>
      <c r="J1008" s="10">
        <v>13.9</v>
      </c>
      <c r="L1008" s="3">
        <f t="shared" si="10"/>
        <v>0</v>
      </c>
    </row>
    <row r="1009">
      <c r="A1009" s="34">
        <v>1122.0</v>
      </c>
      <c r="B1009" s="37">
        <v>2018.0</v>
      </c>
      <c r="C1009" s="54">
        <v>10.0</v>
      </c>
      <c r="D1009" s="60">
        <v>3.0</v>
      </c>
      <c r="E1009" s="60">
        <v>12.0</v>
      </c>
      <c r="F1009" s="68" t="s">
        <v>16</v>
      </c>
      <c r="G1009" s="10" t="s">
        <v>67</v>
      </c>
      <c r="H1009" s="10">
        <v>6.17</v>
      </c>
      <c r="I1009" s="10">
        <v>1.0</v>
      </c>
      <c r="J1009" s="10">
        <v>1.17</v>
      </c>
      <c r="L1009" s="3">
        <f t="shared" si="10"/>
        <v>0</v>
      </c>
    </row>
    <row r="1010">
      <c r="A1010" s="34">
        <v>1123.0</v>
      </c>
      <c r="B1010" s="37">
        <v>2018.0</v>
      </c>
      <c r="C1010" s="54">
        <v>10.0</v>
      </c>
      <c r="D1010" s="60">
        <v>4.0</v>
      </c>
      <c r="E1010" s="60">
        <v>1.0</v>
      </c>
      <c r="F1010" s="68" t="s">
        <v>16</v>
      </c>
      <c r="G1010" s="10" t="s">
        <v>17</v>
      </c>
      <c r="H1010" s="10">
        <v>7.33</v>
      </c>
      <c r="I1010" s="10">
        <v>7.27</v>
      </c>
      <c r="J1010" s="10">
        <v>14.6</v>
      </c>
      <c r="L1010" s="3">
        <f t="shared" si="10"/>
        <v>0</v>
      </c>
    </row>
    <row r="1011">
      <c r="A1011" s="34">
        <v>1124.0</v>
      </c>
      <c r="B1011" s="37">
        <v>2018.0</v>
      </c>
      <c r="C1011" s="54">
        <v>10.0</v>
      </c>
      <c r="D1011" s="60">
        <v>4.0</v>
      </c>
      <c r="E1011" s="60">
        <v>1.0</v>
      </c>
      <c r="F1011" s="68" t="s">
        <v>16</v>
      </c>
      <c r="G1011" s="10" t="s">
        <v>34</v>
      </c>
      <c r="H1011" s="10">
        <v>7.47</v>
      </c>
      <c r="I1011" s="10">
        <v>5.83</v>
      </c>
      <c r="J1011" s="10">
        <v>13.3</v>
      </c>
      <c r="L1011" s="3">
        <f t="shared" si="10"/>
        <v>0</v>
      </c>
    </row>
    <row r="1012">
      <c r="A1012" s="34">
        <v>1125.0</v>
      </c>
      <c r="B1012" s="37">
        <v>2018.0</v>
      </c>
      <c r="C1012" s="54">
        <v>10.0</v>
      </c>
      <c r="D1012" s="60">
        <v>4.0</v>
      </c>
      <c r="E1012" s="60">
        <v>1.0</v>
      </c>
      <c r="F1012" s="68" t="s">
        <v>16</v>
      </c>
      <c r="G1012" s="10" t="s">
        <v>69</v>
      </c>
      <c r="H1012" s="10">
        <v>3.3</v>
      </c>
      <c r="I1012" s="10">
        <v>2.7</v>
      </c>
      <c r="J1012" s="10">
        <v>6.0</v>
      </c>
      <c r="L1012" s="3">
        <f t="shared" si="10"/>
        <v>0</v>
      </c>
    </row>
    <row r="1013">
      <c r="A1013" s="34">
        <v>1126.0</v>
      </c>
      <c r="B1013" s="37">
        <v>2018.0</v>
      </c>
      <c r="C1013" s="54">
        <v>10.0</v>
      </c>
      <c r="D1013" s="60">
        <v>4.0</v>
      </c>
      <c r="E1013" s="60">
        <v>2.0</v>
      </c>
      <c r="F1013" s="68" t="s">
        <v>16</v>
      </c>
      <c r="G1013" s="10" t="s">
        <v>30</v>
      </c>
      <c r="H1013" s="10">
        <v>6.67</v>
      </c>
      <c r="I1013" s="10">
        <v>5.0</v>
      </c>
      <c r="J1013" s="10">
        <v>11.67</v>
      </c>
      <c r="L1013" s="3">
        <f t="shared" si="10"/>
        <v>0</v>
      </c>
    </row>
    <row r="1014">
      <c r="A1014" s="34">
        <v>1127.0</v>
      </c>
      <c r="B1014" s="37">
        <v>2018.0</v>
      </c>
      <c r="C1014" s="54">
        <v>10.0</v>
      </c>
      <c r="D1014" s="60">
        <v>4.0</v>
      </c>
      <c r="E1014" s="60">
        <v>2.0</v>
      </c>
      <c r="F1014" s="68" t="s">
        <v>16</v>
      </c>
      <c r="G1014" s="10" t="s">
        <v>27</v>
      </c>
      <c r="H1014" s="10">
        <v>4.17</v>
      </c>
      <c r="I1014" s="10">
        <v>3.67</v>
      </c>
      <c r="J1014" s="10">
        <v>7.84</v>
      </c>
      <c r="L1014" s="3">
        <f t="shared" si="10"/>
        <v>0</v>
      </c>
    </row>
    <row r="1015">
      <c r="A1015" s="34">
        <v>1128.0</v>
      </c>
      <c r="B1015" s="37">
        <v>2018.0</v>
      </c>
      <c r="C1015" s="54">
        <v>10.0</v>
      </c>
      <c r="D1015" s="60">
        <v>4.0</v>
      </c>
      <c r="E1015" s="60">
        <v>2.0</v>
      </c>
      <c r="F1015" s="68" t="s">
        <v>16</v>
      </c>
      <c r="G1015" s="10" t="s">
        <v>64</v>
      </c>
      <c r="H1015" s="10">
        <v>2.0</v>
      </c>
      <c r="I1015" s="10">
        <v>1.63</v>
      </c>
      <c r="J1015" s="10">
        <v>3.63</v>
      </c>
      <c r="L1015" s="3">
        <f t="shared" si="10"/>
        <v>0</v>
      </c>
    </row>
    <row r="1016">
      <c r="A1016" s="34">
        <v>1129.0</v>
      </c>
      <c r="B1016" s="37">
        <v>2018.0</v>
      </c>
      <c r="C1016" s="54">
        <v>10.0</v>
      </c>
      <c r="D1016" s="60">
        <v>4.0</v>
      </c>
      <c r="E1016" s="60">
        <v>3.0</v>
      </c>
      <c r="F1016" s="68" t="s">
        <v>16</v>
      </c>
      <c r="G1016" s="10" t="s">
        <v>65</v>
      </c>
      <c r="H1016" s="10">
        <v>5.83</v>
      </c>
      <c r="I1016" s="10">
        <v>5.67</v>
      </c>
      <c r="J1016" s="10">
        <v>11.5</v>
      </c>
      <c r="L1016" s="3">
        <f t="shared" si="10"/>
        <v>0</v>
      </c>
    </row>
    <row r="1017">
      <c r="A1017" s="34">
        <v>1130.0</v>
      </c>
      <c r="B1017" s="37">
        <v>2018.0</v>
      </c>
      <c r="C1017" s="54">
        <v>10.0</v>
      </c>
      <c r="D1017" s="60">
        <v>4.0</v>
      </c>
      <c r="E1017" s="60">
        <v>3.0</v>
      </c>
      <c r="F1017" s="68" t="s">
        <v>16</v>
      </c>
      <c r="G1017" s="10" t="s">
        <v>53</v>
      </c>
      <c r="H1017" s="10">
        <v>5.1</v>
      </c>
      <c r="I1017" s="10">
        <v>4.0</v>
      </c>
      <c r="J1017" s="10">
        <v>9.1</v>
      </c>
      <c r="L1017" s="3">
        <f t="shared" si="10"/>
        <v>0</v>
      </c>
    </row>
    <row r="1018">
      <c r="A1018" s="34">
        <v>1131.0</v>
      </c>
      <c r="B1018" s="37">
        <v>2018.0</v>
      </c>
      <c r="C1018" s="54">
        <v>10.0</v>
      </c>
      <c r="D1018" s="60">
        <v>4.0</v>
      </c>
      <c r="E1018" s="60">
        <v>3.0</v>
      </c>
      <c r="F1018" s="68" t="s">
        <v>16</v>
      </c>
      <c r="G1018" s="10" t="s">
        <v>43</v>
      </c>
      <c r="H1018" s="10">
        <v>5.83</v>
      </c>
      <c r="I1018" s="10">
        <v>2.1</v>
      </c>
      <c r="J1018" s="10">
        <v>7.93</v>
      </c>
      <c r="L1018" s="3">
        <f t="shared" si="10"/>
        <v>0</v>
      </c>
    </row>
    <row r="1019">
      <c r="A1019" s="34">
        <v>1132.0</v>
      </c>
      <c r="B1019" s="37">
        <v>2018.0</v>
      </c>
      <c r="C1019" s="54">
        <v>10.0</v>
      </c>
      <c r="D1019" s="60">
        <v>4.0</v>
      </c>
      <c r="E1019" s="60">
        <v>4.0</v>
      </c>
      <c r="F1019" s="68" t="s">
        <v>16</v>
      </c>
      <c r="G1019" s="10" t="s">
        <v>57</v>
      </c>
      <c r="H1019" s="10">
        <v>6.33</v>
      </c>
      <c r="I1019" s="10">
        <v>5.83</v>
      </c>
      <c r="J1019" s="10">
        <v>12.16</v>
      </c>
      <c r="L1019" s="3">
        <f t="shared" si="10"/>
        <v>0</v>
      </c>
    </row>
    <row r="1020">
      <c r="A1020" s="34">
        <v>1133.0</v>
      </c>
      <c r="B1020" s="37">
        <v>2018.0</v>
      </c>
      <c r="C1020" s="54">
        <v>10.0</v>
      </c>
      <c r="D1020" s="60">
        <v>4.0</v>
      </c>
      <c r="E1020" s="60">
        <v>4.0</v>
      </c>
      <c r="F1020" s="68" t="s">
        <v>16</v>
      </c>
      <c r="G1020" s="10" t="s">
        <v>31</v>
      </c>
      <c r="H1020" s="10">
        <v>6.63</v>
      </c>
      <c r="I1020" s="10">
        <v>5.47</v>
      </c>
      <c r="J1020" s="10">
        <v>12.1</v>
      </c>
      <c r="L1020" s="3">
        <f t="shared" si="10"/>
        <v>0</v>
      </c>
    </row>
    <row r="1021">
      <c r="A1021" s="34">
        <v>1134.0</v>
      </c>
      <c r="B1021" s="37">
        <v>2018.0</v>
      </c>
      <c r="C1021" s="54">
        <v>10.0</v>
      </c>
      <c r="D1021" s="60">
        <v>4.0</v>
      </c>
      <c r="E1021" s="60">
        <v>4.0</v>
      </c>
      <c r="F1021" s="68" t="s">
        <v>16</v>
      </c>
      <c r="G1021" s="10" t="s">
        <v>47</v>
      </c>
      <c r="H1021" s="10">
        <v>6.3</v>
      </c>
      <c r="I1021" s="10">
        <v>4.83</v>
      </c>
      <c r="J1021" s="10">
        <v>11.13</v>
      </c>
      <c r="L1021" s="3">
        <f t="shared" si="10"/>
        <v>0</v>
      </c>
    </row>
    <row r="1022">
      <c r="A1022" s="34">
        <v>1135.0</v>
      </c>
      <c r="B1022" s="37">
        <v>2018.0</v>
      </c>
      <c r="C1022" s="54">
        <v>10.0</v>
      </c>
      <c r="D1022" s="60">
        <v>5.0</v>
      </c>
      <c r="E1022" s="60">
        <v>1.0</v>
      </c>
      <c r="F1022" s="68" t="s">
        <v>16</v>
      </c>
      <c r="G1022" s="10" t="s">
        <v>17</v>
      </c>
      <c r="H1022" s="10">
        <v>8.77</v>
      </c>
      <c r="I1022" s="10">
        <v>7.33</v>
      </c>
      <c r="J1022" s="10">
        <v>16.1</v>
      </c>
      <c r="L1022" s="3">
        <f t="shared" si="10"/>
        <v>0</v>
      </c>
    </row>
    <row r="1023">
      <c r="A1023" s="34">
        <v>1136.0</v>
      </c>
      <c r="B1023" s="37">
        <v>2018.0</v>
      </c>
      <c r="C1023" s="54">
        <v>10.0</v>
      </c>
      <c r="D1023" s="60">
        <v>5.0</v>
      </c>
      <c r="E1023" s="60">
        <v>1.0</v>
      </c>
      <c r="F1023" s="68" t="s">
        <v>16</v>
      </c>
      <c r="G1023" s="10" t="s">
        <v>27</v>
      </c>
      <c r="H1023" s="10">
        <v>3.5</v>
      </c>
      <c r="I1023" s="10">
        <v>1.7</v>
      </c>
      <c r="J1023" s="10">
        <v>5.2</v>
      </c>
      <c r="L1023" s="3">
        <f t="shared" si="10"/>
        <v>0</v>
      </c>
    </row>
    <row r="1024">
      <c r="A1024" s="34">
        <v>1137.0</v>
      </c>
      <c r="B1024" s="37">
        <v>2018.0</v>
      </c>
      <c r="C1024" s="54">
        <v>10.0</v>
      </c>
      <c r="D1024" s="60">
        <v>5.0</v>
      </c>
      <c r="E1024" s="60">
        <v>2.0</v>
      </c>
      <c r="F1024" s="68" t="s">
        <v>16</v>
      </c>
      <c r="G1024" s="10" t="s">
        <v>30</v>
      </c>
      <c r="H1024" s="10">
        <v>8.33</v>
      </c>
      <c r="I1024" s="10">
        <v>7.83</v>
      </c>
      <c r="J1024" s="10">
        <v>16.16</v>
      </c>
      <c r="L1024" s="3">
        <f t="shared" si="10"/>
        <v>0</v>
      </c>
    </row>
    <row r="1025">
      <c r="A1025" s="34">
        <v>1138.0</v>
      </c>
      <c r="B1025" s="37">
        <v>2018.0</v>
      </c>
      <c r="C1025" s="54">
        <v>10.0</v>
      </c>
      <c r="D1025" s="60">
        <v>5.0</v>
      </c>
      <c r="E1025" s="60">
        <v>2.0</v>
      </c>
      <c r="F1025" s="68" t="s">
        <v>16</v>
      </c>
      <c r="G1025" s="10" t="s">
        <v>34</v>
      </c>
      <c r="H1025" s="10">
        <v>5.53</v>
      </c>
      <c r="I1025" s="10">
        <v>5.5</v>
      </c>
      <c r="J1025" s="10">
        <v>11.03</v>
      </c>
      <c r="L1025" s="3">
        <f t="shared" si="10"/>
        <v>0</v>
      </c>
    </row>
    <row r="1026">
      <c r="A1026" s="34">
        <v>1139.0</v>
      </c>
      <c r="B1026" s="37">
        <v>2018.0</v>
      </c>
      <c r="C1026" s="54">
        <v>10.0</v>
      </c>
      <c r="D1026" s="60">
        <v>5.0</v>
      </c>
      <c r="E1026" s="60">
        <v>3.0</v>
      </c>
      <c r="F1026" s="68" t="s">
        <v>16</v>
      </c>
      <c r="G1026" s="10" t="s">
        <v>65</v>
      </c>
      <c r="H1026" s="10">
        <v>7.0</v>
      </c>
      <c r="I1026" s="10">
        <v>4.57</v>
      </c>
      <c r="J1026" s="10">
        <v>11.57</v>
      </c>
      <c r="L1026" s="3">
        <f t="shared" si="10"/>
        <v>0</v>
      </c>
    </row>
    <row r="1027">
      <c r="A1027" s="34">
        <v>1140.0</v>
      </c>
      <c r="B1027" s="37">
        <v>2018.0</v>
      </c>
      <c r="C1027" s="54">
        <v>10.0</v>
      </c>
      <c r="D1027" s="60">
        <v>5.0</v>
      </c>
      <c r="E1027" s="60">
        <v>3.0</v>
      </c>
      <c r="F1027" s="68" t="s">
        <v>16</v>
      </c>
      <c r="G1027" s="10" t="s">
        <v>31</v>
      </c>
      <c r="H1027" s="10">
        <v>3.67</v>
      </c>
      <c r="I1027" s="10">
        <v>1.43</v>
      </c>
      <c r="J1027" s="10">
        <v>5.1</v>
      </c>
      <c r="L1027" s="3">
        <f t="shared" si="10"/>
        <v>0</v>
      </c>
    </row>
    <row r="1028">
      <c r="A1028" s="34">
        <v>1141.0</v>
      </c>
      <c r="B1028" s="37">
        <v>2018.0</v>
      </c>
      <c r="C1028" s="54">
        <v>10.0</v>
      </c>
      <c r="D1028" s="60">
        <v>5.0</v>
      </c>
      <c r="E1028" s="60">
        <v>4.0</v>
      </c>
      <c r="F1028" s="68" t="s">
        <v>16</v>
      </c>
      <c r="G1028" s="10" t="s">
        <v>57</v>
      </c>
      <c r="H1028" s="10">
        <v>6.17</v>
      </c>
      <c r="I1028" s="10">
        <v>5.0</v>
      </c>
      <c r="J1028" s="10">
        <v>11.67</v>
      </c>
      <c r="L1028" s="3">
        <f t="shared" si="10"/>
        <v>0</v>
      </c>
    </row>
    <row r="1029">
      <c r="A1029" s="34">
        <v>1142.0</v>
      </c>
      <c r="B1029" s="37">
        <v>2018.0</v>
      </c>
      <c r="C1029" s="54">
        <v>10.0</v>
      </c>
      <c r="D1029" s="60">
        <v>5.0</v>
      </c>
      <c r="E1029" s="60">
        <v>4.0</v>
      </c>
      <c r="F1029" s="68" t="s">
        <v>16</v>
      </c>
      <c r="G1029" s="10" t="s">
        <v>53</v>
      </c>
      <c r="H1029" s="10">
        <v>2.33</v>
      </c>
      <c r="I1029" s="10">
        <v>2.27</v>
      </c>
      <c r="J1029" s="10">
        <v>4.6</v>
      </c>
      <c r="L1029" s="3">
        <f t="shared" si="10"/>
        <v>0</v>
      </c>
    </row>
    <row r="1030">
      <c r="A1030" s="34">
        <v>1143.0</v>
      </c>
      <c r="B1030" s="37">
        <v>2018.0</v>
      </c>
      <c r="C1030" s="54">
        <v>10.0</v>
      </c>
      <c r="D1030" s="54">
        <v>6.0</v>
      </c>
      <c r="E1030" s="60">
        <v>1.0</v>
      </c>
      <c r="F1030" s="68" t="s">
        <v>16</v>
      </c>
      <c r="G1030" s="10" t="s">
        <v>17</v>
      </c>
      <c r="H1030" s="10">
        <v>9.3</v>
      </c>
      <c r="I1030" s="10">
        <v>7.17</v>
      </c>
      <c r="J1030" s="10">
        <v>16.47</v>
      </c>
      <c r="L1030" s="3">
        <f t="shared" si="10"/>
        <v>0</v>
      </c>
    </row>
    <row r="1031">
      <c r="A1031" s="34">
        <v>1144.0</v>
      </c>
      <c r="B1031" s="37">
        <v>2018.0</v>
      </c>
      <c r="C1031" s="54">
        <v>10.0</v>
      </c>
      <c r="D1031" s="54">
        <v>6.0</v>
      </c>
      <c r="E1031" s="60">
        <v>1.0</v>
      </c>
      <c r="F1031" s="68" t="s">
        <v>16</v>
      </c>
      <c r="G1031" s="10" t="s">
        <v>30</v>
      </c>
      <c r="H1031" s="10">
        <v>7.9</v>
      </c>
      <c r="I1031" s="10">
        <v>6.83</v>
      </c>
      <c r="J1031" s="10">
        <v>14.73</v>
      </c>
      <c r="L1031" s="3">
        <f t="shared" si="10"/>
        <v>0</v>
      </c>
    </row>
    <row r="1032">
      <c r="A1032" s="34">
        <v>1145.0</v>
      </c>
      <c r="B1032" s="37">
        <v>2018.0</v>
      </c>
      <c r="C1032" s="54">
        <v>10.0</v>
      </c>
      <c r="D1032" s="54">
        <v>6.0</v>
      </c>
      <c r="E1032" s="60">
        <v>2.0</v>
      </c>
      <c r="F1032" s="68" t="s">
        <v>16</v>
      </c>
      <c r="G1032" s="10" t="s">
        <v>65</v>
      </c>
      <c r="H1032" s="10">
        <v>7.83</v>
      </c>
      <c r="I1032" s="10">
        <v>5.77</v>
      </c>
      <c r="J1032" s="10">
        <v>13.6</v>
      </c>
      <c r="L1032" s="3">
        <f t="shared" si="10"/>
        <v>0</v>
      </c>
    </row>
    <row r="1033">
      <c r="A1033" s="34">
        <v>1146.0</v>
      </c>
      <c r="B1033" s="37">
        <v>2018.0</v>
      </c>
      <c r="C1033" s="54">
        <v>10.0</v>
      </c>
      <c r="D1033" s="54">
        <v>6.0</v>
      </c>
      <c r="E1033" s="60">
        <v>2.0</v>
      </c>
      <c r="F1033" s="68" t="s">
        <v>16</v>
      </c>
      <c r="G1033" s="10" t="s">
        <v>57</v>
      </c>
      <c r="H1033" s="10">
        <v>6.93</v>
      </c>
      <c r="I1033" s="10">
        <v>5.07</v>
      </c>
      <c r="J1033" s="10">
        <v>12.0</v>
      </c>
      <c r="L1033" s="3">
        <f t="shared" si="10"/>
        <v>0</v>
      </c>
    </row>
    <row r="1034">
      <c r="A1034" s="34">
        <v>1147.0</v>
      </c>
      <c r="B1034" s="37">
        <v>2018.0</v>
      </c>
      <c r="C1034" s="54">
        <v>10.0</v>
      </c>
      <c r="D1034" s="54">
        <v>7.0</v>
      </c>
      <c r="E1034" s="54">
        <v>1.0</v>
      </c>
      <c r="F1034" s="68" t="s">
        <v>16</v>
      </c>
      <c r="G1034" s="10" t="s">
        <v>17</v>
      </c>
      <c r="H1034" s="10">
        <v>8.5</v>
      </c>
      <c r="I1034" s="10">
        <v>7.43</v>
      </c>
      <c r="J1034" s="10">
        <v>15.93</v>
      </c>
      <c r="L1034" s="3">
        <f t="shared" si="10"/>
        <v>0</v>
      </c>
    </row>
    <row r="1035">
      <c r="A1035" s="34">
        <v>1148.0</v>
      </c>
      <c r="B1035" s="37">
        <v>2018.0</v>
      </c>
      <c r="C1035" s="54">
        <v>10.0</v>
      </c>
      <c r="D1035" s="54">
        <v>7.0</v>
      </c>
      <c r="E1035" s="54">
        <v>1.0</v>
      </c>
      <c r="F1035" s="68" t="s">
        <v>16</v>
      </c>
      <c r="G1035" s="10" t="s">
        <v>65</v>
      </c>
      <c r="H1035" s="10">
        <v>7.0</v>
      </c>
      <c r="I1035" s="10">
        <v>3.77</v>
      </c>
      <c r="J1035" s="10">
        <v>10.77</v>
      </c>
      <c r="L1035" s="3">
        <f t="shared" si="10"/>
        <v>0</v>
      </c>
      <c r="M1035" s="3">
        <f>SUM(L926:L1035)</f>
        <v>11.9</v>
      </c>
    </row>
    <row r="1036">
      <c r="A1036" s="34">
        <v>1149.0</v>
      </c>
      <c r="B1036" s="37">
        <v>2018.0</v>
      </c>
      <c r="C1036" s="54">
        <v>11.0</v>
      </c>
      <c r="D1036" s="60">
        <v>1.0</v>
      </c>
      <c r="E1036" s="60">
        <v>1.0</v>
      </c>
      <c r="F1036" s="68" t="s">
        <v>16</v>
      </c>
      <c r="G1036" s="56" t="s">
        <v>28</v>
      </c>
      <c r="H1036" s="10">
        <v>7.0</v>
      </c>
      <c r="I1036" s="10">
        <v>5.0</v>
      </c>
      <c r="J1036" s="10">
        <v>12.0</v>
      </c>
      <c r="L1036" s="3">
        <f t="shared" ref="L1036:L1145" si="11">IF(G1036="Benji Brand",J1036,0)</f>
        <v>0</v>
      </c>
    </row>
    <row r="1037">
      <c r="A1037" s="34">
        <v>1150.0</v>
      </c>
      <c r="B1037" s="37">
        <v>2018.0</v>
      </c>
      <c r="C1037" s="54">
        <v>11.0</v>
      </c>
      <c r="D1037" s="60">
        <v>1.0</v>
      </c>
      <c r="E1037" s="60">
        <v>1.0</v>
      </c>
      <c r="F1037" s="68" t="s">
        <v>16</v>
      </c>
      <c r="G1037" s="10" t="s">
        <v>37</v>
      </c>
      <c r="H1037" s="10">
        <v>8.0</v>
      </c>
      <c r="I1037" s="10">
        <v>3.43</v>
      </c>
      <c r="J1037" s="10">
        <v>11.43</v>
      </c>
      <c r="L1037" s="3">
        <f t="shared" si="11"/>
        <v>0</v>
      </c>
    </row>
    <row r="1038">
      <c r="A1038" s="34">
        <v>1151.0</v>
      </c>
      <c r="B1038" s="37">
        <v>2018.0</v>
      </c>
      <c r="C1038" s="54">
        <v>11.0</v>
      </c>
      <c r="D1038" s="60">
        <v>1.0</v>
      </c>
      <c r="E1038" s="60">
        <v>1.0</v>
      </c>
      <c r="F1038" s="68" t="s">
        <v>16</v>
      </c>
      <c r="G1038" s="10" t="s">
        <v>64</v>
      </c>
      <c r="H1038" s="10">
        <v>2.3</v>
      </c>
      <c r="I1038" s="10">
        <v>1.97</v>
      </c>
      <c r="J1038" s="10">
        <v>4.47</v>
      </c>
      <c r="L1038" s="3">
        <f t="shared" si="11"/>
        <v>0</v>
      </c>
    </row>
    <row r="1039">
      <c r="A1039" s="34">
        <v>1152.0</v>
      </c>
      <c r="B1039" s="37">
        <v>2018.0</v>
      </c>
      <c r="C1039" s="54">
        <v>11.0</v>
      </c>
      <c r="D1039" s="60">
        <v>1.0</v>
      </c>
      <c r="E1039" s="60">
        <v>2.0</v>
      </c>
      <c r="F1039" s="68" t="s">
        <v>16</v>
      </c>
      <c r="G1039" s="10" t="s">
        <v>169</v>
      </c>
      <c r="H1039" s="10">
        <v>5.33</v>
      </c>
      <c r="I1039" s="10">
        <v>4.5</v>
      </c>
      <c r="J1039" s="10">
        <v>9.83</v>
      </c>
      <c r="L1039" s="3">
        <f t="shared" si="11"/>
        <v>0</v>
      </c>
    </row>
    <row r="1040">
      <c r="A1040" s="34">
        <v>1153.0</v>
      </c>
      <c r="B1040" s="37">
        <v>2018.0</v>
      </c>
      <c r="C1040" s="54">
        <v>11.0</v>
      </c>
      <c r="D1040" s="60">
        <v>1.0</v>
      </c>
      <c r="E1040" s="60">
        <v>2.0</v>
      </c>
      <c r="F1040" s="68" t="s">
        <v>16</v>
      </c>
      <c r="G1040" s="10" t="s">
        <v>57</v>
      </c>
      <c r="H1040" s="10">
        <v>5.77</v>
      </c>
      <c r="I1040" s="10">
        <v>3.83</v>
      </c>
      <c r="J1040" s="10">
        <v>9.6</v>
      </c>
      <c r="L1040" s="3">
        <f t="shared" si="11"/>
        <v>0</v>
      </c>
    </row>
    <row r="1041">
      <c r="A1041" s="34">
        <v>1154.0</v>
      </c>
      <c r="B1041" s="37">
        <v>2018.0</v>
      </c>
      <c r="C1041" s="54">
        <v>11.0</v>
      </c>
      <c r="D1041" s="60">
        <v>1.0</v>
      </c>
      <c r="E1041" s="60">
        <v>2.0</v>
      </c>
      <c r="F1041" s="68" t="s">
        <v>16</v>
      </c>
      <c r="G1041" s="10" t="s">
        <v>55</v>
      </c>
      <c r="H1041" s="10">
        <v>1.07</v>
      </c>
      <c r="I1041" s="10">
        <v>0.93</v>
      </c>
      <c r="J1041" s="10">
        <v>2.0</v>
      </c>
      <c r="L1041" s="3">
        <f t="shared" si="11"/>
        <v>0</v>
      </c>
    </row>
    <row r="1042">
      <c r="A1042" s="34">
        <v>1155.0</v>
      </c>
      <c r="B1042" s="37">
        <v>2018.0</v>
      </c>
      <c r="C1042" s="54">
        <v>11.0</v>
      </c>
      <c r="D1042" s="60">
        <v>1.0</v>
      </c>
      <c r="E1042" s="60">
        <v>3.0</v>
      </c>
      <c r="F1042" s="68" t="s">
        <v>16</v>
      </c>
      <c r="G1042" s="10" t="s">
        <v>17</v>
      </c>
      <c r="H1042" s="10">
        <v>7.4</v>
      </c>
      <c r="I1042" s="10">
        <v>5.9</v>
      </c>
      <c r="J1042" s="10">
        <v>13.3</v>
      </c>
      <c r="L1042" s="3">
        <f t="shared" si="11"/>
        <v>0</v>
      </c>
    </row>
    <row r="1043">
      <c r="A1043" s="34">
        <v>1156.0</v>
      </c>
      <c r="B1043" s="37">
        <v>2018.0</v>
      </c>
      <c r="C1043" s="54">
        <v>11.0</v>
      </c>
      <c r="D1043" s="60">
        <v>1.0</v>
      </c>
      <c r="E1043" s="60">
        <v>3.0</v>
      </c>
      <c r="F1043" s="68" t="s">
        <v>16</v>
      </c>
      <c r="G1043" s="10" t="s">
        <v>65</v>
      </c>
      <c r="H1043" s="10">
        <v>6.17</v>
      </c>
      <c r="I1043" s="10">
        <v>5.5</v>
      </c>
      <c r="J1043" s="10">
        <v>11.67</v>
      </c>
      <c r="L1043" s="3">
        <f t="shared" si="11"/>
        <v>0</v>
      </c>
    </row>
    <row r="1044">
      <c r="A1044" s="34">
        <v>1157.0</v>
      </c>
      <c r="B1044" s="37">
        <v>2018.0</v>
      </c>
      <c r="C1044" s="54">
        <v>11.0</v>
      </c>
      <c r="D1044" s="60">
        <v>1.0</v>
      </c>
      <c r="E1044" s="60">
        <v>3.0</v>
      </c>
      <c r="F1044" s="68" t="s">
        <v>16</v>
      </c>
      <c r="G1044" s="10" t="s">
        <v>25</v>
      </c>
      <c r="H1044" s="10">
        <v>3.83</v>
      </c>
      <c r="I1044" s="10">
        <v>1.83</v>
      </c>
      <c r="J1044" s="10">
        <v>5.66</v>
      </c>
      <c r="L1044" s="3">
        <f t="shared" si="11"/>
        <v>0</v>
      </c>
    </row>
    <row r="1045">
      <c r="A1045" s="34">
        <v>1158.0</v>
      </c>
      <c r="B1045" s="37">
        <v>2018.0</v>
      </c>
      <c r="C1045" s="54">
        <v>11.0</v>
      </c>
      <c r="D1045" s="60">
        <v>1.0</v>
      </c>
      <c r="E1045" s="60">
        <v>4.0</v>
      </c>
      <c r="F1045" s="68" t="s">
        <v>16</v>
      </c>
      <c r="G1045" s="10" t="s">
        <v>34</v>
      </c>
      <c r="H1045" s="10">
        <v>3.2</v>
      </c>
      <c r="I1045" s="10">
        <v>2.83</v>
      </c>
      <c r="J1045" s="10">
        <v>6.03</v>
      </c>
      <c r="L1045" s="3">
        <f t="shared" si="11"/>
        <v>0</v>
      </c>
    </row>
    <row r="1046">
      <c r="A1046" s="34">
        <v>1159.0</v>
      </c>
      <c r="B1046" s="37">
        <v>2018.0</v>
      </c>
      <c r="C1046" s="54">
        <v>11.0</v>
      </c>
      <c r="D1046" s="60">
        <v>1.0</v>
      </c>
      <c r="E1046" s="60">
        <v>4.0</v>
      </c>
      <c r="F1046" s="68" t="s">
        <v>16</v>
      </c>
      <c r="G1046" s="10" t="s">
        <v>33</v>
      </c>
      <c r="H1046" s="10">
        <v>2.67</v>
      </c>
      <c r="I1046" s="10">
        <v>2.37</v>
      </c>
      <c r="J1046" s="10">
        <v>5.04</v>
      </c>
      <c r="L1046" s="3">
        <f t="shared" si="11"/>
        <v>0</v>
      </c>
    </row>
    <row r="1047">
      <c r="A1047" s="34">
        <v>1160.0</v>
      </c>
      <c r="B1047" s="37">
        <v>2018.0</v>
      </c>
      <c r="C1047" s="54">
        <v>11.0</v>
      </c>
      <c r="D1047" s="60">
        <v>1.0</v>
      </c>
      <c r="E1047" s="60">
        <v>4.0</v>
      </c>
      <c r="F1047" s="68" t="s">
        <v>16</v>
      </c>
      <c r="G1047" s="10" t="s">
        <v>40</v>
      </c>
      <c r="H1047" s="10">
        <v>2.93</v>
      </c>
      <c r="I1047" s="10">
        <v>2.0</v>
      </c>
      <c r="J1047" s="10">
        <v>4.93</v>
      </c>
      <c r="L1047" s="3">
        <f t="shared" si="11"/>
        <v>0</v>
      </c>
    </row>
    <row r="1048">
      <c r="A1048" s="34">
        <v>1161.0</v>
      </c>
      <c r="B1048" s="37">
        <v>2018.0</v>
      </c>
      <c r="C1048" s="54">
        <v>11.0</v>
      </c>
      <c r="D1048" s="60">
        <v>1.0</v>
      </c>
      <c r="E1048" s="60">
        <v>5.0</v>
      </c>
      <c r="F1048" s="68" t="s">
        <v>16</v>
      </c>
      <c r="G1048" s="10" t="s">
        <v>31</v>
      </c>
      <c r="H1048" s="10">
        <v>5.57</v>
      </c>
      <c r="I1048" s="10">
        <v>2.5</v>
      </c>
      <c r="J1048" s="10">
        <v>8.07</v>
      </c>
      <c r="L1048" s="3">
        <f t="shared" si="11"/>
        <v>0</v>
      </c>
    </row>
    <row r="1049">
      <c r="A1049" s="34">
        <v>1162.0</v>
      </c>
      <c r="B1049" s="37">
        <v>2018.0</v>
      </c>
      <c r="C1049" s="54">
        <v>11.0</v>
      </c>
      <c r="D1049" s="60">
        <v>1.0</v>
      </c>
      <c r="E1049" s="60">
        <v>5.0</v>
      </c>
      <c r="F1049" s="68" t="s">
        <v>16</v>
      </c>
      <c r="G1049" s="10" t="s">
        <v>111</v>
      </c>
      <c r="H1049" s="10">
        <v>3.23</v>
      </c>
      <c r="I1049" s="10">
        <v>3.17</v>
      </c>
      <c r="J1049" s="10">
        <v>6.4</v>
      </c>
      <c r="L1049" s="3">
        <f t="shared" si="11"/>
        <v>0</v>
      </c>
    </row>
    <row r="1050">
      <c r="A1050" s="34">
        <v>1163.0</v>
      </c>
      <c r="B1050" s="37">
        <v>2018.0</v>
      </c>
      <c r="C1050" s="54">
        <v>11.0</v>
      </c>
      <c r="D1050" s="60">
        <v>1.0</v>
      </c>
      <c r="E1050" s="60">
        <v>5.0</v>
      </c>
      <c r="F1050" s="68" t="s">
        <v>16</v>
      </c>
      <c r="G1050" s="10" t="s">
        <v>195</v>
      </c>
      <c r="H1050" s="10">
        <v>3.6</v>
      </c>
      <c r="I1050" s="10">
        <v>0.97</v>
      </c>
      <c r="J1050" s="10">
        <v>4.57</v>
      </c>
      <c r="L1050" s="3">
        <f t="shared" si="11"/>
        <v>0</v>
      </c>
    </row>
    <row r="1051">
      <c r="A1051" s="34">
        <v>1164.0</v>
      </c>
      <c r="B1051" s="37">
        <v>2018.0</v>
      </c>
      <c r="C1051" s="54">
        <v>11.0</v>
      </c>
      <c r="D1051" s="60">
        <v>1.0</v>
      </c>
      <c r="E1051" s="60">
        <v>6.0</v>
      </c>
      <c r="F1051" s="68" t="s">
        <v>16</v>
      </c>
      <c r="G1051" s="10" t="s">
        <v>30</v>
      </c>
      <c r="H1051" s="10">
        <v>6.93</v>
      </c>
      <c r="I1051" s="10">
        <v>6.23</v>
      </c>
      <c r="J1051" s="10">
        <v>13.16</v>
      </c>
      <c r="L1051" s="3">
        <f t="shared" si="11"/>
        <v>0</v>
      </c>
    </row>
    <row r="1052">
      <c r="A1052" s="34">
        <v>1165.0</v>
      </c>
      <c r="B1052" s="37">
        <v>2018.0</v>
      </c>
      <c r="C1052" s="54">
        <v>11.0</v>
      </c>
      <c r="D1052" s="60">
        <v>1.0</v>
      </c>
      <c r="E1052" s="60">
        <v>6.0</v>
      </c>
      <c r="F1052" s="68" t="s">
        <v>16</v>
      </c>
      <c r="G1052" s="10" t="s">
        <v>175</v>
      </c>
      <c r="H1052" s="10">
        <v>6.0</v>
      </c>
      <c r="I1052" s="10">
        <v>3.97</v>
      </c>
      <c r="J1052" s="10">
        <v>9.97</v>
      </c>
      <c r="L1052" s="3">
        <f t="shared" si="11"/>
        <v>9.97</v>
      </c>
    </row>
    <row r="1053">
      <c r="A1053" s="34">
        <v>1166.0</v>
      </c>
      <c r="B1053" s="37">
        <v>2018.0</v>
      </c>
      <c r="C1053" s="54">
        <v>11.0</v>
      </c>
      <c r="D1053" s="60">
        <v>1.0</v>
      </c>
      <c r="E1053" s="60">
        <v>6.0</v>
      </c>
      <c r="F1053" s="68" t="s">
        <v>16</v>
      </c>
      <c r="G1053" s="10" t="s">
        <v>61</v>
      </c>
      <c r="H1053" s="10">
        <v>5.0</v>
      </c>
      <c r="I1053" s="10">
        <v>4.67</v>
      </c>
      <c r="J1053" s="10">
        <v>9.67</v>
      </c>
      <c r="L1053" s="3">
        <f t="shared" si="11"/>
        <v>0</v>
      </c>
    </row>
    <row r="1054">
      <c r="A1054" s="34">
        <v>1167.0</v>
      </c>
      <c r="B1054" s="37">
        <v>2018.0</v>
      </c>
      <c r="C1054" s="54">
        <v>11.0</v>
      </c>
      <c r="D1054" s="60">
        <v>1.0</v>
      </c>
      <c r="E1054" s="60">
        <v>7.0</v>
      </c>
      <c r="F1054" s="68" t="s">
        <v>16</v>
      </c>
      <c r="G1054" s="10" t="s">
        <v>178</v>
      </c>
      <c r="H1054" s="10">
        <v>3.57</v>
      </c>
      <c r="I1054" s="10">
        <v>3.5</v>
      </c>
      <c r="J1054" s="10">
        <v>7.07</v>
      </c>
      <c r="L1054" s="3">
        <f t="shared" si="11"/>
        <v>0</v>
      </c>
    </row>
    <row r="1055">
      <c r="A1055" s="34">
        <v>1168.0</v>
      </c>
      <c r="B1055" s="37">
        <v>2018.0</v>
      </c>
      <c r="C1055" s="54">
        <v>11.0</v>
      </c>
      <c r="D1055" s="60">
        <v>1.0</v>
      </c>
      <c r="E1055" s="60">
        <v>7.0</v>
      </c>
      <c r="F1055" s="68" t="s">
        <v>16</v>
      </c>
      <c r="G1055" s="10" t="s">
        <v>18</v>
      </c>
      <c r="H1055" s="10">
        <v>4.0</v>
      </c>
      <c r="I1055" s="10">
        <v>2.77</v>
      </c>
      <c r="J1055" s="10">
        <v>6.77</v>
      </c>
      <c r="L1055" s="3">
        <f t="shared" si="11"/>
        <v>0</v>
      </c>
    </row>
    <row r="1056">
      <c r="A1056" s="34">
        <v>1169.0</v>
      </c>
      <c r="B1056" s="37">
        <v>2018.0</v>
      </c>
      <c r="C1056" s="54">
        <v>11.0</v>
      </c>
      <c r="D1056" s="60">
        <v>1.0</v>
      </c>
      <c r="E1056" s="60">
        <v>7.0</v>
      </c>
      <c r="F1056" s="68" t="s">
        <v>16</v>
      </c>
      <c r="G1056" s="10" t="s">
        <v>43</v>
      </c>
      <c r="H1056" s="10">
        <v>2.5</v>
      </c>
      <c r="I1056" s="10">
        <v>2.0</v>
      </c>
      <c r="J1056" s="10">
        <v>4.5</v>
      </c>
      <c r="L1056" s="3">
        <f t="shared" si="11"/>
        <v>0</v>
      </c>
    </row>
    <row r="1057">
      <c r="A1057" s="34">
        <v>1170.0</v>
      </c>
      <c r="B1057" s="37">
        <v>2018.0</v>
      </c>
      <c r="C1057" s="54">
        <v>11.0</v>
      </c>
      <c r="D1057" s="60">
        <v>1.0</v>
      </c>
      <c r="E1057" s="60">
        <v>8.0</v>
      </c>
      <c r="F1057" s="68" t="s">
        <v>16</v>
      </c>
      <c r="G1057" s="10" t="s">
        <v>110</v>
      </c>
      <c r="H1057" s="10">
        <v>3.7</v>
      </c>
      <c r="I1057" s="10">
        <v>2.6</v>
      </c>
      <c r="J1057" s="10">
        <v>6.3</v>
      </c>
      <c r="L1057" s="3">
        <f t="shared" si="11"/>
        <v>0</v>
      </c>
    </row>
    <row r="1058">
      <c r="A1058" s="34">
        <v>1171.0</v>
      </c>
      <c r="B1058" s="37">
        <v>2018.0</v>
      </c>
      <c r="C1058" s="54">
        <v>11.0</v>
      </c>
      <c r="D1058" s="60">
        <v>1.0</v>
      </c>
      <c r="E1058" s="60">
        <v>8.0</v>
      </c>
      <c r="F1058" s="68" t="s">
        <v>16</v>
      </c>
      <c r="G1058" s="10" t="s">
        <v>53</v>
      </c>
      <c r="H1058" s="10">
        <v>4.67</v>
      </c>
      <c r="I1058" s="10">
        <v>1.43</v>
      </c>
      <c r="J1058" s="10">
        <v>6.1</v>
      </c>
      <c r="L1058" s="3">
        <f t="shared" si="11"/>
        <v>0</v>
      </c>
    </row>
    <row r="1059">
      <c r="A1059" s="34">
        <v>1172.0</v>
      </c>
      <c r="B1059" s="37">
        <v>2018.0</v>
      </c>
      <c r="C1059" s="54">
        <v>11.0</v>
      </c>
      <c r="D1059" s="60">
        <v>1.0</v>
      </c>
      <c r="E1059" s="60">
        <v>8.0</v>
      </c>
      <c r="F1059" s="68" t="s">
        <v>16</v>
      </c>
      <c r="G1059" s="10" t="s">
        <v>38</v>
      </c>
      <c r="H1059" s="10">
        <v>2.53</v>
      </c>
      <c r="I1059" s="10">
        <v>1.5</v>
      </c>
      <c r="J1059" s="10">
        <v>4.03</v>
      </c>
      <c r="L1059" s="3">
        <f t="shared" si="11"/>
        <v>0</v>
      </c>
    </row>
    <row r="1060">
      <c r="A1060" s="34">
        <v>1173.0</v>
      </c>
      <c r="B1060" s="37">
        <v>2018.0</v>
      </c>
      <c r="C1060" s="54">
        <v>11.0</v>
      </c>
      <c r="D1060" s="60">
        <v>1.0</v>
      </c>
      <c r="E1060" s="60">
        <v>9.0</v>
      </c>
      <c r="F1060" s="68" t="s">
        <v>16</v>
      </c>
      <c r="G1060" s="10" t="s">
        <v>27</v>
      </c>
      <c r="H1060" s="10">
        <v>6.1</v>
      </c>
      <c r="I1060" s="10">
        <v>5.93</v>
      </c>
      <c r="J1060" s="10">
        <v>12.03</v>
      </c>
      <c r="L1060" s="3">
        <f t="shared" si="11"/>
        <v>0</v>
      </c>
    </row>
    <row r="1061">
      <c r="A1061" s="34">
        <v>1174.0</v>
      </c>
      <c r="B1061" s="37">
        <v>2018.0</v>
      </c>
      <c r="C1061" s="54">
        <v>11.0</v>
      </c>
      <c r="D1061" s="60">
        <v>1.0</v>
      </c>
      <c r="E1061" s="60">
        <v>9.0</v>
      </c>
      <c r="F1061" s="68" t="s">
        <v>16</v>
      </c>
      <c r="G1061" s="10" t="s">
        <v>67</v>
      </c>
      <c r="H1061" s="10">
        <v>8.17</v>
      </c>
      <c r="I1061" s="10">
        <v>3.83</v>
      </c>
      <c r="J1061" s="10">
        <v>12.0</v>
      </c>
      <c r="L1061" s="3">
        <f t="shared" si="11"/>
        <v>0</v>
      </c>
    </row>
    <row r="1062">
      <c r="A1062" s="34">
        <v>1175.0</v>
      </c>
      <c r="B1062" s="37">
        <v>2018.0</v>
      </c>
      <c r="C1062" s="54">
        <v>11.0</v>
      </c>
      <c r="D1062" s="60">
        <v>1.0</v>
      </c>
      <c r="E1062" s="60">
        <v>9.0</v>
      </c>
      <c r="F1062" s="68" t="s">
        <v>16</v>
      </c>
      <c r="G1062" s="10" t="s">
        <v>69</v>
      </c>
      <c r="H1062" s="10">
        <v>5.83</v>
      </c>
      <c r="I1062" s="10">
        <v>5.07</v>
      </c>
      <c r="J1062" s="10">
        <v>10.9</v>
      </c>
      <c r="L1062" s="3">
        <f t="shared" si="11"/>
        <v>0</v>
      </c>
    </row>
    <row r="1063">
      <c r="A1063" s="34">
        <v>1176.0</v>
      </c>
      <c r="B1063" s="37">
        <v>2018.0</v>
      </c>
      <c r="C1063" s="54">
        <v>11.0</v>
      </c>
      <c r="D1063" s="60">
        <v>1.0</v>
      </c>
      <c r="E1063" s="60">
        <v>10.0</v>
      </c>
      <c r="F1063" s="68" t="s">
        <v>16</v>
      </c>
      <c r="G1063" s="10" t="s">
        <v>52</v>
      </c>
      <c r="H1063" s="10">
        <v>8.47</v>
      </c>
      <c r="I1063" s="10">
        <v>6.6</v>
      </c>
      <c r="J1063" s="10">
        <v>15.07</v>
      </c>
      <c r="L1063" s="3">
        <f t="shared" si="11"/>
        <v>0</v>
      </c>
    </row>
    <row r="1064">
      <c r="A1064" s="34">
        <v>1177.0</v>
      </c>
      <c r="B1064" s="37">
        <v>2018.0</v>
      </c>
      <c r="C1064" s="54">
        <v>11.0</v>
      </c>
      <c r="D1064" s="60">
        <v>1.0</v>
      </c>
      <c r="E1064" s="60">
        <v>10.0</v>
      </c>
      <c r="F1064" s="68" t="s">
        <v>16</v>
      </c>
      <c r="G1064" s="10" t="s">
        <v>50</v>
      </c>
      <c r="H1064" s="10">
        <v>7.4</v>
      </c>
      <c r="I1064" s="10">
        <v>6.6</v>
      </c>
      <c r="J1064" s="10">
        <v>14.0</v>
      </c>
      <c r="L1064" s="3">
        <f t="shared" si="11"/>
        <v>0</v>
      </c>
    </row>
    <row r="1065">
      <c r="A1065" s="34">
        <v>1178.0</v>
      </c>
      <c r="B1065" s="37">
        <v>2018.0</v>
      </c>
      <c r="C1065" s="54">
        <v>11.0</v>
      </c>
      <c r="D1065" s="60">
        <v>1.0</v>
      </c>
      <c r="E1065" s="60">
        <v>10.0</v>
      </c>
      <c r="F1065" s="68" t="s">
        <v>16</v>
      </c>
      <c r="G1065" s="10" t="s">
        <v>142</v>
      </c>
      <c r="H1065" s="10">
        <v>5.6</v>
      </c>
      <c r="I1065" s="10">
        <v>3.6</v>
      </c>
      <c r="J1065" s="10">
        <v>9.2</v>
      </c>
      <c r="L1065" s="3">
        <f t="shared" si="11"/>
        <v>0</v>
      </c>
    </row>
    <row r="1066">
      <c r="A1066" s="34">
        <v>1179.0</v>
      </c>
      <c r="B1066" s="37">
        <v>2018.0</v>
      </c>
      <c r="C1066" s="54">
        <v>11.0</v>
      </c>
      <c r="D1066" s="60">
        <v>1.0</v>
      </c>
      <c r="E1066" s="60">
        <v>11.0</v>
      </c>
      <c r="F1066" s="68" t="s">
        <v>16</v>
      </c>
      <c r="G1066" s="10" t="s">
        <v>39</v>
      </c>
      <c r="H1066" s="10">
        <v>8.33</v>
      </c>
      <c r="I1066" s="10">
        <v>2.9</v>
      </c>
      <c r="J1066" s="10">
        <v>11.23</v>
      </c>
      <c r="L1066" s="3">
        <f t="shared" si="11"/>
        <v>0</v>
      </c>
    </row>
    <row r="1067">
      <c r="A1067" s="34">
        <v>1180.0</v>
      </c>
      <c r="B1067" s="37">
        <v>2018.0</v>
      </c>
      <c r="C1067" s="54">
        <v>11.0</v>
      </c>
      <c r="D1067" s="60">
        <v>1.0</v>
      </c>
      <c r="E1067" s="60">
        <v>11.0</v>
      </c>
      <c r="F1067" s="68" t="s">
        <v>16</v>
      </c>
      <c r="G1067" s="10" t="s">
        <v>32</v>
      </c>
      <c r="H1067" s="10">
        <v>4.5</v>
      </c>
      <c r="I1067" s="10">
        <v>3.6</v>
      </c>
      <c r="J1067" s="10">
        <v>8.1</v>
      </c>
      <c r="L1067" s="3">
        <f t="shared" si="11"/>
        <v>0</v>
      </c>
    </row>
    <row r="1068">
      <c r="A1068" s="34">
        <v>1181.0</v>
      </c>
      <c r="B1068" s="37">
        <v>2018.0</v>
      </c>
      <c r="C1068" s="54">
        <v>11.0</v>
      </c>
      <c r="D1068" s="60">
        <v>1.0</v>
      </c>
      <c r="E1068" s="60">
        <v>11.0</v>
      </c>
      <c r="F1068" s="68" t="s">
        <v>16</v>
      </c>
      <c r="G1068" s="10" t="s">
        <v>47</v>
      </c>
      <c r="H1068" s="10">
        <v>2.9</v>
      </c>
      <c r="I1068" s="10">
        <v>2.23</v>
      </c>
      <c r="J1068" s="10">
        <v>5.13</v>
      </c>
      <c r="L1068" s="3">
        <f t="shared" si="11"/>
        <v>0</v>
      </c>
    </row>
    <row r="1069">
      <c r="A1069" s="34">
        <v>1182.0</v>
      </c>
      <c r="B1069" s="37">
        <v>2018.0</v>
      </c>
      <c r="C1069" s="54">
        <v>11.0</v>
      </c>
      <c r="D1069" s="60">
        <v>1.0</v>
      </c>
      <c r="E1069" s="60">
        <v>12.0</v>
      </c>
      <c r="F1069" s="68" t="s">
        <v>16</v>
      </c>
      <c r="G1069" s="10" t="s">
        <v>176</v>
      </c>
      <c r="H1069" s="10">
        <v>6.67</v>
      </c>
      <c r="I1069" s="10">
        <v>4.77</v>
      </c>
      <c r="J1069" s="10">
        <v>11.44</v>
      </c>
      <c r="L1069" s="3">
        <f t="shared" si="11"/>
        <v>0</v>
      </c>
    </row>
    <row r="1070">
      <c r="A1070" s="34">
        <v>1183.0</v>
      </c>
      <c r="B1070" s="37">
        <v>2018.0</v>
      </c>
      <c r="C1070" s="54">
        <v>11.0</v>
      </c>
      <c r="D1070" s="60">
        <v>1.0</v>
      </c>
      <c r="E1070" s="60">
        <v>12.0</v>
      </c>
      <c r="F1070" s="68" t="s">
        <v>16</v>
      </c>
      <c r="G1070" s="10" t="s">
        <v>177</v>
      </c>
      <c r="H1070" s="10">
        <v>3.93</v>
      </c>
      <c r="I1070" s="10">
        <v>3.67</v>
      </c>
      <c r="J1070" s="10">
        <v>7.6</v>
      </c>
      <c r="L1070" s="3">
        <f t="shared" si="11"/>
        <v>0</v>
      </c>
    </row>
    <row r="1071">
      <c r="A1071" s="34">
        <v>1184.0</v>
      </c>
      <c r="B1071" s="37">
        <v>2018.0</v>
      </c>
      <c r="C1071" s="54">
        <v>11.0</v>
      </c>
      <c r="D1071" s="60">
        <v>1.0</v>
      </c>
      <c r="E1071" s="60">
        <v>12.0</v>
      </c>
      <c r="F1071" s="68" t="s">
        <v>16</v>
      </c>
      <c r="G1071" s="10" t="s">
        <v>179</v>
      </c>
      <c r="H1071" s="10">
        <v>3.87</v>
      </c>
      <c r="I1071" s="10">
        <v>1.17</v>
      </c>
      <c r="J1071" s="10">
        <v>5.04</v>
      </c>
      <c r="L1071" s="3">
        <f t="shared" si="11"/>
        <v>0</v>
      </c>
    </row>
    <row r="1072">
      <c r="A1072" s="34">
        <v>1185.0</v>
      </c>
      <c r="B1072" s="37">
        <v>2018.0</v>
      </c>
      <c r="C1072" s="54">
        <v>11.0</v>
      </c>
      <c r="D1072" s="60">
        <v>2.0</v>
      </c>
      <c r="E1072" s="60">
        <v>1.0</v>
      </c>
      <c r="F1072" s="68" t="s">
        <v>16</v>
      </c>
      <c r="G1072" s="10" t="s">
        <v>33</v>
      </c>
      <c r="H1072" s="10">
        <v>8.0</v>
      </c>
      <c r="I1072" s="10">
        <v>4.7</v>
      </c>
      <c r="J1072" s="10">
        <v>12.7</v>
      </c>
      <c r="L1072" s="3">
        <f t="shared" si="11"/>
        <v>0</v>
      </c>
    </row>
    <row r="1073">
      <c r="A1073" s="34">
        <v>1186.0</v>
      </c>
      <c r="B1073" s="37">
        <v>2018.0</v>
      </c>
      <c r="C1073" s="54">
        <v>11.0</v>
      </c>
      <c r="D1073" s="60">
        <v>2.0</v>
      </c>
      <c r="E1073" s="60">
        <v>1.0</v>
      </c>
      <c r="F1073" s="68" t="s">
        <v>16</v>
      </c>
      <c r="G1073" s="10" t="s">
        <v>175</v>
      </c>
      <c r="H1073" s="10">
        <v>7.33</v>
      </c>
      <c r="I1073" s="10">
        <v>4.43</v>
      </c>
      <c r="J1073" s="10">
        <v>11.76</v>
      </c>
      <c r="L1073" s="3">
        <f t="shared" si="11"/>
        <v>11.76</v>
      </c>
    </row>
    <row r="1074">
      <c r="A1074" s="34">
        <v>1187.0</v>
      </c>
      <c r="B1074" s="37">
        <v>2018.0</v>
      </c>
      <c r="C1074" s="54">
        <v>11.0</v>
      </c>
      <c r="D1074" s="60">
        <v>2.0</v>
      </c>
      <c r="E1074" s="60">
        <v>2.0</v>
      </c>
      <c r="F1074" s="68" t="s">
        <v>16</v>
      </c>
      <c r="G1074" s="10" t="s">
        <v>195</v>
      </c>
      <c r="H1074" s="10">
        <v>8.4</v>
      </c>
      <c r="I1074" s="10">
        <v>4.37</v>
      </c>
      <c r="J1074" s="10">
        <v>12.77</v>
      </c>
      <c r="L1074" s="3">
        <f t="shared" si="11"/>
        <v>0</v>
      </c>
    </row>
    <row r="1075">
      <c r="A1075" s="34">
        <v>1188.0</v>
      </c>
      <c r="B1075" s="37">
        <v>2018.0</v>
      </c>
      <c r="C1075" s="54">
        <v>11.0</v>
      </c>
      <c r="D1075" s="60">
        <v>2.0</v>
      </c>
      <c r="E1075" s="60">
        <v>2.0</v>
      </c>
      <c r="F1075" s="68" t="s">
        <v>16</v>
      </c>
      <c r="G1075" s="10" t="s">
        <v>57</v>
      </c>
      <c r="H1075" s="10">
        <v>6.5</v>
      </c>
      <c r="I1075" s="10">
        <v>3.5</v>
      </c>
      <c r="J1075" s="10">
        <v>10.0</v>
      </c>
      <c r="L1075" s="3">
        <f t="shared" si="11"/>
        <v>0</v>
      </c>
    </row>
    <row r="1076">
      <c r="A1076" s="34">
        <v>1189.0</v>
      </c>
      <c r="B1076" s="37">
        <v>2018.0</v>
      </c>
      <c r="C1076" s="54">
        <v>11.0</v>
      </c>
      <c r="D1076" s="60">
        <v>2.0</v>
      </c>
      <c r="E1076" s="60">
        <v>3.0</v>
      </c>
      <c r="F1076" s="68" t="s">
        <v>16</v>
      </c>
      <c r="G1076" s="10" t="s">
        <v>43</v>
      </c>
      <c r="H1076" s="10">
        <v>1.93</v>
      </c>
      <c r="I1076" s="10">
        <v>1.0</v>
      </c>
      <c r="J1076" s="10">
        <v>2.93</v>
      </c>
      <c r="L1076" s="3">
        <f t="shared" si="11"/>
        <v>0</v>
      </c>
    </row>
    <row r="1077">
      <c r="A1077" s="34">
        <v>1190.0</v>
      </c>
      <c r="B1077" s="37">
        <v>2018.0</v>
      </c>
      <c r="C1077" s="54">
        <v>11.0</v>
      </c>
      <c r="D1077" s="60">
        <v>2.0</v>
      </c>
      <c r="E1077" s="60">
        <v>3.0</v>
      </c>
      <c r="F1077" s="68" t="s">
        <v>16</v>
      </c>
      <c r="G1077" s="10" t="s">
        <v>40</v>
      </c>
      <c r="H1077" s="10">
        <v>0.73</v>
      </c>
      <c r="I1077" s="10">
        <v>0.67</v>
      </c>
      <c r="J1077" s="10">
        <v>1.4</v>
      </c>
      <c r="L1077" s="3">
        <f t="shared" si="11"/>
        <v>0</v>
      </c>
    </row>
    <row r="1078">
      <c r="A1078" s="34">
        <v>1191.0</v>
      </c>
      <c r="B1078" s="37">
        <v>2018.0</v>
      </c>
      <c r="C1078" s="54">
        <v>11.0</v>
      </c>
      <c r="D1078" s="60">
        <v>2.0</v>
      </c>
      <c r="E1078" s="60">
        <v>4.0</v>
      </c>
      <c r="F1078" s="68" t="s">
        <v>16</v>
      </c>
      <c r="G1078" s="10" t="s">
        <v>53</v>
      </c>
      <c r="H1078" s="10">
        <v>4.33</v>
      </c>
      <c r="I1078" s="10">
        <v>0.83</v>
      </c>
      <c r="J1078" s="10">
        <v>5.16</v>
      </c>
      <c r="L1078" s="3">
        <f t="shared" si="11"/>
        <v>0</v>
      </c>
    </row>
    <row r="1079">
      <c r="A1079" s="34">
        <v>1192.0</v>
      </c>
      <c r="B1079" s="37">
        <v>2018.0</v>
      </c>
      <c r="C1079" s="54">
        <v>11.0</v>
      </c>
      <c r="D1079" s="60">
        <v>2.0</v>
      </c>
      <c r="E1079" s="60">
        <v>4.0</v>
      </c>
      <c r="F1079" s="68" t="s">
        <v>16</v>
      </c>
      <c r="G1079" s="10" t="s">
        <v>25</v>
      </c>
      <c r="H1079" s="10">
        <v>2.83</v>
      </c>
      <c r="I1079" s="10">
        <v>1.23</v>
      </c>
      <c r="J1079" s="10">
        <v>4.06</v>
      </c>
      <c r="L1079" s="3">
        <f t="shared" si="11"/>
        <v>0</v>
      </c>
    </row>
    <row r="1080">
      <c r="A1080" s="34">
        <v>1193.0</v>
      </c>
      <c r="B1080" s="37">
        <v>2018.0</v>
      </c>
      <c r="C1080" s="54">
        <v>11.0</v>
      </c>
      <c r="D1080" s="60">
        <v>2.0</v>
      </c>
      <c r="E1080" s="60">
        <v>5.0</v>
      </c>
      <c r="F1080" s="68" t="s">
        <v>16</v>
      </c>
      <c r="G1080" s="10" t="s">
        <v>55</v>
      </c>
      <c r="H1080" s="10">
        <v>5.77</v>
      </c>
      <c r="I1080" s="10">
        <v>4.27</v>
      </c>
      <c r="J1080" s="10">
        <v>10.04</v>
      </c>
      <c r="L1080" s="3">
        <f t="shared" si="11"/>
        <v>0</v>
      </c>
    </row>
    <row r="1081">
      <c r="A1081" s="34">
        <v>1194.0</v>
      </c>
      <c r="B1081" s="37">
        <v>2018.0</v>
      </c>
      <c r="C1081" s="54">
        <v>11.0</v>
      </c>
      <c r="D1081" s="60">
        <v>2.0</v>
      </c>
      <c r="E1081" s="60">
        <v>5.0</v>
      </c>
      <c r="F1081" s="68" t="s">
        <v>16</v>
      </c>
      <c r="G1081" s="10" t="s">
        <v>32</v>
      </c>
      <c r="H1081" s="10">
        <v>4.5</v>
      </c>
      <c r="I1081" s="10">
        <v>0.5</v>
      </c>
      <c r="J1081" s="10">
        <v>5.0</v>
      </c>
      <c r="L1081" s="3">
        <f t="shared" si="11"/>
        <v>0</v>
      </c>
    </row>
    <row r="1082">
      <c r="A1082" s="34">
        <v>1195.0</v>
      </c>
      <c r="B1082" s="37">
        <v>2018.0</v>
      </c>
      <c r="C1082" s="54">
        <v>11.0</v>
      </c>
      <c r="D1082" s="60">
        <v>2.0</v>
      </c>
      <c r="E1082" s="60">
        <v>6.0</v>
      </c>
      <c r="F1082" s="68" t="s">
        <v>16</v>
      </c>
      <c r="G1082" s="10" t="s">
        <v>37</v>
      </c>
      <c r="H1082" s="10">
        <v>5.83</v>
      </c>
      <c r="I1082" s="10">
        <v>2.17</v>
      </c>
      <c r="J1082" s="10">
        <v>8.0</v>
      </c>
      <c r="L1082" s="3">
        <f t="shared" si="11"/>
        <v>0</v>
      </c>
    </row>
    <row r="1083">
      <c r="A1083" s="34">
        <v>1196.0</v>
      </c>
      <c r="B1083" s="37">
        <v>2018.0</v>
      </c>
      <c r="C1083" s="54">
        <v>11.0</v>
      </c>
      <c r="D1083" s="60">
        <v>2.0</v>
      </c>
      <c r="E1083" s="60">
        <v>6.0</v>
      </c>
      <c r="F1083" s="68" t="s">
        <v>16</v>
      </c>
      <c r="G1083" s="10" t="s">
        <v>179</v>
      </c>
      <c r="H1083" s="10">
        <v>1.0</v>
      </c>
      <c r="I1083" s="10">
        <v>0.63</v>
      </c>
      <c r="J1083" s="10">
        <v>1.63</v>
      </c>
      <c r="L1083" s="3">
        <f t="shared" si="11"/>
        <v>0</v>
      </c>
    </row>
    <row r="1084">
      <c r="A1084" s="34">
        <v>1197.0</v>
      </c>
      <c r="B1084" s="37">
        <v>2018.0</v>
      </c>
      <c r="C1084" s="54">
        <v>11.0</v>
      </c>
      <c r="D1084" s="60">
        <v>2.0</v>
      </c>
      <c r="E1084" s="60">
        <v>7.0</v>
      </c>
      <c r="F1084" s="68" t="s">
        <v>16</v>
      </c>
      <c r="G1084" s="10" t="s">
        <v>18</v>
      </c>
      <c r="H1084" s="10">
        <v>9.17</v>
      </c>
      <c r="I1084" s="10">
        <v>7.67</v>
      </c>
      <c r="J1084" s="10">
        <v>16.84</v>
      </c>
      <c r="L1084" s="3">
        <f t="shared" si="11"/>
        <v>0</v>
      </c>
    </row>
    <row r="1085">
      <c r="A1085" s="34">
        <v>1198.0</v>
      </c>
      <c r="B1085" s="37">
        <v>2018.0</v>
      </c>
      <c r="C1085" s="54">
        <v>11.0</v>
      </c>
      <c r="D1085" s="60">
        <v>2.0</v>
      </c>
      <c r="E1085" s="60">
        <v>7.0</v>
      </c>
      <c r="F1085" s="68" t="s">
        <v>16</v>
      </c>
      <c r="G1085" s="10" t="s">
        <v>47</v>
      </c>
      <c r="H1085" s="10">
        <v>4.8</v>
      </c>
      <c r="I1085" s="10">
        <v>1.3</v>
      </c>
      <c r="J1085" s="10">
        <v>6.1</v>
      </c>
      <c r="L1085" s="3">
        <f t="shared" si="11"/>
        <v>0</v>
      </c>
    </row>
    <row r="1086">
      <c r="A1086" s="34">
        <v>1199.0</v>
      </c>
      <c r="B1086" s="37">
        <v>2018.0</v>
      </c>
      <c r="C1086" s="54">
        <v>11.0</v>
      </c>
      <c r="D1086" s="60">
        <v>2.0</v>
      </c>
      <c r="E1086" s="60">
        <v>8.0</v>
      </c>
      <c r="F1086" s="68" t="s">
        <v>16</v>
      </c>
      <c r="G1086" s="10" t="s">
        <v>50</v>
      </c>
      <c r="H1086" s="10">
        <v>3.73</v>
      </c>
      <c r="I1086" s="10">
        <v>1.83</v>
      </c>
      <c r="J1086" s="10">
        <v>5.56</v>
      </c>
      <c r="L1086" s="3">
        <f t="shared" si="11"/>
        <v>0</v>
      </c>
    </row>
    <row r="1087">
      <c r="A1087" s="34">
        <v>1200.0</v>
      </c>
      <c r="B1087" s="37">
        <v>2018.0</v>
      </c>
      <c r="C1087" s="54">
        <v>11.0</v>
      </c>
      <c r="D1087" s="60">
        <v>2.0</v>
      </c>
      <c r="E1087" s="60">
        <v>8.0</v>
      </c>
      <c r="F1087" s="68" t="s">
        <v>16</v>
      </c>
      <c r="G1087" s="10" t="s">
        <v>67</v>
      </c>
      <c r="H1087" s="10">
        <v>1.0</v>
      </c>
      <c r="I1087" s="10">
        <v>0.9</v>
      </c>
      <c r="J1087" s="10">
        <v>1.9</v>
      </c>
      <c r="L1087" s="3">
        <f t="shared" si="11"/>
        <v>0</v>
      </c>
    </row>
    <row r="1088">
      <c r="A1088" s="34">
        <v>1201.0</v>
      </c>
      <c r="B1088" s="37">
        <v>2018.0</v>
      </c>
      <c r="C1088" s="54">
        <v>11.0</v>
      </c>
      <c r="D1088" s="60">
        <v>2.0</v>
      </c>
      <c r="E1088" s="60">
        <v>9.0</v>
      </c>
      <c r="F1088" s="68" t="s">
        <v>16</v>
      </c>
      <c r="G1088" s="10" t="s">
        <v>142</v>
      </c>
      <c r="H1088" s="10">
        <v>3.67</v>
      </c>
      <c r="I1088" s="10">
        <v>1.73</v>
      </c>
      <c r="J1088" s="10">
        <v>5.4</v>
      </c>
      <c r="L1088" s="3">
        <f t="shared" si="11"/>
        <v>0</v>
      </c>
    </row>
    <row r="1089">
      <c r="A1089" s="34">
        <v>1202.0</v>
      </c>
      <c r="B1089" s="37">
        <v>2018.0</v>
      </c>
      <c r="C1089" s="54">
        <v>11.0</v>
      </c>
      <c r="D1089" s="60">
        <v>2.0</v>
      </c>
      <c r="E1089" s="60">
        <v>9.0</v>
      </c>
      <c r="F1089" s="68" t="s">
        <v>16</v>
      </c>
      <c r="G1089" s="10" t="s">
        <v>69</v>
      </c>
      <c r="H1089" s="10">
        <v>2.13</v>
      </c>
      <c r="I1089" s="10">
        <v>1.8</v>
      </c>
      <c r="J1089" s="10">
        <v>3.93</v>
      </c>
      <c r="L1089" s="3">
        <f t="shared" si="11"/>
        <v>0</v>
      </c>
    </row>
    <row r="1090">
      <c r="A1090" s="34">
        <v>1203.0</v>
      </c>
      <c r="B1090" s="37">
        <v>2018.0</v>
      </c>
      <c r="C1090" s="54">
        <v>11.0</v>
      </c>
      <c r="D1090" s="60">
        <v>2.0</v>
      </c>
      <c r="E1090" s="60">
        <v>10.0</v>
      </c>
      <c r="F1090" s="68" t="s">
        <v>16</v>
      </c>
      <c r="G1090" s="10" t="s">
        <v>38</v>
      </c>
      <c r="H1090" s="10">
        <v>2.5</v>
      </c>
      <c r="I1090" s="10">
        <v>1.77</v>
      </c>
      <c r="J1090" s="10">
        <v>4.27</v>
      </c>
      <c r="L1090" s="3">
        <f t="shared" si="11"/>
        <v>0</v>
      </c>
    </row>
    <row r="1091">
      <c r="A1091" s="34">
        <v>1204.0</v>
      </c>
      <c r="B1091" s="37">
        <v>2018.0</v>
      </c>
      <c r="C1091" s="54">
        <v>11.0</v>
      </c>
      <c r="D1091" s="60">
        <v>2.0</v>
      </c>
      <c r="E1091" s="60">
        <v>10.0</v>
      </c>
      <c r="F1091" s="68" t="s">
        <v>16</v>
      </c>
      <c r="G1091" s="10" t="s">
        <v>177</v>
      </c>
      <c r="H1091" s="10">
        <v>2.1</v>
      </c>
      <c r="I1091" s="10">
        <v>1.73</v>
      </c>
      <c r="J1091" s="10">
        <v>3.83</v>
      </c>
      <c r="L1091" s="3">
        <f t="shared" si="11"/>
        <v>0</v>
      </c>
    </row>
    <row r="1092">
      <c r="A1092" s="34">
        <v>1205.0</v>
      </c>
      <c r="B1092" s="37">
        <v>2018.0</v>
      </c>
      <c r="C1092" s="54">
        <v>11.0</v>
      </c>
      <c r="D1092" s="60">
        <v>2.0</v>
      </c>
      <c r="E1092" s="60">
        <v>11.0</v>
      </c>
      <c r="F1092" s="68" t="s">
        <v>16</v>
      </c>
      <c r="G1092" s="10" t="s">
        <v>61</v>
      </c>
      <c r="H1092" s="10">
        <v>5.17</v>
      </c>
      <c r="I1092" s="10">
        <v>1.0</v>
      </c>
      <c r="J1092" s="10">
        <v>6.17</v>
      </c>
      <c r="L1092" s="3">
        <f t="shared" si="11"/>
        <v>0</v>
      </c>
    </row>
    <row r="1093">
      <c r="A1093" s="34">
        <v>1206.0</v>
      </c>
      <c r="B1093" s="37">
        <v>2018.0</v>
      </c>
      <c r="C1093" s="54">
        <v>11.0</v>
      </c>
      <c r="D1093" s="60">
        <v>2.0</v>
      </c>
      <c r="E1093" s="60">
        <v>11.0</v>
      </c>
      <c r="F1093" s="68" t="s">
        <v>16</v>
      </c>
      <c r="G1093" s="10" t="s">
        <v>64</v>
      </c>
      <c r="H1093" s="10">
        <v>1.8</v>
      </c>
      <c r="I1093" s="10">
        <v>0.67</v>
      </c>
      <c r="J1093" s="10">
        <v>2.47</v>
      </c>
      <c r="L1093" s="3">
        <f t="shared" si="11"/>
        <v>0</v>
      </c>
    </row>
    <row r="1094">
      <c r="A1094" s="34">
        <v>1207.0</v>
      </c>
      <c r="B1094" s="37">
        <v>2018.0</v>
      </c>
      <c r="C1094" s="54">
        <v>11.0</v>
      </c>
      <c r="D1094" s="60">
        <v>2.0</v>
      </c>
      <c r="E1094" s="60">
        <v>12.0</v>
      </c>
      <c r="F1094" s="68" t="s">
        <v>16</v>
      </c>
      <c r="G1094" s="10" t="s">
        <v>65</v>
      </c>
      <c r="H1094" s="10">
        <v>8.93</v>
      </c>
      <c r="I1094" s="10">
        <v>7.67</v>
      </c>
      <c r="J1094" s="10">
        <v>16.6</v>
      </c>
      <c r="L1094" s="3">
        <f t="shared" si="11"/>
        <v>0</v>
      </c>
    </row>
    <row r="1095">
      <c r="A1095" s="34">
        <v>1208.0</v>
      </c>
      <c r="B1095" s="37">
        <v>2018.0</v>
      </c>
      <c r="C1095" s="54">
        <v>11.0</v>
      </c>
      <c r="D1095" s="60">
        <v>2.0</v>
      </c>
      <c r="E1095" s="60">
        <v>12.0</v>
      </c>
      <c r="F1095" s="68" t="s">
        <v>16</v>
      </c>
      <c r="G1095" s="10" t="s">
        <v>111</v>
      </c>
      <c r="H1095" s="10">
        <v>0.63</v>
      </c>
      <c r="I1095" s="10">
        <v>0.63</v>
      </c>
      <c r="J1095" s="10">
        <v>1.26</v>
      </c>
      <c r="L1095" s="3">
        <f t="shared" si="11"/>
        <v>0</v>
      </c>
    </row>
    <row r="1096">
      <c r="A1096" s="34">
        <v>1209.0</v>
      </c>
      <c r="B1096" s="37">
        <v>2018.0</v>
      </c>
      <c r="C1096" s="54">
        <v>11.0</v>
      </c>
      <c r="D1096" s="60">
        <v>3.0</v>
      </c>
      <c r="E1096" s="60">
        <v>1.0</v>
      </c>
      <c r="F1096" s="68" t="s">
        <v>16</v>
      </c>
      <c r="G1096" s="10" t="s">
        <v>18</v>
      </c>
      <c r="H1096" s="10">
        <v>4.67</v>
      </c>
      <c r="I1096" s="10">
        <v>4.1</v>
      </c>
      <c r="J1096" s="10">
        <v>8.77</v>
      </c>
      <c r="L1096" s="3">
        <f t="shared" si="11"/>
        <v>0</v>
      </c>
    </row>
    <row r="1097">
      <c r="A1097" s="34">
        <v>1210.0</v>
      </c>
      <c r="B1097" s="37">
        <v>2018.0</v>
      </c>
      <c r="C1097" s="54">
        <v>11.0</v>
      </c>
      <c r="D1097" s="60">
        <v>3.0</v>
      </c>
      <c r="E1097" s="60">
        <v>1.0</v>
      </c>
      <c r="F1097" s="68" t="s">
        <v>16</v>
      </c>
      <c r="G1097" s="10" t="s">
        <v>17</v>
      </c>
      <c r="H1097" s="10">
        <v>1.43</v>
      </c>
      <c r="I1097" s="10">
        <v>1.0</v>
      </c>
      <c r="J1097" s="10">
        <v>2.43</v>
      </c>
      <c r="L1097" s="3">
        <f t="shared" si="11"/>
        <v>0</v>
      </c>
    </row>
    <row r="1098">
      <c r="A1098" s="34">
        <v>1211.0</v>
      </c>
      <c r="B1098" s="37">
        <v>2018.0</v>
      </c>
      <c r="C1098" s="54">
        <v>11.0</v>
      </c>
      <c r="D1098" s="60">
        <v>3.0</v>
      </c>
      <c r="E1098" s="60">
        <v>2.0</v>
      </c>
      <c r="F1098" s="68" t="s">
        <v>16</v>
      </c>
      <c r="G1098" s="10" t="s">
        <v>28</v>
      </c>
      <c r="H1098" s="10">
        <v>5.73</v>
      </c>
      <c r="I1098" s="10">
        <v>4.43</v>
      </c>
      <c r="J1098" s="10">
        <v>10.16</v>
      </c>
      <c r="L1098" s="3">
        <f t="shared" si="11"/>
        <v>0</v>
      </c>
    </row>
    <row r="1099">
      <c r="A1099" s="34">
        <v>1212.0</v>
      </c>
      <c r="B1099" s="37">
        <v>2018.0</v>
      </c>
      <c r="C1099" s="54">
        <v>11.0</v>
      </c>
      <c r="D1099" s="60">
        <v>3.0</v>
      </c>
      <c r="E1099" s="60">
        <v>2.0</v>
      </c>
      <c r="F1099" s="68" t="s">
        <v>16</v>
      </c>
      <c r="G1099" s="10" t="s">
        <v>110</v>
      </c>
      <c r="H1099" s="10">
        <v>1.43</v>
      </c>
      <c r="I1099" s="10">
        <v>1.13</v>
      </c>
      <c r="J1099" s="10">
        <v>2.56</v>
      </c>
      <c r="L1099" s="3">
        <f t="shared" si="11"/>
        <v>0</v>
      </c>
    </row>
    <row r="1100">
      <c r="A1100" s="34">
        <v>1213.0</v>
      </c>
      <c r="B1100" s="37">
        <v>2018.0</v>
      </c>
      <c r="C1100" s="54">
        <v>11.0</v>
      </c>
      <c r="D1100" s="60">
        <v>3.0</v>
      </c>
      <c r="E1100" s="60">
        <v>3.0</v>
      </c>
      <c r="F1100" s="68" t="s">
        <v>16</v>
      </c>
      <c r="G1100" s="10" t="s">
        <v>52</v>
      </c>
      <c r="H1100" s="10">
        <v>7.83</v>
      </c>
      <c r="I1100" s="10">
        <v>5.17</v>
      </c>
      <c r="J1100" s="10">
        <v>13.0</v>
      </c>
      <c r="L1100" s="3">
        <f t="shared" si="11"/>
        <v>0</v>
      </c>
    </row>
    <row r="1101">
      <c r="A1101" s="34">
        <v>1214.0</v>
      </c>
      <c r="B1101" s="37">
        <v>2018.0</v>
      </c>
      <c r="C1101" s="54">
        <v>11.0</v>
      </c>
      <c r="D1101" s="60">
        <v>3.0</v>
      </c>
      <c r="E1101" s="60">
        <v>3.0</v>
      </c>
      <c r="F1101" s="68" t="s">
        <v>16</v>
      </c>
      <c r="G1101" s="10" t="s">
        <v>34</v>
      </c>
      <c r="H1101" s="10">
        <v>4.23</v>
      </c>
      <c r="I1101" s="10">
        <v>2.17</v>
      </c>
      <c r="J1101" s="10">
        <v>6.4</v>
      </c>
      <c r="L1101" s="3">
        <f t="shared" si="11"/>
        <v>0</v>
      </c>
    </row>
    <row r="1102">
      <c r="A1102" s="34">
        <v>1215.0</v>
      </c>
      <c r="B1102" s="37">
        <v>2018.0</v>
      </c>
      <c r="C1102" s="54">
        <v>11.0</v>
      </c>
      <c r="D1102" s="60">
        <v>3.0</v>
      </c>
      <c r="E1102" s="60">
        <v>4.0</v>
      </c>
      <c r="F1102" s="68" t="s">
        <v>16</v>
      </c>
      <c r="G1102" s="10" t="s">
        <v>27</v>
      </c>
      <c r="H1102" s="10">
        <v>6.1</v>
      </c>
      <c r="I1102" s="10">
        <v>5.6</v>
      </c>
      <c r="J1102" s="10">
        <v>11.7</v>
      </c>
      <c r="L1102" s="3">
        <f t="shared" si="11"/>
        <v>0</v>
      </c>
    </row>
    <row r="1103">
      <c r="A1103" s="34">
        <v>1216.0</v>
      </c>
      <c r="B1103" s="37">
        <v>2018.0</v>
      </c>
      <c r="C1103" s="54">
        <v>11.0</v>
      </c>
      <c r="D1103" s="60">
        <v>3.0</v>
      </c>
      <c r="E1103" s="60">
        <v>4.0</v>
      </c>
      <c r="F1103" s="68" t="s">
        <v>16</v>
      </c>
      <c r="G1103" s="10" t="s">
        <v>61</v>
      </c>
      <c r="H1103" s="10">
        <v>5.73</v>
      </c>
      <c r="I1103" s="10">
        <v>1.63</v>
      </c>
      <c r="J1103" s="10">
        <v>7.36</v>
      </c>
      <c r="L1103" s="3">
        <f t="shared" si="11"/>
        <v>0</v>
      </c>
    </row>
    <row r="1104">
      <c r="A1104" s="34">
        <v>1217.0</v>
      </c>
      <c r="B1104" s="37">
        <v>2018.0</v>
      </c>
      <c r="C1104" s="54">
        <v>11.0</v>
      </c>
      <c r="D1104" s="60">
        <v>3.0</v>
      </c>
      <c r="E1104" s="60">
        <v>5.0</v>
      </c>
      <c r="F1104" s="68" t="s">
        <v>16</v>
      </c>
      <c r="G1104" s="10" t="s">
        <v>38</v>
      </c>
      <c r="H1104" s="10">
        <v>4.5</v>
      </c>
      <c r="I1104" s="10">
        <v>3.5</v>
      </c>
      <c r="J1104" s="10">
        <v>8.0</v>
      </c>
      <c r="L1104" s="3">
        <f t="shared" si="11"/>
        <v>0</v>
      </c>
    </row>
    <row r="1105">
      <c r="A1105" s="34">
        <v>1218.0</v>
      </c>
      <c r="B1105" s="37">
        <v>2018.0</v>
      </c>
      <c r="C1105" s="54">
        <v>11.0</v>
      </c>
      <c r="D1105" s="60">
        <v>3.0</v>
      </c>
      <c r="E1105" s="60">
        <v>5.0</v>
      </c>
      <c r="F1105" s="68" t="s">
        <v>16</v>
      </c>
      <c r="G1105" s="10" t="s">
        <v>178</v>
      </c>
      <c r="H1105" s="10">
        <v>2.67</v>
      </c>
      <c r="I1105" s="10">
        <v>2.57</v>
      </c>
      <c r="J1105" s="10">
        <v>5.24</v>
      </c>
      <c r="L1105" s="3">
        <f t="shared" si="11"/>
        <v>0</v>
      </c>
    </row>
    <row r="1106">
      <c r="A1106" s="34">
        <v>1219.0</v>
      </c>
      <c r="B1106" s="37">
        <v>2018.0</v>
      </c>
      <c r="C1106" s="54">
        <v>11.0</v>
      </c>
      <c r="D1106" s="60">
        <v>3.0</v>
      </c>
      <c r="E1106" s="60">
        <v>6.0</v>
      </c>
      <c r="F1106" s="68" t="s">
        <v>16</v>
      </c>
      <c r="G1106" s="10" t="s">
        <v>30</v>
      </c>
      <c r="H1106" s="10">
        <v>7.7</v>
      </c>
      <c r="I1106" s="10">
        <v>6.6</v>
      </c>
      <c r="J1106" s="10">
        <v>14.3</v>
      </c>
      <c r="L1106" s="3">
        <f t="shared" si="11"/>
        <v>0</v>
      </c>
    </row>
    <row r="1107">
      <c r="A1107" s="34">
        <v>1220.0</v>
      </c>
      <c r="B1107" s="37">
        <v>2018.0</v>
      </c>
      <c r="C1107" s="54">
        <v>11.0</v>
      </c>
      <c r="D1107" s="60">
        <v>3.0</v>
      </c>
      <c r="E1107" s="60">
        <v>6.0</v>
      </c>
      <c r="F1107" s="68" t="s">
        <v>16</v>
      </c>
      <c r="G1107" s="10" t="s">
        <v>195</v>
      </c>
      <c r="H1107" s="10">
        <v>6.33</v>
      </c>
      <c r="I1107" s="10">
        <v>5.5</v>
      </c>
      <c r="J1107" s="10">
        <v>11.83</v>
      </c>
      <c r="L1107" s="3">
        <f t="shared" si="11"/>
        <v>0</v>
      </c>
    </row>
    <row r="1108">
      <c r="A1108" s="34">
        <v>1221.0</v>
      </c>
      <c r="B1108" s="37">
        <v>2018.0</v>
      </c>
      <c r="C1108" s="54">
        <v>11.0</v>
      </c>
      <c r="D1108" s="60">
        <v>3.0</v>
      </c>
      <c r="E1108" s="60">
        <v>7.0</v>
      </c>
      <c r="F1108" s="68" t="s">
        <v>16</v>
      </c>
      <c r="G1108" s="10" t="s">
        <v>169</v>
      </c>
      <c r="H1108" s="10">
        <v>4.5</v>
      </c>
      <c r="I1108" s="10">
        <v>0.77</v>
      </c>
      <c r="J1108" s="10">
        <v>5.27</v>
      </c>
      <c r="L1108" s="3">
        <f t="shared" si="11"/>
        <v>0</v>
      </c>
    </row>
    <row r="1109">
      <c r="A1109" s="34">
        <v>1222.0</v>
      </c>
      <c r="B1109" s="37">
        <v>2018.0</v>
      </c>
      <c r="C1109" s="54">
        <v>11.0</v>
      </c>
      <c r="D1109" s="60">
        <v>3.0</v>
      </c>
      <c r="E1109" s="60">
        <v>7.0</v>
      </c>
      <c r="F1109" s="68" t="s">
        <v>16</v>
      </c>
      <c r="G1109" s="10" t="s">
        <v>50</v>
      </c>
      <c r="H1109" s="10">
        <v>1.37</v>
      </c>
      <c r="I1109" s="10">
        <v>1.27</v>
      </c>
      <c r="J1109" s="10">
        <v>2.64</v>
      </c>
      <c r="L1109" s="3">
        <f t="shared" si="11"/>
        <v>0</v>
      </c>
    </row>
    <row r="1110">
      <c r="A1110" s="34">
        <v>1223.0</v>
      </c>
      <c r="B1110" s="37">
        <v>2018.0</v>
      </c>
      <c r="C1110" s="54">
        <v>11.0</v>
      </c>
      <c r="D1110" s="60">
        <v>3.0</v>
      </c>
      <c r="E1110" s="60">
        <v>8.0</v>
      </c>
      <c r="F1110" s="68" t="s">
        <v>16</v>
      </c>
      <c r="G1110" s="10" t="s">
        <v>31</v>
      </c>
      <c r="H1110" s="10">
        <v>6.0</v>
      </c>
      <c r="I1110" s="10">
        <v>2.43</v>
      </c>
      <c r="J1110" s="10">
        <v>8.43</v>
      </c>
      <c r="L1110" s="3">
        <f t="shared" si="11"/>
        <v>0</v>
      </c>
    </row>
    <row r="1111">
      <c r="A1111" s="34">
        <v>1224.0</v>
      </c>
      <c r="B1111" s="37">
        <v>2018.0</v>
      </c>
      <c r="C1111" s="54">
        <v>11.0</v>
      </c>
      <c r="D1111" s="60">
        <v>3.0</v>
      </c>
      <c r="E1111" s="60">
        <v>8.0</v>
      </c>
      <c r="F1111" s="68" t="s">
        <v>16</v>
      </c>
      <c r="G1111" s="10" t="s">
        <v>55</v>
      </c>
      <c r="H1111" s="10">
        <v>5.83</v>
      </c>
      <c r="I1111" s="10">
        <v>1.17</v>
      </c>
      <c r="J1111" s="10">
        <v>7.0</v>
      </c>
      <c r="L1111" s="3">
        <f t="shared" si="11"/>
        <v>0</v>
      </c>
    </row>
    <row r="1112">
      <c r="A1112" s="34">
        <v>1225.0</v>
      </c>
      <c r="B1112" s="37">
        <v>2018.0</v>
      </c>
      <c r="C1112" s="54">
        <v>11.0</v>
      </c>
      <c r="D1112" s="60">
        <v>3.0</v>
      </c>
      <c r="E1112" s="60">
        <v>9.0</v>
      </c>
      <c r="F1112" s="68" t="s">
        <v>16</v>
      </c>
      <c r="G1112" s="10" t="s">
        <v>39</v>
      </c>
      <c r="H1112" s="10">
        <v>8.77</v>
      </c>
      <c r="I1112" s="10">
        <v>4.43</v>
      </c>
      <c r="J1112" s="10">
        <v>13.2</v>
      </c>
      <c r="L1112" s="3">
        <f t="shared" si="11"/>
        <v>0</v>
      </c>
    </row>
    <row r="1113">
      <c r="A1113" s="34">
        <v>1226.0</v>
      </c>
      <c r="B1113" s="37">
        <v>2018.0</v>
      </c>
      <c r="C1113" s="54">
        <v>11.0</v>
      </c>
      <c r="D1113" s="60">
        <v>3.0</v>
      </c>
      <c r="E1113" s="60">
        <v>9.0</v>
      </c>
      <c r="F1113" s="68" t="s">
        <v>16</v>
      </c>
      <c r="G1113" s="10" t="s">
        <v>53</v>
      </c>
      <c r="H1113" s="10">
        <v>1.1</v>
      </c>
      <c r="J1113" s="10">
        <v>1.1</v>
      </c>
      <c r="L1113" s="3">
        <f t="shared" si="11"/>
        <v>0</v>
      </c>
    </row>
    <row r="1114">
      <c r="A1114" s="34">
        <v>1227.0</v>
      </c>
      <c r="B1114" s="37">
        <v>2018.0</v>
      </c>
      <c r="C1114" s="54">
        <v>11.0</v>
      </c>
      <c r="D1114" s="60">
        <v>3.0</v>
      </c>
      <c r="E1114" s="60">
        <v>10.0</v>
      </c>
      <c r="F1114" s="68" t="s">
        <v>16</v>
      </c>
      <c r="G1114" s="10" t="s">
        <v>142</v>
      </c>
      <c r="H1114" s="10">
        <v>3.67</v>
      </c>
      <c r="I1114" s="10">
        <v>3.5</v>
      </c>
      <c r="J1114" s="10">
        <v>7.17</v>
      </c>
      <c r="L1114" s="3">
        <f t="shared" si="11"/>
        <v>0</v>
      </c>
    </row>
    <row r="1115">
      <c r="A1115" s="34">
        <v>1228.0</v>
      </c>
      <c r="B1115" s="37">
        <v>2018.0</v>
      </c>
      <c r="C1115" s="54">
        <v>11.0</v>
      </c>
      <c r="D1115" s="60">
        <v>3.0</v>
      </c>
      <c r="E1115" s="60">
        <v>10.0</v>
      </c>
      <c r="F1115" s="68" t="s">
        <v>16</v>
      </c>
      <c r="G1115" s="10" t="s">
        <v>43</v>
      </c>
      <c r="H1115" s="10">
        <v>2.17</v>
      </c>
      <c r="I1115" s="10">
        <v>0.67</v>
      </c>
      <c r="J1115" s="10">
        <v>2.84</v>
      </c>
      <c r="L1115" s="3">
        <f t="shared" si="11"/>
        <v>0</v>
      </c>
    </row>
    <row r="1116">
      <c r="A1116" s="34">
        <v>1229.0</v>
      </c>
      <c r="B1116" s="37">
        <v>2018.0</v>
      </c>
      <c r="C1116" s="54">
        <v>11.0</v>
      </c>
      <c r="D1116" s="60">
        <v>3.0</v>
      </c>
      <c r="E1116" s="60">
        <v>11.0</v>
      </c>
      <c r="F1116" s="68" t="s">
        <v>16</v>
      </c>
      <c r="G1116" s="10" t="s">
        <v>65</v>
      </c>
      <c r="H1116" s="10">
        <v>4.93</v>
      </c>
      <c r="I1116" s="10">
        <v>3.27</v>
      </c>
      <c r="J1116" s="10">
        <v>8.2</v>
      </c>
      <c r="L1116" s="3">
        <f t="shared" si="11"/>
        <v>0</v>
      </c>
    </row>
    <row r="1117">
      <c r="A1117" s="34">
        <v>1230.0</v>
      </c>
      <c r="B1117" s="37">
        <v>2018.0</v>
      </c>
      <c r="C1117" s="54">
        <v>11.0</v>
      </c>
      <c r="D1117" s="60">
        <v>3.0</v>
      </c>
      <c r="E1117" s="60">
        <v>11.0</v>
      </c>
      <c r="F1117" s="68" t="s">
        <v>16</v>
      </c>
      <c r="G1117" s="10" t="s">
        <v>176</v>
      </c>
      <c r="H1117" s="10">
        <v>3.73</v>
      </c>
      <c r="I1117" s="10">
        <v>1.13</v>
      </c>
      <c r="J1117" s="10">
        <v>4.86</v>
      </c>
      <c r="L1117" s="3">
        <f t="shared" si="11"/>
        <v>0</v>
      </c>
    </row>
    <row r="1118">
      <c r="A1118" s="34">
        <v>1231.0</v>
      </c>
      <c r="B1118" s="37">
        <v>2018.0</v>
      </c>
      <c r="C1118" s="54">
        <v>11.0</v>
      </c>
      <c r="D1118" s="60">
        <v>3.0</v>
      </c>
      <c r="E1118" s="60">
        <v>12.0</v>
      </c>
      <c r="F1118" s="68" t="s">
        <v>16</v>
      </c>
      <c r="G1118" s="10" t="s">
        <v>37</v>
      </c>
      <c r="H1118" s="10">
        <v>8.67</v>
      </c>
      <c r="I1118" s="10">
        <v>6.93</v>
      </c>
      <c r="J1118" s="10">
        <v>15.6</v>
      </c>
      <c r="L1118" s="3">
        <f t="shared" si="11"/>
        <v>0</v>
      </c>
    </row>
    <row r="1119">
      <c r="A1119" s="34">
        <v>1232.0</v>
      </c>
      <c r="B1119" s="37">
        <v>2018.0</v>
      </c>
      <c r="C1119" s="54">
        <v>11.0</v>
      </c>
      <c r="D1119" s="60">
        <v>3.0</v>
      </c>
      <c r="E1119" s="60">
        <v>12.0</v>
      </c>
      <c r="F1119" s="68" t="s">
        <v>16</v>
      </c>
      <c r="G1119" s="10" t="s">
        <v>33</v>
      </c>
      <c r="H1119" s="10">
        <v>3.67</v>
      </c>
      <c r="I1119" s="10">
        <v>3.1</v>
      </c>
      <c r="J1119" s="10">
        <v>6.77</v>
      </c>
      <c r="L1119" s="3">
        <f t="shared" si="11"/>
        <v>0</v>
      </c>
    </row>
    <row r="1120">
      <c r="A1120" s="34">
        <v>1233.0</v>
      </c>
      <c r="B1120" s="37">
        <v>2018.0</v>
      </c>
      <c r="C1120" s="54">
        <v>11.0</v>
      </c>
      <c r="D1120" s="60">
        <v>4.0</v>
      </c>
      <c r="E1120" s="60">
        <v>1.0</v>
      </c>
      <c r="F1120" s="68" t="s">
        <v>16</v>
      </c>
      <c r="G1120" s="10" t="s">
        <v>28</v>
      </c>
      <c r="H1120" s="10">
        <v>7.0</v>
      </c>
      <c r="I1120" s="10">
        <v>4.5</v>
      </c>
      <c r="J1120" s="10">
        <v>11.5</v>
      </c>
      <c r="L1120" s="3">
        <f t="shared" si="11"/>
        <v>0</v>
      </c>
    </row>
    <row r="1121">
      <c r="A1121" s="34">
        <v>1234.0</v>
      </c>
      <c r="B1121" s="37">
        <v>2018.0</v>
      </c>
      <c r="C1121" s="54">
        <v>11.0</v>
      </c>
      <c r="D1121" s="60">
        <v>4.0</v>
      </c>
      <c r="E1121" s="60">
        <v>1.0</v>
      </c>
      <c r="F1121" s="68" t="s">
        <v>16</v>
      </c>
      <c r="G1121" s="10" t="s">
        <v>52</v>
      </c>
      <c r="H1121" s="10">
        <v>5.33</v>
      </c>
      <c r="I1121" s="10">
        <v>4.1</v>
      </c>
      <c r="J1121" s="10">
        <v>9.43</v>
      </c>
      <c r="L1121" s="3">
        <f t="shared" si="11"/>
        <v>0</v>
      </c>
    </row>
    <row r="1122">
      <c r="A1122" s="34">
        <v>1235.0</v>
      </c>
      <c r="B1122" s="37">
        <v>2018.0</v>
      </c>
      <c r="C1122" s="54">
        <v>11.0</v>
      </c>
      <c r="D1122" s="60">
        <v>4.0</v>
      </c>
      <c r="E1122" s="60">
        <v>1.0</v>
      </c>
      <c r="F1122" s="68" t="s">
        <v>16</v>
      </c>
      <c r="G1122" s="10" t="s">
        <v>18</v>
      </c>
      <c r="H1122" s="10">
        <v>5.83</v>
      </c>
      <c r="I1122" s="10">
        <v>2.1</v>
      </c>
      <c r="J1122" s="10">
        <v>7.93</v>
      </c>
      <c r="L1122" s="3">
        <f t="shared" si="11"/>
        <v>0</v>
      </c>
    </row>
    <row r="1123">
      <c r="A1123" s="34">
        <v>1236.0</v>
      </c>
      <c r="B1123" s="37">
        <v>2018.0</v>
      </c>
      <c r="C1123" s="54">
        <v>11.0</v>
      </c>
      <c r="D1123" s="60">
        <v>4.0</v>
      </c>
      <c r="E1123" s="60">
        <v>2.0</v>
      </c>
      <c r="F1123" s="68" t="s">
        <v>16</v>
      </c>
      <c r="G1123" s="10" t="s">
        <v>30</v>
      </c>
      <c r="H1123" s="10">
        <v>8.57</v>
      </c>
      <c r="I1123" s="10">
        <v>8.33</v>
      </c>
      <c r="J1123" s="10">
        <v>16.9</v>
      </c>
      <c r="L1123" s="3">
        <f t="shared" si="11"/>
        <v>0</v>
      </c>
    </row>
    <row r="1124">
      <c r="A1124" s="34">
        <v>1237.0</v>
      </c>
      <c r="B1124" s="37">
        <v>2018.0</v>
      </c>
      <c r="C1124" s="54">
        <v>11.0</v>
      </c>
      <c r="D1124" s="60">
        <v>4.0</v>
      </c>
      <c r="E1124" s="60">
        <v>2.0</v>
      </c>
      <c r="F1124" s="68" t="s">
        <v>16</v>
      </c>
      <c r="G1124" s="10" t="s">
        <v>38</v>
      </c>
      <c r="H1124" s="10">
        <v>6.83</v>
      </c>
      <c r="I1124" s="10">
        <v>5.1</v>
      </c>
      <c r="J1124" s="10">
        <v>11.93</v>
      </c>
      <c r="L1124" s="3">
        <f t="shared" si="11"/>
        <v>0</v>
      </c>
    </row>
    <row r="1125">
      <c r="A1125" s="34">
        <v>1238.0</v>
      </c>
      <c r="B1125" s="37">
        <v>2018.0</v>
      </c>
      <c r="C1125" s="54">
        <v>11.0</v>
      </c>
      <c r="D1125" s="60">
        <v>4.0</v>
      </c>
      <c r="E1125" s="60">
        <v>2.0</v>
      </c>
      <c r="F1125" s="68" t="s">
        <v>16</v>
      </c>
      <c r="G1125" s="10" t="s">
        <v>27</v>
      </c>
      <c r="H1125" s="10">
        <v>4.57</v>
      </c>
      <c r="I1125" s="10">
        <v>2.0</v>
      </c>
      <c r="J1125" s="10">
        <v>6.57</v>
      </c>
      <c r="L1125" s="3">
        <f t="shared" si="11"/>
        <v>0</v>
      </c>
    </row>
    <row r="1126">
      <c r="A1126" s="34">
        <v>1239.0</v>
      </c>
      <c r="B1126" s="37">
        <v>2018.0</v>
      </c>
      <c r="C1126" s="54">
        <v>11.0</v>
      </c>
      <c r="D1126" s="60">
        <v>4.0</v>
      </c>
      <c r="E1126" s="60">
        <v>3.0</v>
      </c>
      <c r="F1126" s="68" t="s">
        <v>16</v>
      </c>
      <c r="G1126" s="10" t="s">
        <v>169</v>
      </c>
      <c r="H1126" s="10">
        <v>8.2</v>
      </c>
      <c r="I1126" s="10">
        <v>7.77</v>
      </c>
      <c r="J1126" s="10">
        <v>15.97</v>
      </c>
      <c r="L1126" s="3">
        <f t="shared" si="11"/>
        <v>0</v>
      </c>
    </row>
    <row r="1127">
      <c r="A1127" s="34">
        <v>1240.0</v>
      </c>
      <c r="B1127" s="37">
        <v>2018.0</v>
      </c>
      <c r="C1127" s="54">
        <v>11.0</v>
      </c>
      <c r="D1127" s="60">
        <v>4.0</v>
      </c>
      <c r="E1127" s="60">
        <v>3.0</v>
      </c>
      <c r="F1127" s="68" t="s">
        <v>16</v>
      </c>
      <c r="G1127" s="10" t="s">
        <v>31</v>
      </c>
      <c r="H1127" s="10">
        <v>8.27</v>
      </c>
      <c r="I1127" s="10">
        <v>4.17</v>
      </c>
      <c r="J1127" s="10">
        <v>12.44</v>
      </c>
      <c r="L1127" s="3">
        <f t="shared" si="11"/>
        <v>0</v>
      </c>
    </row>
    <row r="1128">
      <c r="A1128" s="34">
        <v>1241.0</v>
      </c>
      <c r="B1128" s="37">
        <v>2018.0</v>
      </c>
      <c r="C1128" s="54">
        <v>11.0</v>
      </c>
      <c r="D1128" s="60">
        <v>4.0</v>
      </c>
      <c r="E1128" s="60">
        <v>3.0</v>
      </c>
      <c r="F1128" s="68" t="s">
        <v>16</v>
      </c>
      <c r="G1128" s="10" t="s">
        <v>39</v>
      </c>
      <c r="H1128" s="10">
        <v>6.0</v>
      </c>
      <c r="I1128" s="10">
        <v>1.77</v>
      </c>
      <c r="J1128" s="10">
        <v>7.77</v>
      </c>
      <c r="L1128" s="3">
        <f t="shared" si="11"/>
        <v>0</v>
      </c>
    </row>
    <row r="1129">
      <c r="A1129" s="34">
        <v>1242.0</v>
      </c>
      <c r="B1129" s="37">
        <v>2018.0</v>
      </c>
      <c r="C1129" s="54">
        <v>11.0</v>
      </c>
      <c r="D1129" s="60">
        <v>4.0</v>
      </c>
      <c r="E1129" s="60">
        <v>4.0</v>
      </c>
      <c r="F1129" s="68" t="s">
        <v>16</v>
      </c>
      <c r="G1129" s="10" t="s">
        <v>65</v>
      </c>
      <c r="H1129" s="10">
        <v>6.57</v>
      </c>
      <c r="I1129" s="10">
        <v>4.23</v>
      </c>
      <c r="J1129" s="10">
        <v>10.8</v>
      </c>
      <c r="L1129" s="3">
        <f t="shared" si="11"/>
        <v>0</v>
      </c>
    </row>
    <row r="1130">
      <c r="A1130" s="34">
        <v>1243.0</v>
      </c>
      <c r="B1130" s="37">
        <v>2018.0</v>
      </c>
      <c r="C1130" s="54">
        <v>11.0</v>
      </c>
      <c r="D1130" s="60">
        <v>4.0</v>
      </c>
      <c r="E1130" s="60">
        <v>4.0</v>
      </c>
      <c r="F1130" s="68" t="s">
        <v>16</v>
      </c>
      <c r="G1130" s="10" t="s">
        <v>37</v>
      </c>
      <c r="H1130" s="10">
        <v>6.83</v>
      </c>
      <c r="I1130" s="10">
        <v>2.37</v>
      </c>
      <c r="J1130" s="10">
        <v>9.2</v>
      </c>
      <c r="L1130" s="3">
        <f t="shared" si="11"/>
        <v>0</v>
      </c>
    </row>
    <row r="1131">
      <c r="A1131" s="34">
        <v>1244.0</v>
      </c>
      <c r="B1131" s="37">
        <v>2018.0</v>
      </c>
      <c r="C1131" s="54">
        <v>11.0</v>
      </c>
      <c r="D1131" s="60">
        <v>4.0</v>
      </c>
      <c r="E1131" s="60">
        <v>4.0</v>
      </c>
      <c r="F1131" s="68" t="s">
        <v>16</v>
      </c>
      <c r="G1131" s="10" t="s">
        <v>142</v>
      </c>
      <c r="H1131" s="10">
        <v>4.0</v>
      </c>
      <c r="I1131" s="10">
        <v>3.0</v>
      </c>
      <c r="J1131" s="10">
        <v>7.0</v>
      </c>
      <c r="L1131" s="3">
        <f t="shared" si="11"/>
        <v>0</v>
      </c>
    </row>
    <row r="1132">
      <c r="A1132" s="34">
        <v>1245.0</v>
      </c>
      <c r="B1132" s="37">
        <v>2018.0</v>
      </c>
      <c r="C1132" s="54">
        <v>11.0</v>
      </c>
      <c r="D1132" s="60">
        <v>5.0</v>
      </c>
      <c r="E1132" s="60">
        <v>1.0</v>
      </c>
      <c r="F1132" s="68" t="s">
        <v>16</v>
      </c>
      <c r="G1132" s="10" t="s">
        <v>28</v>
      </c>
      <c r="H1132" s="10">
        <v>7.23</v>
      </c>
      <c r="I1132" s="10">
        <v>5.93</v>
      </c>
      <c r="J1132" s="10">
        <v>13.16</v>
      </c>
      <c r="L1132" s="3">
        <f t="shared" si="11"/>
        <v>0</v>
      </c>
    </row>
    <row r="1133">
      <c r="A1133" s="34">
        <v>1246.0</v>
      </c>
      <c r="B1133" s="37">
        <v>2018.0</v>
      </c>
      <c r="C1133" s="54">
        <v>11.0</v>
      </c>
      <c r="D1133" s="60">
        <v>5.0</v>
      </c>
      <c r="E1133" s="60">
        <v>1.0</v>
      </c>
      <c r="F1133" s="68" t="s">
        <v>16</v>
      </c>
      <c r="G1133" s="10" t="s">
        <v>38</v>
      </c>
      <c r="H1133" s="10">
        <v>5.5</v>
      </c>
      <c r="I1133" s="10">
        <v>1.43</v>
      </c>
      <c r="J1133" s="10">
        <v>6.93</v>
      </c>
      <c r="L1133" s="3">
        <f t="shared" si="11"/>
        <v>0</v>
      </c>
    </row>
    <row r="1134">
      <c r="A1134" s="34">
        <v>1247.0</v>
      </c>
      <c r="B1134" s="37">
        <v>2018.0</v>
      </c>
      <c r="C1134" s="54">
        <v>11.0</v>
      </c>
      <c r="D1134" s="60">
        <v>5.0</v>
      </c>
      <c r="E1134" s="60">
        <v>2.0</v>
      </c>
      <c r="F1134" s="68" t="s">
        <v>16</v>
      </c>
      <c r="G1134" s="10" t="s">
        <v>30</v>
      </c>
      <c r="H1134" s="10">
        <v>10.0</v>
      </c>
      <c r="I1134" s="10">
        <v>9.43</v>
      </c>
      <c r="J1134" s="10">
        <v>19.43</v>
      </c>
      <c r="L1134" s="3">
        <f t="shared" si="11"/>
        <v>0</v>
      </c>
    </row>
    <row r="1135">
      <c r="A1135" s="34">
        <v>1248.0</v>
      </c>
      <c r="B1135" s="37">
        <v>2018.0</v>
      </c>
      <c r="C1135" s="54">
        <v>11.0</v>
      </c>
      <c r="D1135" s="60">
        <v>5.0</v>
      </c>
      <c r="E1135" s="60">
        <v>2.0</v>
      </c>
      <c r="F1135" s="68" t="s">
        <v>16</v>
      </c>
      <c r="G1135" s="10" t="s">
        <v>52</v>
      </c>
      <c r="H1135" s="10">
        <v>7.43</v>
      </c>
      <c r="I1135" s="10">
        <v>6.83</v>
      </c>
      <c r="J1135" s="10">
        <v>14.26</v>
      </c>
      <c r="L1135" s="3">
        <f t="shared" si="11"/>
        <v>0</v>
      </c>
    </row>
    <row r="1136">
      <c r="A1136" s="34">
        <v>1249.0</v>
      </c>
      <c r="B1136" s="37">
        <v>2018.0</v>
      </c>
      <c r="C1136" s="54">
        <v>11.0</v>
      </c>
      <c r="D1136" s="60">
        <v>5.0</v>
      </c>
      <c r="E1136" s="60">
        <v>3.0</v>
      </c>
      <c r="F1136" s="68" t="s">
        <v>16</v>
      </c>
      <c r="G1136" s="10" t="s">
        <v>37</v>
      </c>
      <c r="H1136" s="10">
        <v>9.93</v>
      </c>
      <c r="I1136" s="10">
        <v>5.6</v>
      </c>
      <c r="J1136" s="10">
        <v>15.53</v>
      </c>
      <c r="L1136" s="3">
        <f t="shared" si="11"/>
        <v>0</v>
      </c>
    </row>
    <row r="1137">
      <c r="A1137" s="34">
        <v>1250.0</v>
      </c>
      <c r="B1137" s="37">
        <v>2018.0</v>
      </c>
      <c r="C1137" s="54">
        <v>11.0</v>
      </c>
      <c r="D1137" s="60">
        <v>5.0</v>
      </c>
      <c r="E1137" s="60">
        <v>3.0</v>
      </c>
      <c r="F1137" s="68" t="s">
        <v>16</v>
      </c>
      <c r="G1137" s="10" t="s">
        <v>169</v>
      </c>
      <c r="H1137" s="10">
        <v>6.5</v>
      </c>
      <c r="I1137" s="10">
        <v>3.67</v>
      </c>
      <c r="J1137" s="10">
        <v>10.17</v>
      </c>
      <c r="L1137" s="3">
        <f t="shared" si="11"/>
        <v>0</v>
      </c>
    </row>
    <row r="1138">
      <c r="A1138" s="34">
        <v>1251.0</v>
      </c>
      <c r="B1138" s="37">
        <v>2018.0</v>
      </c>
      <c r="C1138" s="54">
        <v>11.0</v>
      </c>
      <c r="D1138" s="60">
        <v>5.0</v>
      </c>
      <c r="E1138" s="60">
        <v>4.0</v>
      </c>
      <c r="F1138" s="68" t="s">
        <v>16</v>
      </c>
      <c r="G1138" s="10" t="s">
        <v>31</v>
      </c>
      <c r="H1138" s="10">
        <v>7.0</v>
      </c>
      <c r="I1138" s="10">
        <v>6.5</v>
      </c>
      <c r="J1138" s="10">
        <v>13.5</v>
      </c>
      <c r="L1138" s="3">
        <f t="shared" si="11"/>
        <v>0</v>
      </c>
    </row>
    <row r="1139">
      <c r="A1139" s="34">
        <v>1252.0</v>
      </c>
      <c r="B1139" s="37">
        <v>2018.0</v>
      </c>
      <c r="C1139" s="54">
        <v>11.0</v>
      </c>
      <c r="D1139" s="60">
        <v>5.0</v>
      </c>
      <c r="E1139" s="60">
        <v>4.0</v>
      </c>
      <c r="F1139" s="68" t="s">
        <v>16</v>
      </c>
      <c r="G1139" s="10" t="s">
        <v>65</v>
      </c>
      <c r="H1139" s="10">
        <v>8.6</v>
      </c>
      <c r="I1139" s="10">
        <v>1.47</v>
      </c>
      <c r="J1139" s="10">
        <v>10.07</v>
      </c>
      <c r="L1139" s="3">
        <f t="shared" si="11"/>
        <v>0</v>
      </c>
    </row>
    <row r="1140">
      <c r="A1140" s="34">
        <v>1253.0</v>
      </c>
      <c r="B1140" s="37">
        <v>2018.0</v>
      </c>
      <c r="C1140" s="54">
        <v>11.0</v>
      </c>
      <c r="D1140" s="54">
        <v>6.0</v>
      </c>
      <c r="E1140" s="60">
        <v>1.0</v>
      </c>
      <c r="F1140" s="68" t="s">
        <v>16</v>
      </c>
      <c r="G1140" s="10" t="s">
        <v>30</v>
      </c>
      <c r="H1140" s="10">
        <v>9.1</v>
      </c>
      <c r="I1140" s="10">
        <v>7.17</v>
      </c>
      <c r="J1140" s="10">
        <v>16.27</v>
      </c>
      <c r="L1140" s="3">
        <f t="shared" si="11"/>
        <v>0</v>
      </c>
    </row>
    <row r="1141">
      <c r="A1141" s="34">
        <v>1254.0</v>
      </c>
      <c r="B1141" s="37">
        <v>2018.0</v>
      </c>
      <c r="C1141" s="54">
        <v>11.0</v>
      </c>
      <c r="D1141" s="54">
        <v>6.0</v>
      </c>
      <c r="E1141" s="60">
        <v>1.0</v>
      </c>
      <c r="F1141" s="68" t="s">
        <v>16</v>
      </c>
      <c r="G1141" s="10" t="s">
        <v>28</v>
      </c>
      <c r="H1141" s="10">
        <v>8.5</v>
      </c>
      <c r="I1141" s="10">
        <v>7.33</v>
      </c>
      <c r="J1141" s="10">
        <v>15.83</v>
      </c>
      <c r="L1141" s="3">
        <f t="shared" si="11"/>
        <v>0</v>
      </c>
    </row>
    <row r="1142">
      <c r="A1142" s="34">
        <v>1255.0</v>
      </c>
      <c r="B1142" s="37">
        <v>2018.0</v>
      </c>
      <c r="C1142" s="54">
        <v>11.0</v>
      </c>
      <c r="D1142" s="54">
        <v>6.0</v>
      </c>
      <c r="E1142" s="60">
        <v>2.0</v>
      </c>
      <c r="F1142" s="68" t="s">
        <v>16</v>
      </c>
      <c r="G1142" s="10" t="s">
        <v>31</v>
      </c>
      <c r="H1142" s="10">
        <v>8.77</v>
      </c>
      <c r="I1142" s="10">
        <v>5.43</v>
      </c>
      <c r="J1142" s="10">
        <v>14.2</v>
      </c>
      <c r="L1142" s="3">
        <f t="shared" si="11"/>
        <v>0</v>
      </c>
    </row>
    <row r="1143">
      <c r="A1143" s="34">
        <v>1256.0</v>
      </c>
      <c r="B1143" s="37">
        <v>2018.0</v>
      </c>
      <c r="C1143" s="54">
        <v>11.0</v>
      </c>
      <c r="D1143" s="54">
        <v>6.0</v>
      </c>
      <c r="E1143" s="60">
        <v>2.0</v>
      </c>
      <c r="F1143" s="68" t="s">
        <v>16</v>
      </c>
      <c r="G1143" s="10" t="s">
        <v>37</v>
      </c>
      <c r="H1143" s="10">
        <v>6.9</v>
      </c>
      <c r="I1143" s="10">
        <v>4.27</v>
      </c>
      <c r="J1143" s="10">
        <v>11.17</v>
      </c>
      <c r="L1143" s="3">
        <f t="shared" si="11"/>
        <v>0</v>
      </c>
    </row>
    <row r="1144">
      <c r="A1144" s="34">
        <v>1257.0</v>
      </c>
      <c r="B1144" s="37">
        <v>2018.0</v>
      </c>
      <c r="C1144" s="54">
        <v>11.0</v>
      </c>
      <c r="D1144" s="54">
        <v>7.0</v>
      </c>
      <c r="E1144" s="54">
        <v>1.0</v>
      </c>
      <c r="F1144" s="68" t="s">
        <v>16</v>
      </c>
      <c r="G1144" s="10" t="s">
        <v>30</v>
      </c>
      <c r="H1144" s="10">
        <v>9.57</v>
      </c>
      <c r="I1144" s="10">
        <v>8.77</v>
      </c>
      <c r="J1144" s="10">
        <v>18.34</v>
      </c>
      <c r="L1144" s="3">
        <f t="shared" si="11"/>
        <v>0</v>
      </c>
    </row>
    <row r="1145">
      <c r="A1145" s="34">
        <v>1258.0</v>
      </c>
      <c r="B1145" s="37">
        <v>2018.0</v>
      </c>
      <c r="C1145" s="54">
        <v>11.0</v>
      </c>
      <c r="D1145" s="54">
        <v>7.0</v>
      </c>
      <c r="E1145" s="54">
        <v>1.0</v>
      </c>
      <c r="F1145" s="68" t="s">
        <v>16</v>
      </c>
      <c r="G1145" s="10" t="s">
        <v>31</v>
      </c>
      <c r="H1145" s="10">
        <v>8.77</v>
      </c>
      <c r="I1145" s="10">
        <v>7.93</v>
      </c>
      <c r="J1145" s="10">
        <v>16.7</v>
      </c>
      <c r="L1145" s="3">
        <f t="shared" si="11"/>
        <v>0</v>
      </c>
      <c r="M1145" s="3">
        <f>SUM(L1036:L1145)</f>
        <v>21.73</v>
      </c>
    </row>
    <row r="1146">
      <c r="A1146" s="34">
        <v>1259.0</v>
      </c>
      <c r="B1146" s="37">
        <v>2018.0</v>
      </c>
      <c r="C1146" s="37"/>
      <c r="D1146" s="60"/>
      <c r="E1146" s="60"/>
      <c r="F1146" s="35"/>
    </row>
    <row r="1147">
      <c r="A1147" s="34">
        <v>1260.0</v>
      </c>
      <c r="B1147" s="37">
        <v>2018.0</v>
      </c>
      <c r="C1147" s="37"/>
      <c r="D1147" s="60"/>
      <c r="E1147" s="60"/>
      <c r="F1147" s="35"/>
    </row>
    <row r="1148">
      <c r="A1148" s="34">
        <v>1261.0</v>
      </c>
      <c r="B1148" s="37">
        <v>2018.0</v>
      </c>
      <c r="C1148" s="37"/>
      <c r="D1148" s="60"/>
      <c r="E1148" s="60"/>
      <c r="F1148" s="35"/>
    </row>
    <row r="1149">
      <c r="A1149" s="34">
        <v>1262.0</v>
      </c>
      <c r="B1149" s="37">
        <v>2018.0</v>
      </c>
      <c r="C1149" s="37"/>
      <c r="D1149" s="60"/>
      <c r="E1149" s="60"/>
      <c r="F1149" s="35"/>
    </row>
    <row r="1150">
      <c r="A1150" s="34">
        <v>1263.0</v>
      </c>
      <c r="B1150" s="37">
        <v>2018.0</v>
      </c>
      <c r="C1150" s="37"/>
      <c r="D1150" s="60"/>
      <c r="E1150" s="60"/>
      <c r="F1150" s="35"/>
    </row>
    <row r="1151">
      <c r="A1151" s="34">
        <v>1264.0</v>
      </c>
      <c r="B1151" s="37">
        <v>2018.0</v>
      </c>
      <c r="C1151" s="37"/>
      <c r="D1151" s="60"/>
      <c r="E1151" s="60"/>
      <c r="F1151" s="35"/>
    </row>
    <row r="1152">
      <c r="A1152" s="34">
        <v>1265.0</v>
      </c>
      <c r="B1152" s="37">
        <v>2018.0</v>
      </c>
      <c r="C1152" s="37"/>
      <c r="D1152" s="60"/>
      <c r="E1152" s="60"/>
      <c r="F1152" s="35"/>
    </row>
    <row r="1153">
      <c r="A1153" s="34">
        <v>1266.0</v>
      </c>
      <c r="B1153" s="37">
        <v>2018.0</v>
      </c>
      <c r="C1153" s="37"/>
      <c r="D1153" s="60"/>
      <c r="E1153" s="60"/>
      <c r="F1153" s="35"/>
    </row>
    <row r="1154">
      <c r="A1154" s="34">
        <v>1267.0</v>
      </c>
      <c r="B1154" s="37">
        <v>2018.0</v>
      </c>
      <c r="C1154" s="37"/>
      <c r="D1154" s="60"/>
      <c r="E1154" s="60"/>
      <c r="F1154" s="35"/>
    </row>
    <row r="1155">
      <c r="A1155" s="34">
        <v>1268.0</v>
      </c>
      <c r="B1155" s="37">
        <v>2018.0</v>
      </c>
      <c r="C1155" s="37"/>
      <c r="D1155" s="60"/>
      <c r="E1155" s="60"/>
      <c r="F1155" s="35"/>
    </row>
    <row r="1156">
      <c r="A1156" s="34">
        <v>1269.0</v>
      </c>
      <c r="B1156" s="37">
        <v>2018.0</v>
      </c>
      <c r="C1156" s="37"/>
      <c r="D1156" s="60"/>
      <c r="E1156" s="60"/>
      <c r="F1156" s="35"/>
    </row>
    <row r="1157">
      <c r="A1157" s="34">
        <v>1270.0</v>
      </c>
      <c r="B1157" s="37">
        <v>2018.0</v>
      </c>
      <c r="C1157" s="37"/>
      <c r="D1157" s="60"/>
      <c r="E1157" s="60"/>
      <c r="F1157" s="35"/>
    </row>
    <row r="1158">
      <c r="A1158" s="34">
        <v>1271.0</v>
      </c>
      <c r="B1158" s="37">
        <v>2018.0</v>
      </c>
      <c r="C1158" s="37"/>
      <c r="D1158" s="60"/>
      <c r="E1158" s="60"/>
      <c r="F1158" s="35"/>
    </row>
    <row r="1159">
      <c r="A1159" s="34">
        <v>1272.0</v>
      </c>
      <c r="B1159" s="37">
        <v>2018.0</v>
      </c>
      <c r="C1159" s="37"/>
      <c r="D1159" s="60"/>
      <c r="E1159" s="60"/>
      <c r="F1159" s="35"/>
    </row>
    <row r="1160">
      <c r="A1160" s="34">
        <v>1273.0</v>
      </c>
      <c r="B1160" s="37">
        <v>2018.0</v>
      </c>
      <c r="C1160" s="37"/>
      <c r="D1160" s="60"/>
      <c r="E1160" s="60"/>
      <c r="F1160" s="35"/>
    </row>
    <row r="1161">
      <c r="A1161" s="34">
        <v>1274.0</v>
      </c>
      <c r="B1161" s="37">
        <v>2018.0</v>
      </c>
      <c r="C1161" s="37"/>
      <c r="D1161" s="60"/>
      <c r="E1161" s="60"/>
      <c r="F1161" s="35"/>
    </row>
    <row r="1162">
      <c r="A1162" s="34">
        <v>1275.0</v>
      </c>
      <c r="B1162" s="37">
        <v>2018.0</v>
      </c>
      <c r="C1162" s="37"/>
      <c r="D1162" s="54"/>
      <c r="E1162" s="60"/>
      <c r="F1162" s="35"/>
    </row>
    <row r="1163">
      <c r="A1163" s="34">
        <v>1276.0</v>
      </c>
      <c r="B1163" s="37">
        <v>2018.0</v>
      </c>
      <c r="C1163" s="37"/>
      <c r="D1163" s="54"/>
      <c r="E1163" s="60"/>
      <c r="F1163" s="35"/>
    </row>
    <row r="1164">
      <c r="A1164" s="34">
        <v>1277.0</v>
      </c>
      <c r="B1164" s="37">
        <v>2018.0</v>
      </c>
      <c r="C1164" s="37"/>
      <c r="D1164" s="54"/>
      <c r="E1164" s="60"/>
      <c r="F1164" s="35"/>
    </row>
    <row r="1165">
      <c r="A1165" s="34">
        <v>1278.0</v>
      </c>
      <c r="B1165" s="37">
        <v>2018.0</v>
      </c>
      <c r="C1165" s="37"/>
      <c r="D1165" s="54"/>
      <c r="E1165" s="60"/>
      <c r="F1165" s="35"/>
    </row>
    <row r="1166">
      <c r="A1166" s="34">
        <v>1279.0</v>
      </c>
      <c r="B1166" s="37">
        <v>2018.0</v>
      </c>
      <c r="C1166" s="37"/>
      <c r="D1166" s="54"/>
      <c r="E1166" s="54"/>
      <c r="F1166" s="35"/>
    </row>
    <row r="1167">
      <c r="A1167" s="34">
        <v>1280.0</v>
      </c>
      <c r="B1167" s="37">
        <v>2018.0</v>
      </c>
      <c r="C1167" s="37"/>
      <c r="D1167" s="54"/>
      <c r="E1167" s="54"/>
      <c r="F1167" s="35"/>
    </row>
    <row r="1168">
      <c r="A1168" s="34"/>
      <c r="B1168" s="37"/>
      <c r="C1168" s="37"/>
      <c r="D1168" s="34"/>
      <c r="E1168" s="34"/>
      <c r="F1168" s="35"/>
    </row>
    <row r="1169">
      <c r="A1169" s="34"/>
      <c r="B1169" s="37"/>
      <c r="C1169" s="37"/>
      <c r="D1169" s="34"/>
      <c r="E1169" s="34"/>
      <c r="F1169" s="35"/>
    </row>
    <row r="1170">
      <c r="A1170" s="34"/>
      <c r="B1170" s="37"/>
      <c r="C1170" s="37"/>
      <c r="D1170" s="34"/>
      <c r="E1170" s="34"/>
      <c r="F1170" s="35"/>
    </row>
    <row r="1171">
      <c r="A1171" s="34"/>
      <c r="B1171" s="37"/>
      <c r="C1171" s="37"/>
      <c r="D1171" s="34"/>
      <c r="E1171" s="34"/>
      <c r="F1171" s="35"/>
    </row>
    <row r="1172">
      <c r="A1172" s="34"/>
      <c r="B1172" s="37"/>
      <c r="C1172" s="37"/>
      <c r="D1172" s="34"/>
      <c r="E1172" s="34"/>
      <c r="F1172" s="35"/>
    </row>
    <row r="1173">
      <c r="A1173" s="34"/>
      <c r="B1173" s="37"/>
      <c r="C1173" s="37"/>
      <c r="D1173" s="34"/>
      <c r="E1173" s="34"/>
      <c r="F1173" s="35"/>
    </row>
    <row r="1174">
      <c r="A1174" s="34"/>
      <c r="B1174" s="37"/>
      <c r="C1174" s="37"/>
      <c r="D1174" s="34"/>
      <c r="E1174" s="34"/>
      <c r="F1174" s="35"/>
    </row>
    <row r="1175">
      <c r="A1175" s="34"/>
      <c r="B1175" s="37"/>
      <c r="C1175" s="37"/>
      <c r="D1175" s="34"/>
      <c r="E1175" s="34"/>
      <c r="F1175" s="35"/>
    </row>
    <row r="1176">
      <c r="A1176" s="34"/>
      <c r="B1176" s="37"/>
      <c r="C1176" s="37"/>
      <c r="D1176" s="34"/>
      <c r="E1176" s="34"/>
      <c r="F1176" s="35"/>
    </row>
    <row r="1177">
      <c r="A1177" s="34"/>
      <c r="B1177" s="37"/>
      <c r="C1177" s="37"/>
      <c r="D1177" s="34"/>
      <c r="E1177" s="34"/>
      <c r="F1177" s="35"/>
    </row>
    <row r="1178">
      <c r="A1178" s="34"/>
      <c r="B1178" s="37"/>
      <c r="C1178" s="37"/>
      <c r="D1178" s="34"/>
      <c r="E1178" s="34"/>
      <c r="F1178" s="35"/>
    </row>
    <row r="1179">
      <c r="A1179" s="34"/>
      <c r="B1179" s="37"/>
      <c r="C1179" s="37"/>
      <c r="D1179" s="34"/>
      <c r="E1179" s="34"/>
      <c r="F1179" s="35"/>
    </row>
    <row r="1180">
      <c r="A1180" s="34"/>
      <c r="B1180" s="37"/>
      <c r="C1180" s="37"/>
      <c r="D1180" s="34"/>
      <c r="E1180" s="34"/>
      <c r="F1180" s="35"/>
    </row>
    <row r="1181">
      <c r="A1181" s="34"/>
      <c r="B1181" s="37"/>
      <c r="C1181" s="37"/>
      <c r="D1181" s="34"/>
      <c r="E1181" s="34"/>
      <c r="F1181" s="35"/>
    </row>
    <row r="1182">
      <c r="A1182" s="34"/>
      <c r="B1182" s="37"/>
      <c r="C1182" s="37"/>
      <c r="D1182" s="34"/>
      <c r="E1182" s="34"/>
      <c r="F1182" s="35"/>
    </row>
    <row r="1183">
      <c r="A1183" s="34"/>
      <c r="B1183" s="37"/>
      <c r="C1183" s="37"/>
      <c r="D1183" s="34"/>
      <c r="E1183" s="34"/>
      <c r="F1183" s="35"/>
    </row>
    <row r="1184">
      <c r="A1184" s="34"/>
      <c r="B1184" s="37"/>
      <c r="C1184" s="37"/>
      <c r="D1184" s="34"/>
      <c r="E1184" s="34"/>
      <c r="F1184" s="35"/>
    </row>
    <row r="1185">
      <c r="A1185" s="34"/>
      <c r="B1185" s="37"/>
      <c r="C1185" s="37"/>
      <c r="D1185" s="34"/>
      <c r="E1185" s="34"/>
      <c r="F1185" s="35"/>
    </row>
    <row r="1186">
      <c r="A1186" s="34"/>
      <c r="B1186" s="37"/>
      <c r="C1186" s="37"/>
      <c r="D1186" s="34"/>
      <c r="E1186" s="34"/>
      <c r="F1186" s="35"/>
    </row>
    <row r="1187">
      <c r="A1187" s="34"/>
      <c r="B1187" s="37"/>
      <c r="C1187" s="37"/>
      <c r="D1187" s="34"/>
      <c r="E1187" s="34"/>
      <c r="F1187" s="35"/>
    </row>
    <row r="1188">
      <c r="A1188" s="34"/>
      <c r="B1188" s="37"/>
      <c r="C1188" s="37"/>
      <c r="D1188" s="34"/>
      <c r="E1188" s="34"/>
      <c r="F1188" s="35"/>
    </row>
    <row r="1189">
      <c r="A1189" s="34"/>
      <c r="B1189" s="37"/>
      <c r="C1189" s="37"/>
      <c r="D1189" s="34"/>
      <c r="E1189" s="34"/>
      <c r="F1189" s="35"/>
    </row>
    <row r="1190">
      <c r="A1190" s="34"/>
      <c r="B1190" s="37"/>
      <c r="C1190" s="37"/>
      <c r="D1190" s="34"/>
      <c r="E1190" s="34"/>
      <c r="F1190" s="35"/>
    </row>
    <row r="1191">
      <c r="A1191" s="34"/>
      <c r="B1191" s="37"/>
      <c r="C1191" s="37"/>
      <c r="D1191" s="34"/>
      <c r="E1191" s="34"/>
      <c r="F1191" s="35"/>
    </row>
    <row r="1192">
      <c r="A1192" s="34"/>
      <c r="B1192" s="37"/>
      <c r="C1192" s="37"/>
      <c r="D1192" s="34"/>
      <c r="E1192" s="34"/>
      <c r="F1192" s="35"/>
    </row>
    <row r="1193">
      <c r="A1193" s="34"/>
      <c r="B1193" s="37"/>
      <c r="C1193" s="37"/>
      <c r="D1193" s="34"/>
      <c r="E1193" s="34"/>
      <c r="F1193" s="35"/>
    </row>
    <row r="1194">
      <c r="A1194" s="34"/>
      <c r="B1194" s="37"/>
      <c r="C1194" s="37"/>
      <c r="D1194" s="34"/>
      <c r="E1194" s="34"/>
      <c r="F1194" s="35"/>
    </row>
    <row r="1195">
      <c r="A1195" s="34"/>
      <c r="B1195" s="37"/>
      <c r="C1195" s="37"/>
      <c r="D1195" s="34"/>
      <c r="E1195" s="34"/>
      <c r="F1195" s="35"/>
    </row>
    <row r="1196">
      <c r="A1196" s="34"/>
      <c r="B1196" s="37"/>
      <c r="C1196" s="37"/>
      <c r="D1196" s="34"/>
      <c r="E1196" s="34"/>
      <c r="F1196" s="35"/>
    </row>
    <row r="1197">
      <c r="A1197" s="34"/>
      <c r="B1197" s="37"/>
      <c r="C1197" s="37"/>
      <c r="D1197" s="34"/>
      <c r="E1197" s="34"/>
      <c r="F1197" s="35"/>
    </row>
    <row r="1198">
      <c r="A1198" s="34"/>
      <c r="B1198" s="37"/>
      <c r="C1198" s="37"/>
      <c r="D1198" s="34"/>
      <c r="E1198" s="34"/>
      <c r="F1198" s="35"/>
    </row>
    <row r="1199">
      <c r="A1199" s="34"/>
      <c r="B1199" s="37"/>
      <c r="C1199" s="37"/>
      <c r="D1199" s="34"/>
      <c r="E1199" s="34"/>
      <c r="F1199" s="35"/>
    </row>
    <row r="1200">
      <c r="A1200" s="34"/>
      <c r="B1200" s="37"/>
      <c r="C1200" s="37"/>
      <c r="D1200" s="34"/>
      <c r="E1200" s="34"/>
      <c r="F1200" s="35"/>
    </row>
    <row r="1201">
      <c r="A1201" s="34"/>
      <c r="B1201" s="37"/>
      <c r="C1201" s="37"/>
      <c r="D1201" s="34"/>
      <c r="E1201" s="34"/>
      <c r="F1201" s="35"/>
    </row>
    <row r="1202">
      <c r="A1202" s="34"/>
      <c r="B1202" s="37"/>
      <c r="C1202" s="37"/>
      <c r="D1202" s="34"/>
      <c r="E1202" s="34"/>
      <c r="F1202" s="35"/>
    </row>
    <row r="1203">
      <c r="A1203" s="34"/>
      <c r="B1203" s="37"/>
      <c r="C1203" s="37"/>
      <c r="D1203" s="34"/>
      <c r="E1203" s="34"/>
      <c r="F1203" s="35"/>
    </row>
    <row r="1204">
      <c r="A1204" s="34"/>
      <c r="B1204" s="37"/>
      <c r="C1204" s="37"/>
      <c r="D1204" s="34"/>
      <c r="E1204" s="34"/>
      <c r="F1204" s="35"/>
    </row>
    <row r="1205">
      <c r="A1205" s="34"/>
      <c r="B1205" s="37"/>
      <c r="C1205" s="37"/>
      <c r="D1205" s="34"/>
      <c r="E1205" s="34"/>
      <c r="F1205" s="35"/>
    </row>
    <row r="1206">
      <c r="A1206" s="34"/>
      <c r="B1206" s="37"/>
      <c r="C1206" s="37"/>
      <c r="D1206" s="34"/>
      <c r="E1206" s="34"/>
      <c r="F1206" s="35"/>
    </row>
    <row r="1207">
      <c r="A1207" s="34"/>
      <c r="B1207" s="37"/>
      <c r="C1207" s="37"/>
      <c r="D1207" s="34"/>
      <c r="E1207" s="34"/>
      <c r="F1207" s="35"/>
    </row>
    <row r="1208">
      <c r="A1208" s="34"/>
      <c r="B1208" s="37"/>
      <c r="C1208" s="37"/>
      <c r="D1208" s="34"/>
      <c r="E1208" s="34"/>
      <c r="F1208" s="35"/>
    </row>
    <row r="1209">
      <c r="A1209" s="34"/>
      <c r="B1209" s="37"/>
      <c r="C1209" s="37"/>
      <c r="D1209" s="34"/>
      <c r="E1209" s="34"/>
      <c r="F1209" s="35"/>
    </row>
    <row r="1210">
      <c r="A1210" s="34"/>
      <c r="B1210" s="37"/>
      <c r="C1210" s="37"/>
      <c r="D1210" s="34"/>
      <c r="E1210" s="34"/>
      <c r="F1210" s="35"/>
    </row>
    <row r="1211">
      <c r="A1211" s="34"/>
      <c r="B1211" s="37"/>
      <c r="C1211" s="37"/>
      <c r="D1211" s="34"/>
      <c r="E1211" s="34"/>
      <c r="F1211" s="35"/>
    </row>
    <row r="1212">
      <c r="A1212" s="34"/>
      <c r="B1212" s="37"/>
      <c r="C1212" s="37"/>
      <c r="D1212" s="34"/>
      <c r="E1212" s="34"/>
      <c r="F1212" s="35"/>
    </row>
    <row r="1213">
      <c r="A1213" s="34"/>
      <c r="B1213" s="37"/>
      <c r="C1213" s="37"/>
      <c r="D1213" s="34"/>
      <c r="E1213" s="34"/>
      <c r="F1213" s="35"/>
    </row>
    <row r="1214">
      <c r="A1214" s="34"/>
      <c r="B1214" s="37"/>
      <c r="C1214" s="37"/>
      <c r="D1214" s="34"/>
      <c r="E1214" s="34"/>
      <c r="F1214" s="35"/>
    </row>
    <row r="1215">
      <c r="A1215" s="34"/>
      <c r="B1215" s="37"/>
      <c r="C1215" s="37"/>
      <c r="D1215" s="34"/>
      <c r="E1215" s="34"/>
      <c r="F1215" s="35"/>
    </row>
    <row r="1216">
      <c r="A1216" s="34"/>
      <c r="B1216" s="37"/>
      <c r="C1216" s="37"/>
      <c r="D1216" s="34"/>
      <c r="E1216" s="34"/>
      <c r="F1216" s="35"/>
    </row>
    <row r="1217">
      <c r="A1217" s="34"/>
      <c r="B1217" s="37"/>
      <c r="C1217" s="37"/>
      <c r="D1217" s="34"/>
      <c r="E1217" s="34"/>
      <c r="F1217" s="35"/>
    </row>
    <row r="1218">
      <c r="A1218" s="34"/>
      <c r="B1218" s="37"/>
      <c r="C1218" s="37"/>
      <c r="D1218" s="34"/>
      <c r="E1218" s="34"/>
      <c r="F1218" s="35"/>
    </row>
    <row r="1219">
      <c r="A1219" s="34"/>
      <c r="B1219" s="37"/>
      <c r="C1219" s="37"/>
      <c r="D1219" s="34"/>
      <c r="E1219" s="34"/>
      <c r="F1219" s="35"/>
    </row>
    <row r="1220">
      <c r="A1220" s="34"/>
      <c r="B1220" s="37"/>
      <c r="C1220" s="37"/>
      <c r="D1220" s="34"/>
      <c r="E1220" s="34"/>
      <c r="F1220" s="35"/>
    </row>
    <row r="1221">
      <c r="A1221" s="34"/>
      <c r="B1221" s="37"/>
      <c r="C1221" s="37"/>
      <c r="D1221" s="34"/>
      <c r="E1221" s="34"/>
      <c r="F1221" s="35"/>
    </row>
    <row r="1222">
      <c r="A1222" s="34"/>
      <c r="B1222" s="37"/>
      <c r="C1222" s="37"/>
      <c r="D1222" s="34"/>
      <c r="E1222" s="34"/>
      <c r="F1222" s="35"/>
    </row>
    <row r="1223">
      <c r="A1223" s="34"/>
      <c r="B1223" s="37"/>
      <c r="C1223" s="37"/>
      <c r="D1223" s="34"/>
      <c r="E1223" s="34"/>
      <c r="F1223" s="35"/>
    </row>
    <row r="1224">
      <c r="A1224" s="34"/>
      <c r="B1224" s="37"/>
      <c r="C1224" s="37"/>
      <c r="D1224" s="34"/>
      <c r="E1224" s="34"/>
      <c r="F1224" s="35"/>
    </row>
    <row r="1225">
      <c r="A1225" s="34"/>
      <c r="B1225" s="37"/>
      <c r="C1225" s="37"/>
      <c r="D1225" s="34"/>
      <c r="E1225" s="34"/>
      <c r="F1225" s="35"/>
    </row>
    <row r="1226">
      <c r="A1226" s="34"/>
      <c r="B1226" s="37"/>
      <c r="C1226" s="37"/>
      <c r="D1226" s="34"/>
      <c r="E1226" s="34"/>
      <c r="F1226" s="35"/>
    </row>
    <row r="1227">
      <c r="A1227" s="34"/>
      <c r="B1227" s="37"/>
      <c r="C1227" s="37"/>
      <c r="D1227" s="34"/>
      <c r="E1227" s="34"/>
      <c r="F1227" s="35"/>
    </row>
    <row r="1228">
      <c r="A1228" s="34"/>
      <c r="B1228" s="37"/>
      <c r="C1228" s="37"/>
      <c r="D1228" s="34"/>
      <c r="E1228" s="34"/>
      <c r="F1228" s="35"/>
    </row>
    <row r="1229">
      <c r="A1229" s="34"/>
      <c r="B1229" s="37"/>
      <c r="C1229" s="37"/>
      <c r="D1229" s="34"/>
      <c r="E1229" s="34"/>
      <c r="F1229" s="35"/>
    </row>
    <row r="1230">
      <c r="A1230" s="34"/>
      <c r="B1230" s="37"/>
      <c r="C1230" s="37"/>
      <c r="D1230" s="34"/>
      <c r="E1230" s="34"/>
      <c r="F1230" s="35"/>
    </row>
    <row r="1231">
      <c r="A1231" s="34"/>
      <c r="B1231" s="37"/>
      <c r="C1231" s="37"/>
      <c r="D1231" s="34"/>
      <c r="E1231" s="34"/>
      <c r="F1231" s="35"/>
    </row>
    <row r="1232">
      <c r="A1232" s="34"/>
      <c r="B1232" s="37"/>
      <c r="C1232" s="37"/>
      <c r="D1232" s="34"/>
      <c r="E1232" s="34"/>
      <c r="F1232" s="35"/>
    </row>
    <row r="1233">
      <c r="A1233" s="34"/>
      <c r="B1233" s="37"/>
      <c r="C1233" s="37"/>
      <c r="D1233" s="34"/>
      <c r="E1233" s="34"/>
      <c r="F1233" s="35"/>
    </row>
    <row r="1234">
      <c r="A1234" s="34"/>
      <c r="B1234" s="37"/>
      <c r="C1234" s="37"/>
      <c r="D1234" s="34"/>
      <c r="E1234" s="34"/>
      <c r="F1234" s="35"/>
    </row>
    <row r="1235">
      <c r="A1235" s="34"/>
      <c r="B1235" s="37"/>
      <c r="C1235" s="37"/>
      <c r="D1235" s="34"/>
      <c r="E1235" s="34"/>
      <c r="F1235" s="35"/>
    </row>
    <row r="1236">
      <c r="A1236" s="34"/>
      <c r="B1236" s="37"/>
      <c r="C1236" s="37"/>
      <c r="D1236" s="34"/>
      <c r="E1236" s="34"/>
      <c r="F1236" s="35"/>
    </row>
    <row r="1237">
      <c r="A1237" s="34"/>
      <c r="B1237" s="37"/>
      <c r="C1237" s="37"/>
      <c r="D1237" s="34"/>
      <c r="E1237" s="34"/>
      <c r="F1237" s="35"/>
    </row>
    <row r="1238">
      <c r="A1238" s="34"/>
      <c r="B1238" s="37"/>
      <c r="C1238" s="37"/>
      <c r="D1238" s="34"/>
      <c r="E1238" s="34"/>
      <c r="F1238" s="35"/>
    </row>
    <row r="1239">
      <c r="A1239" s="34"/>
      <c r="B1239" s="37"/>
      <c r="C1239" s="37"/>
      <c r="D1239" s="34"/>
      <c r="E1239" s="34"/>
      <c r="F1239" s="35"/>
    </row>
    <row r="1240">
      <c r="A1240" s="34"/>
      <c r="B1240" s="37"/>
      <c r="C1240" s="37"/>
      <c r="D1240" s="34"/>
      <c r="E1240" s="34"/>
      <c r="F1240" s="35"/>
    </row>
    <row r="1241">
      <c r="A1241" s="34"/>
      <c r="B1241" s="37"/>
      <c r="C1241" s="37"/>
      <c r="D1241" s="34"/>
      <c r="E1241" s="34"/>
      <c r="F1241" s="35"/>
    </row>
    <row r="1242">
      <c r="A1242" s="34"/>
      <c r="B1242" s="37"/>
      <c r="C1242" s="37"/>
      <c r="D1242" s="34"/>
      <c r="E1242" s="34"/>
      <c r="F1242" s="35"/>
    </row>
    <row r="1243">
      <c r="A1243" s="34"/>
      <c r="B1243" s="37"/>
      <c r="C1243" s="37"/>
      <c r="D1243" s="34"/>
      <c r="E1243" s="34"/>
      <c r="F1243" s="35"/>
    </row>
    <row r="1244">
      <c r="A1244" s="34"/>
      <c r="B1244" s="37"/>
      <c r="C1244" s="37"/>
      <c r="D1244" s="34"/>
      <c r="E1244" s="34"/>
      <c r="F1244" s="35"/>
    </row>
    <row r="1245">
      <c r="A1245" s="34"/>
      <c r="B1245" s="37"/>
      <c r="C1245" s="37"/>
      <c r="D1245" s="34"/>
      <c r="E1245" s="34"/>
      <c r="F1245" s="35"/>
    </row>
    <row r="1246">
      <c r="A1246" s="34"/>
      <c r="B1246" s="37"/>
      <c r="C1246" s="37"/>
      <c r="D1246" s="34"/>
      <c r="E1246" s="34"/>
      <c r="F1246" s="35"/>
    </row>
    <row r="1247">
      <c r="A1247" s="34"/>
      <c r="B1247" s="37"/>
      <c r="C1247" s="37"/>
      <c r="D1247" s="34"/>
      <c r="E1247" s="34"/>
      <c r="F1247" s="35"/>
    </row>
    <row r="1248">
      <c r="A1248" s="34"/>
      <c r="B1248" s="37"/>
      <c r="C1248" s="37"/>
      <c r="D1248" s="34"/>
      <c r="E1248" s="34"/>
      <c r="F1248" s="35"/>
    </row>
    <row r="1249">
      <c r="A1249" s="34"/>
      <c r="B1249" s="37"/>
      <c r="C1249" s="37"/>
      <c r="D1249" s="34"/>
      <c r="E1249" s="34"/>
      <c r="F1249" s="35"/>
    </row>
    <row r="1250">
      <c r="A1250" s="34"/>
      <c r="B1250" s="37"/>
      <c r="C1250" s="37"/>
      <c r="D1250" s="34"/>
      <c r="E1250" s="34"/>
      <c r="F1250" s="35"/>
    </row>
    <row r="1251">
      <c r="A1251" s="34"/>
      <c r="B1251" s="37"/>
      <c r="C1251" s="37"/>
      <c r="D1251" s="34"/>
      <c r="E1251" s="34"/>
      <c r="F1251" s="35"/>
    </row>
    <row r="1252">
      <c r="A1252" s="34"/>
      <c r="B1252" s="37"/>
      <c r="C1252" s="37"/>
      <c r="D1252" s="34"/>
      <c r="E1252" s="34"/>
      <c r="F1252" s="35"/>
    </row>
    <row r="1253">
      <c r="A1253" s="34"/>
      <c r="B1253" s="37"/>
      <c r="C1253" s="37"/>
      <c r="D1253" s="34"/>
      <c r="E1253" s="34"/>
      <c r="F1253" s="35"/>
    </row>
    <row r="1254">
      <c r="A1254" s="34"/>
      <c r="B1254" s="37"/>
      <c r="C1254" s="37"/>
      <c r="D1254" s="34"/>
      <c r="E1254" s="34"/>
      <c r="F1254" s="35"/>
    </row>
    <row r="1255">
      <c r="A1255" s="34"/>
      <c r="B1255" s="37"/>
      <c r="C1255" s="37"/>
      <c r="D1255" s="34"/>
      <c r="E1255" s="34"/>
      <c r="F1255" s="35"/>
    </row>
    <row r="1256">
      <c r="A1256" s="34"/>
      <c r="B1256" s="37"/>
      <c r="C1256" s="37"/>
      <c r="D1256" s="34"/>
      <c r="E1256" s="34"/>
      <c r="F1256" s="35"/>
    </row>
    <row r="1257">
      <c r="A1257" s="34"/>
      <c r="B1257" s="37"/>
      <c r="C1257" s="37"/>
      <c r="D1257" s="34"/>
      <c r="E1257" s="34"/>
      <c r="F1257" s="35"/>
    </row>
    <row r="1258">
      <c r="A1258" s="34"/>
      <c r="B1258" s="37"/>
      <c r="C1258" s="37"/>
      <c r="D1258" s="34"/>
      <c r="E1258" s="34"/>
      <c r="F1258" s="35"/>
    </row>
    <row r="1259">
      <c r="A1259" s="34"/>
      <c r="B1259" s="37"/>
      <c r="C1259" s="37"/>
      <c r="D1259" s="34"/>
      <c r="E1259" s="34"/>
      <c r="F1259" s="35"/>
    </row>
    <row r="1260">
      <c r="A1260" s="34"/>
      <c r="B1260" s="37"/>
      <c r="C1260" s="37"/>
      <c r="D1260" s="34"/>
      <c r="E1260" s="34"/>
      <c r="F1260" s="35"/>
    </row>
    <row r="1261">
      <c r="A1261" s="34"/>
      <c r="B1261" s="37"/>
      <c r="C1261" s="37"/>
      <c r="D1261" s="34"/>
      <c r="E1261" s="34"/>
      <c r="F1261" s="35"/>
    </row>
    <row r="1262">
      <c r="A1262" s="34"/>
      <c r="B1262" s="37"/>
      <c r="C1262" s="37"/>
      <c r="D1262" s="34"/>
      <c r="E1262" s="34"/>
      <c r="F1262" s="35"/>
    </row>
    <row r="1263">
      <c r="A1263" s="34"/>
      <c r="B1263" s="37"/>
      <c r="C1263" s="37"/>
      <c r="D1263" s="34"/>
      <c r="E1263" s="34"/>
      <c r="F1263" s="35"/>
    </row>
    <row r="1264">
      <c r="A1264" s="34"/>
      <c r="B1264" s="37"/>
      <c r="C1264" s="37"/>
      <c r="D1264" s="34"/>
      <c r="E1264" s="34"/>
      <c r="F1264" s="35"/>
    </row>
    <row r="1265">
      <c r="A1265" s="34"/>
      <c r="B1265" s="37"/>
      <c r="C1265" s="37"/>
      <c r="D1265" s="34"/>
      <c r="E1265" s="34"/>
      <c r="F1265" s="35"/>
    </row>
    <row r="1266">
      <c r="A1266" s="34"/>
      <c r="B1266" s="37"/>
      <c r="C1266" s="37"/>
      <c r="D1266" s="34"/>
      <c r="E1266" s="34"/>
      <c r="F1266" s="35"/>
    </row>
    <row r="1267">
      <c r="A1267" s="34"/>
      <c r="B1267" s="37"/>
      <c r="C1267" s="37"/>
      <c r="D1267" s="34"/>
      <c r="E1267" s="34"/>
      <c r="F1267" s="35"/>
    </row>
    <row r="1268">
      <c r="A1268" s="34"/>
      <c r="B1268" s="37"/>
      <c r="C1268" s="37"/>
      <c r="D1268" s="34"/>
      <c r="E1268" s="34"/>
      <c r="F1268" s="35"/>
    </row>
    <row r="1269">
      <c r="A1269" s="34"/>
      <c r="B1269" s="37"/>
      <c r="C1269" s="37"/>
      <c r="D1269" s="34"/>
      <c r="E1269" s="34"/>
      <c r="F1269" s="35"/>
    </row>
    <row r="1270">
      <c r="A1270" s="34"/>
      <c r="B1270" s="37"/>
      <c r="C1270" s="37"/>
      <c r="D1270" s="34"/>
      <c r="E1270" s="34"/>
      <c r="F1270" s="35"/>
    </row>
    <row r="1271">
      <c r="A1271" s="34"/>
      <c r="B1271" s="37"/>
      <c r="C1271" s="37"/>
      <c r="D1271" s="34"/>
      <c r="E1271" s="34"/>
      <c r="F1271" s="35"/>
    </row>
    <row r="1272">
      <c r="A1272" s="34"/>
      <c r="B1272" s="37"/>
      <c r="C1272" s="37"/>
      <c r="D1272" s="34"/>
      <c r="E1272" s="34"/>
      <c r="F1272" s="35"/>
    </row>
    <row r="1273">
      <c r="A1273" s="34"/>
      <c r="B1273" s="37"/>
      <c r="C1273" s="37"/>
      <c r="D1273" s="34"/>
      <c r="E1273" s="34"/>
      <c r="F1273" s="35"/>
    </row>
    <row r="1274">
      <c r="A1274" s="34"/>
      <c r="B1274" s="37"/>
      <c r="C1274" s="37"/>
      <c r="D1274" s="34"/>
      <c r="E1274" s="34"/>
      <c r="F1274" s="35"/>
    </row>
    <row r="1275">
      <c r="A1275" s="34"/>
      <c r="B1275" s="37"/>
      <c r="C1275" s="37"/>
      <c r="D1275" s="34"/>
      <c r="E1275" s="34"/>
      <c r="F1275" s="35"/>
    </row>
    <row r="1276">
      <c r="A1276" s="34"/>
      <c r="B1276" s="37"/>
      <c r="C1276" s="37"/>
      <c r="D1276" s="34"/>
      <c r="E1276" s="34"/>
      <c r="F1276" s="35"/>
    </row>
    <row r="1277">
      <c r="A1277" s="34"/>
      <c r="B1277" s="37"/>
      <c r="C1277" s="37"/>
      <c r="D1277" s="34"/>
      <c r="E1277" s="34"/>
      <c r="F1277" s="35"/>
    </row>
    <row r="1278">
      <c r="A1278" s="34"/>
      <c r="B1278" s="37"/>
      <c r="C1278" s="37"/>
      <c r="D1278" s="34"/>
      <c r="E1278" s="34"/>
      <c r="F1278" s="35"/>
    </row>
    <row r="1279">
      <c r="A1279" s="34"/>
      <c r="B1279" s="37"/>
      <c r="C1279" s="37"/>
      <c r="D1279" s="34"/>
      <c r="E1279" s="34"/>
      <c r="F1279" s="35"/>
    </row>
    <row r="1280">
      <c r="A1280" s="34"/>
      <c r="B1280" s="37"/>
      <c r="C1280" s="37"/>
      <c r="D1280" s="34"/>
      <c r="E1280" s="34"/>
      <c r="F1280" s="35"/>
    </row>
    <row r="1281">
      <c r="A1281" s="34"/>
      <c r="B1281" s="37"/>
      <c r="C1281" s="37"/>
      <c r="D1281" s="34"/>
      <c r="E1281" s="34"/>
      <c r="F1281" s="35"/>
    </row>
    <row r="1282">
      <c r="A1282" s="34"/>
      <c r="B1282" s="37"/>
      <c r="C1282" s="37"/>
      <c r="D1282" s="34"/>
      <c r="E1282" s="34"/>
      <c r="F1282" s="35"/>
    </row>
    <row r="1283">
      <c r="A1283" s="34"/>
      <c r="B1283" s="37"/>
      <c r="C1283" s="37"/>
      <c r="D1283" s="34"/>
      <c r="E1283" s="34"/>
      <c r="F1283" s="35"/>
    </row>
    <row r="1284">
      <c r="A1284" s="34"/>
      <c r="B1284" s="37"/>
      <c r="C1284" s="37"/>
      <c r="D1284" s="34"/>
      <c r="E1284" s="34"/>
      <c r="F1284" s="35"/>
    </row>
    <row r="1285">
      <c r="A1285" s="34"/>
      <c r="B1285" s="37"/>
      <c r="C1285" s="37"/>
      <c r="D1285" s="34"/>
      <c r="E1285" s="34"/>
      <c r="F1285" s="35"/>
    </row>
    <row r="1286">
      <c r="A1286" s="34"/>
      <c r="B1286" s="37"/>
      <c r="C1286" s="37"/>
      <c r="D1286" s="34"/>
      <c r="E1286" s="34"/>
      <c r="F1286" s="35"/>
    </row>
    <row r="1287">
      <c r="A1287" s="34"/>
      <c r="B1287" s="37"/>
      <c r="C1287" s="37"/>
      <c r="D1287" s="34"/>
      <c r="E1287" s="34"/>
      <c r="F1287" s="35"/>
    </row>
    <row r="1288">
      <c r="A1288" s="34"/>
      <c r="B1288" s="37"/>
      <c r="C1288" s="37"/>
      <c r="D1288" s="34"/>
      <c r="E1288" s="34"/>
      <c r="F1288" s="35"/>
    </row>
    <row r="1289">
      <c r="A1289" s="34"/>
      <c r="B1289" s="37"/>
      <c r="C1289" s="37"/>
      <c r="D1289" s="34"/>
      <c r="E1289" s="34"/>
      <c r="F1289" s="35"/>
    </row>
    <row r="1290">
      <c r="A1290" s="34"/>
      <c r="B1290" s="37"/>
      <c r="C1290" s="37"/>
      <c r="D1290" s="34"/>
      <c r="E1290" s="34"/>
      <c r="F1290" s="35"/>
    </row>
    <row r="1291">
      <c r="A1291" s="34"/>
      <c r="B1291" s="37"/>
      <c r="C1291" s="37"/>
      <c r="D1291" s="34"/>
      <c r="E1291" s="34"/>
      <c r="F1291" s="35"/>
    </row>
    <row r="1292">
      <c r="A1292" s="34"/>
      <c r="B1292" s="37"/>
      <c r="C1292" s="37"/>
      <c r="D1292" s="34"/>
      <c r="E1292" s="34"/>
      <c r="F1292" s="35"/>
    </row>
    <row r="1293">
      <c r="A1293" s="34"/>
      <c r="B1293" s="37"/>
      <c r="C1293" s="37"/>
      <c r="D1293" s="34"/>
      <c r="E1293" s="34"/>
      <c r="F1293" s="35"/>
    </row>
    <row r="1294">
      <c r="A1294" s="34"/>
      <c r="B1294" s="37"/>
      <c r="C1294" s="37"/>
      <c r="D1294" s="34"/>
      <c r="E1294" s="34"/>
      <c r="F1294" s="35"/>
    </row>
    <row r="1295">
      <c r="A1295" s="34"/>
      <c r="B1295" s="37"/>
      <c r="C1295" s="37"/>
      <c r="D1295" s="34"/>
      <c r="E1295" s="34"/>
      <c r="F1295" s="35"/>
    </row>
    <row r="1296">
      <c r="A1296" s="34"/>
      <c r="B1296" s="37"/>
      <c r="C1296" s="37"/>
      <c r="D1296" s="34"/>
      <c r="E1296" s="34"/>
      <c r="F1296" s="35"/>
    </row>
    <row r="1297">
      <c r="A1297" s="34"/>
      <c r="B1297" s="37"/>
      <c r="C1297" s="37"/>
      <c r="D1297" s="34"/>
      <c r="E1297" s="34"/>
      <c r="F1297" s="35"/>
    </row>
    <row r="1298">
      <c r="A1298" s="34"/>
      <c r="B1298" s="37"/>
      <c r="C1298" s="37"/>
      <c r="D1298" s="34"/>
      <c r="E1298" s="34"/>
      <c r="F1298" s="35"/>
    </row>
    <row r="1299">
      <c r="A1299" s="34"/>
      <c r="B1299" s="37"/>
      <c r="C1299" s="37"/>
      <c r="D1299" s="34"/>
      <c r="E1299" s="34"/>
      <c r="F1299" s="35"/>
    </row>
    <row r="1300">
      <c r="A1300" s="34"/>
      <c r="B1300" s="37"/>
      <c r="C1300" s="37"/>
      <c r="D1300" s="34"/>
      <c r="E1300" s="34"/>
      <c r="F1300" s="35"/>
    </row>
    <row r="1301">
      <c r="A1301" s="34"/>
      <c r="B1301" s="37"/>
      <c r="C1301" s="37"/>
      <c r="D1301" s="34"/>
      <c r="E1301" s="34"/>
      <c r="F1301" s="35"/>
    </row>
    <row r="1302">
      <c r="A1302" s="34"/>
      <c r="B1302" s="37"/>
      <c r="C1302" s="37"/>
      <c r="D1302" s="34"/>
      <c r="E1302" s="34"/>
      <c r="F1302" s="35"/>
    </row>
    <row r="1303">
      <c r="A1303" s="34"/>
      <c r="B1303" s="37"/>
      <c r="C1303" s="37"/>
      <c r="D1303" s="34"/>
      <c r="E1303" s="34"/>
      <c r="F1303" s="35"/>
    </row>
    <row r="1304">
      <c r="A1304" s="34"/>
      <c r="B1304" s="37"/>
      <c r="C1304" s="37"/>
      <c r="D1304" s="34"/>
      <c r="E1304" s="34"/>
      <c r="F1304" s="35"/>
    </row>
    <row r="1305">
      <c r="A1305" s="34"/>
      <c r="B1305" s="37"/>
      <c r="C1305" s="37"/>
      <c r="D1305" s="34"/>
      <c r="E1305" s="34"/>
      <c r="F1305" s="35"/>
    </row>
    <row r="1306">
      <c r="A1306" s="34"/>
      <c r="B1306" s="37"/>
      <c r="C1306" s="37"/>
      <c r="D1306" s="34"/>
      <c r="E1306" s="34"/>
      <c r="F1306" s="35"/>
    </row>
    <row r="1307">
      <c r="A1307" s="34"/>
      <c r="B1307" s="37"/>
      <c r="C1307" s="37"/>
      <c r="D1307" s="34"/>
      <c r="E1307" s="34"/>
      <c r="F1307" s="35"/>
    </row>
    <row r="1308">
      <c r="A1308" s="34"/>
      <c r="B1308" s="37"/>
      <c r="C1308" s="37"/>
      <c r="D1308" s="34"/>
      <c r="E1308" s="34"/>
      <c r="F1308" s="35"/>
    </row>
    <row r="1309">
      <c r="A1309" s="34"/>
      <c r="B1309" s="37"/>
      <c r="C1309" s="37"/>
      <c r="D1309" s="34"/>
      <c r="E1309" s="34"/>
      <c r="F1309" s="35"/>
    </row>
    <row r="1310">
      <c r="A1310" s="34"/>
      <c r="B1310" s="37"/>
      <c r="C1310" s="37"/>
      <c r="D1310" s="34"/>
      <c r="E1310" s="34"/>
      <c r="F1310" s="35"/>
    </row>
    <row r="1311">
      <c r="A1311" s="34"/>
      <c r="B1311" s="37"/>
      <c r="C1311" s="37"/>
      <c r="D1311" s="34"/>
      <c r="E1311" s="34"/>
      <c r="F1311" s="35"/>
    </row>
    <row r="1312">
      <c r="A1312" s="34"/>
      <c r="B1312" s="37"/>
      <c r="C1312" s="37"/>
      <c r="D1312" s="34"/>
      <c r="E1312" s="34"/>
      <c r="F1312" s="35"/>
    </row>
    <row r="1313">
      <c r="A1313" s="34"/>
      <c r="B1313" s="37"/>
      <c r="C1313" s="37"/>
      <c r="D1313" s="34"/>
      <c r="E1313" s="34"/>
      <c r="F1313" s="35"/>
    </row>
    <row r="1314">
      <c r="A1314" s="34"/>
      <c r="B1314" s="37"/>
      <c r="C1314" s="37"/>
      <c r="D1314" s="34"/>
      <c r="E1314" s="34"/>
      <c r="F1314" s="35"/>
    </row>
    <row r="1315">
      <c r="A1315" s="34"/>
      <c r="B1315" s="37"/>
      <c r="C1315" s="37"/>
      <c r="D1315" s="34"/>
      <c r="E1315" s="34"/>
      <c r="F1315" s="35"/>
    </row>
    <row r="1316">
      <c r="A1316" s="34"/>
      <c r="B1316" s="37"/>
      <c r="C1316" s="37"/>
      <c r="D1316" s="34"/>
      <c r="E1316" s="34"/>
      <c r="F1316" s="35"/>
    </row>
    <row r="1317">
      <c r="A1317" s="34"/>
      <c r="B1317" s="37"/>
      <c r="C1317" s="37"/>
      <c r="D1317" s="34"/>
      <c r="E1317" s="34"/>
      <c r="F1317" s="35"/>
    </row>
    <row r="1318">
      <c r="A1318" s="34"/>
      <c r="B1318" s="37"/>
      <c r="C1318" s="37"/>
      <c r="D1318" s="34"/>
      <c r="E1318" s="34"/>
      <c r="F1318" s="35"/>
    </row>
    <row r="1319">
      <c r="A1319" s="34"/>
      <c r="B1319" s="37"/>
      <c r="C1319" s="37"/>
      <c r="D1319" s="34"/>
      <c r="E1319" s="34"/>
      <c r="F1319" s="35"/>
    </row>
    <row r="1320">
      <c r="A1320" s="34"/>
      <c r="B1320" s="37"/>
      <c r="C1320" s="37"/>
      <c r="D1320" s="34"/>
      <c r="E1320" s="34"/>
      <c r="F1320" s="35"/>
    </row>
    <row r="1321">
      <c r="A1321" s="34"/>
      <c r="B1321" s="37"/>
      <c r="C1321" s="37"/>
      <c r="D1321" s="34"/>
      <c r="E1321" s="34"/>
      <c r="F1321" s="35"/>
    </row>
    <row r="1322">
      <c r="A1322" s="34"/>
      <c r="B1322" s="37"/>
      <c r="C1322" s="37"/>
      <c r="D1322" s="34"/>
      <c r="E1322" s="34"/>
      <c r="F1322" s="35"/>
    </row>
    <row r="1323">
      <c r="A1323" s="34"/>
      <c r="B1323" s="37"/>
      <c r="C1323" s="37"/>
      <c r="D1323" s="34"/>
      <c r="E1323" s="34"/>
      <c r="F1323" s="35"/>
    </row>
    <row r="1324">
      <c r="A1324" s="34"/>
      <c r="B1324" s="37"/>
      <c r="C1324" s="37"/>
      <c r="D1324" s="34"/>
      <c r="E1324" s="34"/>
      <c r="F1324" s="35"/>
    </row>
    <row r="1325">
      <c r="A1325" s="34"/>
      <c r="B1325" s="37"/>
      <c r="C1325" s="37"/>
      <c r="D1325" s="34"/>
      <c r="E1325" s="34"/>
      <c r="F1325" s="35"/>
    </row>
    <row r="1326">
      <c r="A1326" s="34"/>
      <c r="B1326" s="37"/>
      <c r="C1326" s="37"/>
      <c r="D1326" s="34"/>
      <c r="E1326" s="34"/>
      <c r="F1326" s="35"/>
    </row>
    <row r="1327">
      <c r="A1327" s="34"/>
      <c r="B1327" s="37"/>
      <c r="C1327" s="37"/>
      <c r="D1327" s="34"/>
      <c r="E1327" s="34"/>
      <c r="F1327" s="35"/>
    </row>
    <row r="1328">
      <c r="A1328" s="34"/>
      <c r="B1328" s="37"/>
      <c r="C1328" s="37"/>
      <c r="D1328" s="34"/>
      <c r="E1328" s="34"/>
      <c r="F1328" s="35"/>
    </row>
    <row r="1329">
      <c r="A1329" s="34"/>
      <c r="B1329" s="37"/>
      <c r="C1329" s="37"/>
      <c r="D1329" s="34"/>
      <c r="E1329" s="34"/>
      <c r="F1329" s="35"/>
    </row>
    <row r="1330">
      <c r="A1330" s="34"/>
      <c r="B1330" s="37"/>
      <c r="C1330" s="37"/>
      <c r="D1330" s="34"/>
      <c r="E1330" s="34"/>
      <c r="F1330" s="35"/>
    </row>
    <row r="1331">
      <c r="A1331" s="34"/>
      <c r="B1331" s="37"/>
      <c r="C1331" s="37"/>
      <c r="D1331" s="34"/>
      <c r="E1331" s="34"/>
      <c r="F1331" s="35"/>
    </row>
    <row r="1332">
      <c r="A1332" s="34"/>
      <c r="B1332" s="37"/>
      <c r="C1332" s="37"/>
      <c r="D1332" s="34"/>
      <c r="E1332" s="34"/>
      <c r="F1332" s="35"/>
    </row>
    <row r="1333">
      <c r="A1333" s="34"/>
      <c r="B1333" s="37"/>
      <c r="C1333" s="37"/>
      <c r="D1333" s="34"/>
      <c r="E1333" s="34"/>
      <c r="F1333" s="35"/>
    </row>
    <row r="1334">
      <c r="A1334" s="34"/>
      <c r="B1334" s="37"/>
      <c r="C1334" s="37"/>
      <c r="D1334" s="34"/>
      <c r="E1334" s="34"/>
      <c r="F1334" s="35"/>
    </row>
    <row r="1335">
      <c r="A1335" s="34"/>
      <c r="B1335" s="37"/>
      <c r="C1335" s="37"/>
      <c r="D1335" s="34"/>
      <c r="E1335" s="34"/>
      <c r="F1335" s="35"/>
    </row>
    <row r="1336">
      <c r="A1336" s="34"/>
      <c r="B1336" s="37"/>
      <c r="C1336" s="37"/>
      <c r="D1336" s="34"/>
      <c r="E1336" s="34"/>
      <c r="F1336" s="35"/>
    </row>
    <row r="1337">
      <c r="A1337" s="34"/>
      <c r="B1337" s="37"/>
      <c r="C1337" s="37"/>
      <c r="D1337" s="34"/>
      <c r="E1337" s="34"/>
      <c r="F1337" s="35"/>
    </row>
    <row r="1338">
      <c r="A1338" s="34"/>
      <c r="B1338" s="37"/>
      <c r="C1338" s="37"/>
      <c r="D1338" s="34"/>
      <c r="E1338" s="34"/>
      <c r="F1338" s="35"/>
    </row>
    <row r="1339">
      <c r="A1339" s="34"/>
      <c r="B1339" s="37"/>
      <c r="C1339" s="37"/>
      <c r="D1339" s="34"/>
      <c r="E1339" s="34"/>
      <c r="F1339" s="35"/>
    </row>
    <row r="1340">
      <c r="A1340" s="34"/>
      <c r="B1340" s="37"/>
      <c r="C1340" s="37"/>
      <c r="D1340" s="34"/>
      <c r="E1340" s="34"/>
      <c r="F1340" s="35"/>
    </row>
    <row r="1341">
      <c r="A1341" s="34"/>
      <c r="B1341" s="37"/>
      <c r="C1341" s="37"/>
      <c r="D1341" s="34"/>
      <c r="E1341" s="34"/>
      <c r="F1341" s="35"/>
    </row>
    <row r="1342">
      <c r="A1342" s="34"/>
      <c r="B1342" s="37"/>
      <c r="C1342" s="37"/>
      <c r="D1342" s="34"/>
      <c r="E1342" s="34"/>
      <c r="F1342" s="35"/>
    </row>
    <row r="1343">
      <c r="A1343" s="34"/>
      <c r="B1343" s="37"/>
      <c r="C1343" s="37"/>
      <c r="D1343" s="34"/>
      <c r="E1343" s="34"/>
      <c r="F1343" s="35"/>
    </row>
    <row r="1344">
      <c r="A1344" s="34"/>
      <c r="B1344" s="37"/>
      <c r="C1344" s="37"/>
      <c r="D1344" s="34"/>
      <c r="E1344" s="34"/>
      <c r="F1344" s="35"/>
    </row>
    <row r="1345">
      <c r="A1345" s="34"/>
      <c r="B1345" s="37"/>
      <c r="C1345" s="37"/>
      <c r="D1345" s="34"/>
      <c r="E1345" s="34"/>
      <c r="F1345" s="35"/>
    </row>
    <row r="1346">
      <c r="A1346" s="34"/>
      <c r="B1346" s="37"/>
      <c r="C1346" s="37"/>
      <c r="D1346" s="34"/>
      <c r="E1346" s="34"/>
      <c r="F1346" s="35"/>
    </row>
    <row r="1347">
      <c r="A1347" s="34"/>
      <c r="B1347" s="37"/>
      <c r="C1347" s="37"/>
      <c r="D1347" s="34"/>
      <c r="E1347" s="34"/>
      <c r="F1347" s="35"/>
    </row>
    <row r="1348">
      <c r="A1348" s="34"/>
      <c r="B1348" s="37"/>
      <c r="C1348" s="37"/>
      <c r="D1348" s="34"/>
      <c r="E1348" s="34"/>
      <c r="F1348" s="35"/>
    </row>
    <row r="1349">
      <c r="A1349" s="34"/>
      <c r="B1349" s="37"/>
      <c r="C1349" s="37"/>
      <c r="D1349" s="34"/>
      <c r="E1349" s="34"/>
      <c r="F1349" s="35"/>
    </row>
    <row r="1350">
      <c r="A1350" s="34"/>
      <c r="B1350" s="37"/>
      <c r="C1350" s="37"/>
      <c r="D1350" s="34"/>
      <c r="E1350" s="34"/>
      <c r="F1350" s="35"/>
    </row>
    <row r="1351">
      <c r="A1351" s="34"/>
      <c r="B1351" s="37"/>
      <c r="C1351" s="37"/>
      <c r="D1351" s="34"/>
      <c r="E1351" s="34"/>
      <c r="F1351" s="35"/>
    </row>
    <row r="1352">
      <c r="A1352" s="34"/>
      <c r="B1352" s="37"/>
      <c r="C1352" s="37"/>
      <c r="D1352" s="34"/>
      <c r="E1352" s="34"/>
      <c r="F1352" s="35"/>
    </row>
    <row r="1353">
      <c r="A1353" s="34"/>
      <c r="B1353" s="37"/>
      <c r="C1353" s="37"/>
      <c r="D1353" s="34"/>
      <c r="E1353" s="34"/>
      <c r="F1353" s="35"/>
    </row>
    <row r="1354">
      <c r="A1354" s="34"/>
      <c r="B1354" s="37"/>
      <c r="C1354" s="37"/>
      <c r="D1354" s="34"/>
      <c r="E1354" s="34"/>
      <c r="F1354" s="35"/>
    </row>
    <row r="1355">
      <c r="A1355" s="34"/>
      <c r="B1355" s="37"/>
      <c r="C1355" s="37"/>
      <c r="D1355" s="34"/>
      <c r="E1355" s="34"/>
      <c r="F1355" s="35"/>
    </row>
    <row r="1356">
      <c r="A1356" s="34"/>
      <c r="B1356" s="37"/>
      <c r="C1356" s="37"/>
      <c r="D1356" s="34"/>
      <c r="E1356" s="34"/>
      <c r="F1356" s="35"/>
    </row>
    <row r="1357">
      <c r="A1357" s="34"/>
      <c r="B1357" s="37"/>
      <c r="C1357" s="37"/>
      <c r="D1357" s="34"/>
      <c r="E1357" s="34"/>
      <c r="F1357" s="35"/>
    </row>
    <row r="1358">
      <c r="A1358" s="34"/>
      <c r="B1358" s="37"/>
      <c r="C1358" s="37"/>
      <c r="D1358" s="34"/>
      <c r="E1358" s="34"/>
      <c r="F1358" s="35"/>
    </row>
    <row r="1359">
      <c r="A1359" s="34"/>
      <c r="B1359" s="37"/>
      <c r="C1359" s="37"/>
      <c r="D1359" s="34"/>
      <c r="E1359" s="34"/>
      <c r="F1359" s="35"/>
    </row>
    <row r="1360">
      <c r="A1360" s="34"/>
      <c r="B1360" s="37"/>
      <c r="C1360" s="37"/>
      <c r="D1360" s="34"/>
      <c r="E1360" s="34"/>
      <c r="F1360" s="35"/>
    </row>
    <row r="1361">
      <c r="A1361" s="34"/>
      <c r="B1361" s="37"/>
      <c r="C1361" s="37"/>
      <c r="D1361" s="34"/>
      <c r="E1361" s="34"/>
      <c r="F1361" s="35"/>
    </row>
    <row r="1362">
      <c r="A1362" s="34"/>
      <c r="B1362" s="37"/>
      <c r="C1362" s="37"/>
      <c r="D1362" s="34"/>
      <c r="E1362" s="34"/>
      <c r="F1362" s="35"/>
    </row>
    <row r="1363">
      <c r="A1363" s="34"/>
      <c r="B1363" s="37"/>
      <c r="C1363" s="37"/>
      <c r="D1363" s="34"/>
      <c r="E1363" s="34"/>
      <c r="F1363" s="35"/>
    </row>
    <row r="1364">
      <c r="A1364" s="34"/>
      <c r="B1364" s="37"/>
      <c r="C1364" s="37"/>
      <c r="D1364" s="34"/>
      <c r="E1364" s="34"/>
      <c r="F1364" s="35"/>
    </row>
    <row r="1365">
      <c r="A1365" s="34"/>
      <c r="B1365" s="37"/>
      <c r="C1365" s="37"/>
      <c r="D1365" s="34"/>
      <c r="E1365" s="34"/>
      <c r="F1365" s="35"/>
    </row>
    <row r="1366">
      <c r="A1366" s="34"/>
      <c r="B1366" s="37"/>
      <c r="C1366" s="37"/>
      <c r="D1366" s="34"/>
      <c r="E1366" s="34"/>
      <c r="F1366" s="35"/>
    </row>
    <row r="1367">
      <c r="A1367" s="34"/>
      <c r="B1367" s="37"/>
      <c r="C1367" s="37"/>
      <c r="D1367" s="34"/>
      <c r="E1367" s="34"/>
      <c r="F1367" s="35"/>
    </row>
    <row r="1368">
      <c r="A1368" s="34"/>
      <c r="B1368" s="37"/>
      <c r="C1368" s="37"/>
      <c r="D1368" s="34"/>
      <c r="E1368" s="34"/>
      <c r="F1368" s="35"/>
    </row>
    <row r="1369">
      <c r="A1369" s="34"/>
      <c r="B1369" s="37"/>
      <c r="C1369" s="37"/>
      <c r="D1369" s="34"/>
      <c r="E1369" s="34"/>
      <c r="F1369" s="35"/>
    </row>
    <row r="1370">
      <c r="A1370" s="34"/>
      <c r="B1370" s="37"/>
      <c r="C1370" s="37"/>
      <c r="D1370" s="34"/>
      <c r="E1370" s="34"/>
      <c r="F1370" s="35"/>
    </row>
    <row r="1371">
      <c r="A1371" s="34"/>
      <c r="B1371" s="37"/>
      <c r="C1371" s="37"/>
      <c r="D1371" s="34"/>
      <c r="E1371" s="34"/>
      <c r="F1371" s="35"/>
    </row>
    <row r="1372">
      <c r="A1372" s="34"/>
      <c r="B1372" s="37"/>
      <c r="C1372" s="37"/>
      <c r="D1372" s="34"/>
      <c r="E1372" s="34"/>
      <c r="F1372" s="35"/>
    </row>
    <row r="1373">
      <c r="A1373" s="34"/>
      <c r="B1373" s="37"/>
      <c r="C1373" s="37"/>
      <c r="D1373" s="34"/>
      <c r="E1373" s="34"/>
      <c r="F1373" s="35"/>
    </row>
    <row r="1374">
      <c r="A1374" s="34"/>
      <c r="B1374" s="37"/>
      <c r="C1374" s="37"/>
      <c r="D1374" s="34"/>
      <c r="E1374" s="34"/>
      <c r="F1374" s="35"/>
    </row>
    <row r="1375">
      <c r="A1375" s="34"/>
      <c r="B1375" s="37"/>
      <c r="C1375" s="37"/>
      <c r="D1375" s="34"/>
      <c r="E1375" s="34"/>
      <c r="F1375" s="35"/>
    </row>
    <row r="1376">
      <c r="A1376" s="34"/>
      <c r="B1376" s="37"/>
      <c r="C1376" s="37"/>
      <c r="D1376" s="34"/>
      <c r="E1376" s="34"/>
      <c r="F1376" s="35"/>
    </row>
    <row r="1377">
      <c r="A1377" s="34"/>
      <c r="B1377" s="37"/>
      <c r="C1377" s="37"/>
      <c r="D1377" s="34"/>
      <c r="E1377" s="34"/>
      <c r="F1377" s="35"/>
    </row>
    <row r="1378">
      <c r="A1378" s="34"/>
      <c r="B1378" s="37"/>
      <c r="C1378" s="37"/>
      <c r="D1378" s="34"/>
      <c r="E1378" s="34"/>
      <c r="F1378" s="35"/>
    </row>
    <row r="1379">
      <c r="A1379" s="34"/>
      <c r="B1379" s="37"/>
      <c r="C1379" s="37"/>
      <c r="D1379" s="34"/>
      <c r="E1379" s="34"/>
      <c r="F1379" s="35"/>
    </row>
    <row r="1380">
      <c r="A1380" s="34"/>
      <c r="B1380" s="37"/>
      <c r="C1380" s="37"/>
      <c r="D1380" s="34"/>
      <c r="E1380" s="34"/>
      <c r="F1380" s="35"/>
    </row>
    <row r="1381">
      <c r="A1381" s="34"/>
      <c r="B1381" s="37"/>
      <c r="C1381" s="37"/>
      <c r="D1381" s="34"/>
      <c r="E1381" s="34"/>
      <c r="F1381" s="35"/>
    </row>
    <row r="1382">
      <c r="A1382" s="34"/>
      <c r="B1382" s="37"/>
      <c r="C1382" s="37"/>
      <c r="D1382" s="34"/>
      <c r="E1382" s="34"/>
      <c r="F1382" s="35"/>
    </row>
    <row r="1383">
      <c r="A1383" s="34"/>
      <c r="B1383" s="37"/>
      <c r="C1383" s="37"/>
      <c r="D1383" s="34"/>
      <c r="E1383" s="34"/>
      <c r="F1383" s="35"/>
    </row>
    <row r="1384">
      <c r="A1384" s="34"/>
      <c r="B1384" s="37"/>
      <c r="C1384" s="37"/>
      <c r="D1384" s="34"/>
      <c r="E1384" s="34"/>
      <c r="F1384" s="35"/>
    </row>
    <row r="1385">
      <c r="A1385" s="34"/>
      <c r="B1385" s="37"/>
      <c r="C1385" s="37"/>
      <c r="D1385" s="34"/>
      <c r="E1385" s="34"/>
      <c r="F1385" s="35"/>
    </row>
    <row r="1386">
      <c r="A1386" s="34"/>
      <c r="B1386" s="37"/>
      <c r="C1386" s="37"/>
      <c r="D1386" s="34"/>
      <c r="E1386" s="34"/>
      <c r="F1386" s="35"/>
    </row>
    <row r="1387">
      <c r="A1387" s="34"/>
      <c r="B1387" s="37"/>
      <c r="C1387" s="37"/>
      <c r="D1387" s="34"/>
      <c r="E1387" s="34"/>
      <c r="F1387" s="35"/>
    </row>
    <row r="1388">
      <c r="A1388" s="34"/>
      <c r="B1388" s="37"/>
      <c r="C1388" s="37"/>
      <c r="D1388" s="34"/>
      <c r="E1388" s="34"/>
      <c r="F1388" s="35"/>
    </row>
    <row r="1389">
      <c r="A1389" s="34"/>
      <c r="B1389" s="37"/>
      <c r="C1389" s="37"/>
      <c r="D1389" s="34"/>
      <c r="E1389" s="34"/>
      <c r="F1389" s="35"/>
    </row>
    <row r="1390">
      <c r="A1390" s="34"/>
      <c r="B1390" s="37"/>
      <c r="C1390" s="37"/>
      <c r="D1390" s="34"/>
      <c r="E1390" s="34"/>
      <c r="F1390" s="35"/>
    </row>
    <row r="1391">
      <c r="A1391" s="34"/>
      <c r="B1391" s="37"/>
      <c r="C1391" s="37"/>
      <c r="D1391" s="34"/>
      <c r="E1391" s="34"/>
      <c r="F1391" s="35"/>
    </row>
    <row r="1392">
      <c r="A1392" s="34"/>
      <c r="B1392" s="37"/>
      <c r="C1392" s="37"/>
      <c r="D1392" s="34"/>
      <c r="E1392" s="34"/>
      <c r="F1392" s="35"/>
    </row>
    <row r="1393">
      <c r="A1393" s="34"/>
      <c r="B1393" s="37"/>
      <c r="C1393" s="37"/>
      <c r="D1393" s="34"/>
      <c r="E1393" s="34"/>
      <c r="F1393" s="35"/>
    </row>
    <row r="1394">
      <c r="A1394" s="34"/>
      <c r="B1394" s="37"/>
      <c r="C1394" s="37"/>
      <c r="D1394" s="34"/>
      <c r="E1394" s="34"/>
      <c r="F1394" s="35"/>
    </row>
    <row r="1395">
      <c r="A1395" s="34"/>
      <c r="B1395" s="37"/>
      <c r="C1395" s="37"/>
      <c r="D1395" s="34"/>
      <c r="E1395" s="34"/>
      <c r="F1395" s="35"/>
    </row>
    <row r="1396">
      <c r="A1396" s="34"/>
      <c r="B1396" s="37"/>
      <c r="C1396" s="37"/>
      <c r="D1396" s="34"/>
      <c r="E1396" s="34"/>
      <c r="F1396" s="35"/>
    </row>
    <row r="1397">
      <c r="A1397" s="34"/>
      <c r="B1397" s="37"/>
      <c r="C1397" s="37"/>
      <c r="D1397" s="34"/>
      <c r="E1397" s="34"/>
      <c r="F1397" s="35"/>
    </row>
    <row r="1398">
      <c r="A1398" s="34"/>
      <c r="B1398" s="37"/>
      <c r="C1398" s="37"/>
      <c r="D1398" s="34"/>
      <c r="E1398" s="34"/>
      <c r="F1398" s="35"/>
    </row>
    <row r="1399">
      <c r="A1399" s="34"/>
      <c r="B1399" s="37"/>
      <c r="C1399" s="37"/>
      <c r="D1399" s="34"/>
      <c r="E1399" s="34"/>
      <c r="F1399" s="35"/>
    </row>
    <row r="1400">
      <c r="A1400" s="34"/>
      <c r="B1400" s="37"/>
      <c r="C1400" s="37"/>
      <c r="D1400" s="34"/>
      <c r="E1400" s="34"/>
      <c r="F1400" s="35"/>
    </row>
    <row r="1401">
      <c r="A1401" s="34"/>
      <c r="B1401" s="37"/>
      <c r="C1401" s="37"/>
      <c r="D1401" s="34"/>
      <c r="E1401" s="34"/>
      <c r="F1401" s="35"/>
    </row>
    <row r="1402">
      <c r="A1402" s="34"/>
      <c r="B1402" s="37"/>
      <c r="C1402" s="37"/>
      <c r="D1402" s="34"/>
      <c r="E1402" s="34"/>
      <c r="F1402" s="35"/>
    </row>
    <row r="1403">
      <c r="A1403" s="34"/>
      <c r="B1403" s="37"/>
      <c r="C1403" s="37"/>
      <c r="D1403" s="34"/>
      <c r="E1403" s="34"/>
      <c r="F1403" s="35"/>
    </row>
    <row r="1404">
      <c r="A1404" s="34"/>
      <c r="B1404" s="37"/>
      <c r="C1404" s="37"/>
      <c r="D1404" s="34"/>
      <c r="E1404" s="34"/>
      <c r="F1404" s="35"/>
    </row>
    <row r="1405">
      <c r="A1405" s="34"/>
      <c r="B1405" s="37"/>
      <c r="C1405" s="37"/>
      <c r="D1405" s="34"/>
      <c r="E1405" s="34"/>
      <c r="F1405" s="35"/>
    </row>
    <row r="1406">
      <c r="A1406" s="34"/>
      <c r="B1406" s="37"/>
      <c r="C1406" s="37"/>
      <c r="D1406" s="34"/>
      <c r="E1406" s="34"/>
      <c r="F1406" s="35"/>
    </row>
    <row r="1407">
      <c r="A1407" s="34"/>
      <c r="B1407" s="37"/>
      <c r="C1407" s="37"/>
      <c r="D1407" s="34"/>
      <c r="E1407" s="34"/>
      <c r="F1407" s="35"/>
    </row>
    <row r="1408">
      <c r="A1408" s="34"/>
      <c r="B1408" s="37"/>
      <c r="C1408" s="37"/>
      <c r="D1408" s="34"/>
      <c r="E1408" s="34"/>
      <c r="F1408" s="35"/>
    </row>
    <row r="1409">
      <c r="A1409" s="34"/>
      <c r="B1409" s="37"/>
      <c r="C1409" s="37"/>
      <c r="D1409" s="34"/>
      <c r="E1409" s="34"/>
      <c r="F1409" s="35"/>
    </row>
    <row r="1410">
      <c r="A1410" s="34"/>
      <c r="B1410" s="37"/>
      <c r="C1410" s="37"/>
      <c r="D1410" s="34"/>
      <c r="E1410" s="34"/>
      <c r="F1410" s="35"/>
    </row>
    <row r="1411">
      <c r="A1411" s="34"/>
      <c r="B1411" s="37"/>
      <c r="C1411" s="37"/>
      <c r="D1411" s="34"/>
      <c r="E1411" s="34"/>
      <c r="F1411" s="35"/>
    </row>
    <row r="1412">
      <c r="A1412" s="34"/>
      <c r="B1412" s="37"/>
      <c r="C1412" s="37"/>
      <c r="D1412" s="34"/>
      <c r="E1412" s="34"/>
      <c r="F1412" s="35"/>
    </row>
    <row r="1413">
      <c r="A1413" s="34"/>
      <c r="B1413" s="37"/>
      <c r="C1413" s="37"/>
      <c r="D1413" s="34"/>
      <c r="E1413" s="34"/>
      <c r="F1413" s="35"/>
    </row>
    <row r="1414">
      <c r="A1414" s="34"/>
      <c r="B1414" s="37"/>
      <c r="C1414" s="37"/>
      <c r="D1414" s="34"/>
      <c r="E1414" s="34"/>
      <c r="F1414" s="35"/>
    </row>
    <row r="1415">
      <c r="A1415" s="34"/>
      <c r="B1415" s="37"/>
      <c r="C1415" s="37"/>
      <c r="D1415" s="34"/>
      <c r="E1415" s="34"/>
      <c r="F1415" s="35"/>
    </row>
    <row r="1416">
      <c r="A1416" s="34"/>
      <c r="B1416" s="37"/>
      <c r="C1416" s="37"/>
      <c r="D1416" s="34"/>
      <c r="E1416" s="34"/>
      <c r="F1416" s="35"/>
    </row>
    <row r="1417">
      <c r="A1417" s="34"/>
      <c r="B1417" s="37"/>
      <c r="C1417" s="37"/>
      <c r="D1417" s="34"/>
      <c r="E1417" s="34"/>
      <c r="F1417" s="35"/>
    </row>
    <row r="1418">
      <c r="A1418" s="34"/>
      <c r="B1418" s="37"/>
      <c r="C1418" s="37"/>
      <c r="D1418" s="34"/>
      <c r="E1418" s="34"/>
      <c r="F1418" s="35"/>
    </row>
    <row r="1419">
      <c r="A1419" s="34"/>
      <c r="B1419" s="37"/>
      <c r="C1419" s="37"/>
      <c r="D1419" s="34"/>
      <c r="E1419" s="34"/>
      <c r="F1419" s="35"/>
    </row>
    <row r="1420">
      <c r="A1420" s="34"/>
      <c r="B1420" s="37"/>
      <c r="C1420" s="37"/>
      <c r="D1420" s="34"/>
      <c r="E1420" s="34"/>
      <c r="F1420" s="35"/>
    </row>
    <row r="1421">
      <c r="A1421" s="34"/>
      <c r="B1421" s="37"/>
      <c r="C1421" s="37"/>
      <c r="D1421" s="34"/>
      <c r="E1421" s="34"/>
      <c r="F1421" s="35"/>
    </row>
    <row r="1422">
      <c r="A1422" s="34"/>
      <c r="B1422" s="37"/>
      <c r="C1422" s="37"/>
      <c r="D1422" s="34"/>
      <c r="E1422" s="34"/>
      <c r="F1422" s="35"/>
    </row>
    <row r="1423">
      <c r="A1423" s="34"/>
      <c r="B1423" s="37"/>
      <c r="C1423" s="37"/>
      <c r="D1423" s="34"/>
      <c r="E1423" s="34"/>
      <c r="F1423" s="35"/>
    </row>
    <row r="1424">
      <c r="A1424" s="34"/>
      <c r="B1424" s="37"/>
      <c r="C1424" s="37"/>
      <c r="D1424" s="34"/>
      <c r="E1424" s="34"/>
      <c r="F1424" s="35"/>
    </row>
    <row r="1425">
      <c r="A1425" s="34"/>
      <c r="B1425" s="37"/>
      <c r="C1425" s="37"/>
      <c r="D1425" s="34"/>
      <c r="E1425" s="34"/>
      <c r="F1425" s="35"/>
    </row>
    <row r="1426">
      <c r="A1426" s="34"/>
      <c r="B1426" s="37"/>
      <c r="C1426" s="37"/>
      <c r="D1426" s="34"/>
      <c r="E1426" s="34"/>
      <c r="F1426" s="35"/>
    </row>
    <row r="1427">
      <c r="A1427" s="34"/>
      <c r="B1427" s="37"/>
      <c r="C1427" s="37"/>
      <c r="D1427" s="34"/>
      <c r="E1427" s="34"/>
      <c r="F1427" s="35"/>
    </row>
    <row r="1428">
      <c r="A1428" s="34"/>
      <c r="B1428" s="37"/>
      <c r="C1428" s="37"/>
      <c r="D1428" s="34"/>
      <c r="E1428" s="34"/>
      <c r="F1428" s="35"/>
    </row>
    <row r="1429">
      <c r="A1429" s="34"/>
      <c r="B1429" s="37"/>
      <c r="C1429" s="37"/>
      <c r="D1429" s="34"/>
      <c r="E1429" s="34"/>
      <c r="F1429" s="35"/>
    </row>
    <row r="1430">
      <c r="A1430" s="34"/>
      <c r="B1430" s="37"/>
      <c r="C1430" s="37"/>
      <c r="D1430" s="34"/>
      <c r="E1430" s="34"/>
      <c r="F1430" s="35"/>
    </row>
    <row r="1431">
      <c r="A1431" s="34"/>
      <c r="B1431" s="37"/>
      <c r="C1431" s="37"/>
      <c r="D1431" s="34"/>
      <c r="E1431" s="34"/>
      <c r="F1431" s="35"/>
    </row>
    <row r="1432">
      <c r="A1432" s="34"/>
      <c r="B1432" s="37"/>
      <c r="C1432" s="37"/>
      <c r="D1432" s="34"/>
      <c r="E1432" s="34"/>
      <c r="F1432" s="35"/>
    </row>
    <row r="1433">
      <c r="A1433" s="34"/>
      <c r="B1433" s="37"/>
      <c r="C1433" s="37"/>
      <c r="D1433" s="34"/>
      <c r="E1433" s="34"/>
      <c r="F1433" s="35"/>
    </row>
    <row r="1434">
      <c r="A1434" s="34"/>
      <c r="B1434" s="37"/>
      <c r="C1434" s="37"/>
      <c r="D1434" s="34"/>
      <c r="E1434" s="34"/>
      <c r="F1434" s="35"/>
    </row>
    <row r="1435">
      <c r="A1435" s="34"/>
      <c r="B1435" s="37"/>
      <c r="C1435" s="37"/>
      <c r="D1435" s="34"/>
      <c r="E1435" s="34"/>
      <c r="F1435" s="35"/>
    </row>
    <row r="1436">
      <c r="A1436" s="34"/>
      <c r="B1436" s="37"/>
      <c r="C1436" s="37"/>
      <c r="D1436" s="34"/>
      <c r="E1436" s="34"/>
      <c r="F1436" s="35"/>
    </row>
    <row r="1437">
      <c r="A1437" s="34"/>
      <c r="B1437" s="37"/>
      <c r="C1437" s="37"/>
      <c r="D1437" s="34"/>
      <c r="E1437" s="34"/>
      <c r="F1437" s="35"/>
    </row>
    <row r="1438">
      <c r="A1438" s="34"/>
      <c r="B1438" s="37"/>
      <c r="C1438" s="37"/>
      <c r="D1438" s="34"/>
      <c r="E1438" s="34"/>
      <c r="F1438" s="35"/>
    </row>
    <row r="1439">
      <c r="A1439" s="34"/>
      <c r="B1439" s="37"/>
      <c r="C1439" s="37"/>
      <c r="D1439" s="34"/>
      <c r="E1439" s="34"/>
      <c r="F1439" s="35"/>
    </row>
    <row r="1440">
      <c r="A1440" s="34"/>
      <c r="B1440" s="37"/>
      <c r="C1440" s="37"/>
      <c r="D1440" s="34"/>
      <c r="E1440" s="34"/>
      <c r="F1440" s="35"/>
    </row>
    <row r="1441">
      <c r="A1441" s="34"/>
      <c r="B1441" s="37"/>
      <c r="C1441" s="37"/>
      <c r="D1441" s="34"/>
      <c r="E1441" s="34"/>
      <c r="F1441" s="35"/>
    </row>
    <row r="1442">
      <c r="A1442" s="34"/>
      <c r="B1442" s="37"/>
      <c r="C1442" s="37"/>
      <c r="D1442" s="34"/>
      <c r="E1442" s="34"/>
      <c r="F1442" s="35"/>
    </row>
    <row r="1443">
      <c r="A1443" s="34"/>
      <c r="B1443" s="37"/>
      <c r="C1443" s="37"/>
      <c r="D1443" s="34"/>
      <c r="E1443" s="34"/>
      <c r="F1443" s="35"/>
    </row>
    <row r="1444">
      <c r="A1444" s="34"/>
      <c r="B1444" s="37"/>
      <c r="C1444" s="37"/>
      <c r="D1444" s="34"/>
      <c r="E1444" s="34"/>
      <c r="F1444" s="35"/>
    </row>
    <row r="1445">
      <c r="A1445" s="34"/>
      <c r="B1445" s="37"/>
      <c r="C1445" s="37"/>
      <c r="D1445" s="34"/>
      <c r="E1445" s="34"/>
      <c r="F1445" s="35"/>
    </row>
    <row r="1446">
      <c r="A1446" s="34"/>
      <c r="B1446" s="37"/>
      <c r="C1446" s="37"/>
      <c r="D1446" s="34"/>
      <c r="E1446" s="34"/>
      <c r="F1446" s="35"/>
    </row>
    <row r="1447">
      <c r="A1447" s="34"/>
      <c r="B1447" s="37"/>
      <c r="C1447" s="37"/>
      <c r="D1447" s="34"/>
      <c r="E1447" s="34"/>
      <c r="F1447" s="35"/>
    </row>
    <row r="1448">
      <c r="A1448" s="34"/>
      <c r="B1448" s="37"/>
      <c r="C1448" s="37"/>
      <c r="D1448" s="34"/>
      <c r="E1448" s="34"/>
      <c r="F1448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13"/>
    <col customWidth="1" min="3" max="3" width="10.25"/>
    <col customWidth="1" min="4" max="4" width="12.63"/>
    <col customWidth="1" min="5" max="5" width="12.88"/>
    <col customWidth="1" min="6" max="8" width="19.88"/>
    <col customWidth="1" min="9" max="9" width="17.0"/>
    <col customWidth="1" min="10" max="10" width="12.63"/>
    <col customWidth="1" min="11" max="11" width="17.88"/>
    <col customWidth="1" min="12" max="12" width="11.25"/>
    <col customWidth="1" min="13" max="13" width="15.38"/>
    <col customWidth="1" min="14" max="15" width="15.13"/>
    <col customWidth="1" min="16" max="16" width="36.38"/>
    <col customWidth="1" min="17" max="17" width="37.13"/>
    <col customWidth="1" min="18" max="27" width="8.63"/>
  </cols>
  <sheetData>
    <row r="1">
      <c r="A1" s="2" t="s">
        <v>2</v>
      </c>
      <c r="B1" s="2" t="s">
        <v>6</v>
      </c>
      <c r="C1" s="1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1" t="s">
        <v>208</v>
      </c>
      <c r="P1" s="2" t="s">
        <v>209</v>
      </c>
      <c r="Q1" s="2" t="s">
        <v>210</v>
      </c>
    </row>
    <row r="2">
      <c r="A2" s="3">
        <v>1.0</v>
      </c>
      <c r="B2" s="3" t="s">
        <v>26</v>
      </c>
      <c r="C2" s="10">
        <v>1.0</v>
      </c>
      <c r="E2" s="3">
        <f t="shared" ref="E2:E37" si="1">AVERAGE(G2,H2)</f>
        <v>0.55</v>
      </c>
      <c r="F2" s="3">
        <f>5+2</f>
        <v>7</v>
      </c>
      <c r="G2" s="3">
        <v>0.5</v>
      </c>
      <c r="H2" s="3">
        <v>0.6</v>
      </c>
      <c r="I2" s="3">
        <v>54.0</v>
      </c>
      <c r="J2" s="3">
        <v>0.0</v>
      </c>
      <c r="K2" s="3">
        <f t="shared" ref="K2:K25" si="2">IF(L2="AUS", 1, 0)</f>
        <v>0</v>
      </c>
      <c r="L2" s="3" t="s">
        <v>211</v>
      </c>
      <c r="M2" s="3">
        <v>5.0</v>
      </c>
      <c r="N2" s="3">
        <v>13.0</v>
      </c>
      <c r="O2" s="10">
        <v>25.0</v>
      </c>
      <c r="P2" s="3">
        <v>0.0</v>
      </c>
      <c r="Q2" s="3">
        <v>1.0</v>
      </c>
    </row>
    <row r="3">
      <c r="A3" s="3">
        <v>1.0</v>
      </c>
      <c r="B3" s="3" t="s">
        <v>28</v>
      </c>
      <c r="C3" s="10">
        <v>2.0</v>
      </c>
      <c r="E3" s="3">
        <f t="shared" si="1"/>
        <v>0.25</v>
      </c>
      <c r="F3" s="3">
        <f>2+4</f>
        <v>6</v>
      </c>
      <c r="G3" s="3">
        <v>0.5</v>
      </c>
      <c r="H3" s="3">
        <v>0.0</v>
      </c>
      <c r="I3" s="3">
        <v>46.0</v>
      </c>
      <c r="J3" s="3">
        <v>0.0</v>
      </c>
      <c r="K3" s="3">
        <f t="shared" si="2"/>
        <v>0</v>
      </c>
      <c r="L3" s="3" t="s">
        <v>212</v>
      </c>
      <c r="M3" s="3">
        <v>25.0</v>
      </c>
      <c r="N3" s="3">
        <v>9.0</v>
      </c>
      <c r="O3" s="10">
        <v>25.0</v>
      </c>
      <c r="P3" s="3">
        <v>0.0</v>
      </c>
      <c r="Q3" s="3">
        <v>0.0</v>
      </c>
    </row>
    <row r="4">
      <c r="A4" s="3">
        <v>1.0</v>
      </c>
      <c r="B4" s="3" t="s">
        <v>30</v>
      </c>
      <c r="C4" s="10">
        <v>3.0</v>
      </c>
      <c r="E4" s="3">
        <f t="shared" si="1"/>
        <v>0.5</v>
      </c>
      <c r="F4" s="3">
        <f>2+2</f>
        <v>4</v>
      </c>
      <c r="G4" s="3">
        <v>0.5</v>
      </c>
      <c r="H4" s="3">
        <v>0.5</v>
      </c>
      <c r="I4" s="3">
        <v>45.0</v>
      </c>
      <c r="J4" s="3">
        <v>0.0</v>
      </c>
      <c r="K4" s="3">
        <f t="shared" si="2"/>
        <v>0</v>
      </c>
      <c r="L4" s="3" t="s">
        <v>213</v>
      </c>
      <c r="M4" s="3">
        <v>13.0</v>
      </c>
      <c r="N4" s="3">
        <v>13.0</v>
      </c>
      <c r="O4" s="10">
        <v>1.0</v>
      </c>
      <c r="P4" s="3">
        <v>2.0</v>
      </c>
      <c r="Q4" s="3">
        <v>3.0</v>
      </c>
    </row>
    <row r="5">
      <c r="A5" s="3">
        <v>1.0</v>
      </c>
      <c r="B5" s="3" t="s">
        <v>32</v>
      </c>
      <c r="C5" s="10">
        <v>4.0</v>
      </c>
      <c r="E5" s="3">
        <f t="shared" si="1"/>
        <v>0.52</v>
      </c>
      <c r="F5" s="3">
        <f>7+3</f>
        <v>10</v>
      </c>
      <c r="G5" s="3">
        <v>0.33</v>
      </c>
      <c r="H5" s="3">
        <v>0.71</v>
      </c>
      <c r="I5" s="3">
        <v>45.0</v>
      </c>
      <c r="J5" s="3">
        <v>0.0</v>
      </c>
      <c r="K5" s="3">
        <f t="shared" si="2"/>
        <v>0</v>
      </c>
      <c r="L5" s="3" t="s">
        <v>214</v>
      </c>
      <c r="M5" s="3">
        <v>2.0</v>
      </c>
      <c r="N5" s="3">
        <v>13.0</v>
      </c>
      <c r="O5" s="10">
        <v>13.0</v>
      </c>
      <c r="P5" s="3">
        <v>3.0</v>
      </c>
      <c r="Q5" s="3">
        <v>5.0</v>
      </c>
    </row>
    <row r="6">
      <c r="A6" s="3">
        <v>1.0</v>
      </c>
      <c r="B6" s="3" t="s">
        <v>34</v>
      </c>
      <c r="C6" s="10">
        <v>5.0</v>
      </c>
      <c r="E6" s="3">
        <f t="shared" si="1"/>
        <v>0.75</v>
      </c>
      <c r="F6" s="3">
        <f>6+4</f>
        <v>10</v>
      </c>
      <c r="G6" s="3">
        <v>0.5</v>
      </c>
      <c r="H6" s="3">
        <v>1.0</v>
      </c>
      <c r="I6" s="3">
        <v>41.0</v>
      </c>
      <c r="J6" s="3">
        <v>0.0</v>
      </c>
      <c r="K6" s="3">
        <f t="shared" si="2"/>
        <v>1</v>
      </c>
      <c r="L6" s="3" t="s">
        <v>215</v>
      </c>
      <c r="M6" s="3">
        <v>1.0</v>
      </c>
      <c r="N6" s="3">
        <v>9.0</v>
      </c>
      <c r="O6" s="10">
        <v>25.0</v>
      </c>
      <c r="P6" s="3">
        <v>1.0</v>
      </c>
      <c r="Q6" s="3">
        <v>2.0</v>
      </c>
    </row>
    <row r="7">
      <c r="A7" s="3">
        <v>1.0</v>
      </c>
      <c r="B7" s="3" t="s">
        <v>27</v>
      </c>
      <c r="C7" s="10">
        <v>6.0</v>
      </c>
      <c r="E7" s="3">
        <f t="shared" si="1"/>
        <v>0.25</v>
      </c>
      <c r="F7" s="3">
        <f>2+2</f>
        <v>4</v>
      </c>
      <c r="G7" s="3">
        <v>0.0</v>
      </c>
      <c r="H7" s="3">
        <v>0.5</v>
      </c>
      <c r="I7" s="3">
        <v>44.0</v>
      </c>
      <c r="J7" s="3">
        <v>0.0</v>
      </c>
      <c r="K7" s="3">
        <f t="shared" si="2"/>
        <v>0</v>
      </c>
      <c r="L7" s="3" t="s">
        <v>216</v>
      </c>
      <c r="M7" s="3">
        <v>13.0</v>
      </c>
      <c r="N7" s="3">
        <v>25.0</v>
      </c>
      <c r="O7" s="10">
        <v>13.0</v>
      </c>
      <c r="P7" s="3">
        <v>0.0</v>
      </c>
      <c r="Q7" s="3">
        <v>0.0</v>
      </c>
    </row>
    <row r="8">
      <c r="A8" s="3">
        <v>1.0</v>
      </c>
      <c r="B8" s="3" t="s">
        <v>37</v>
      </c>
      <c r="C8" s="10">
        <v>7.0</v>
      </c>
      <c r="E8" s="3">
        <f t="shared" si="1"/>
        <v>0.165</v>
      </c>
      <c r="F8" s="3">
        <f>2+3</f>
        <v>5</v>
      </c>
      <c r="G8" s="3">
        <v>0.33</v>
      </c>
      <c r="H8" s="3">
        <v>0.0</v>
      </c>
      <c r="I8" s="3">
        <v>38.0</v>
      </c>
      <c r="J8" s="3">
        <v>0.0</v>
      </c>
      <c r="K8" s="3">
        <f t="shared" si="2"/>
        <v>0</v>
      </c>
      <c r="L8" s="3" t="s">
        <v>214</v>
      </c>
      <c r="M8" s="3">
        <v>25.0</v>
      </c>
      <c r="N8" s="3">
        <v>13.0</v>
      </c>
      <c r="O8" s="10">
        <v>5.0</v>
      </c>
      <c r="P8" s="3">
        <v>0.0</v>
      </c>
      <c r="Q8" s="3">
        <v>0.0</v>
      </c>
    </row>
    <row r="9">
      <c r="A9" s="3">
        <v>1.0</v>
      </c>
      <c r="B9" s="3" t="s">
        <v>31</v>
      </c>
      <c r="C9" s="10">
        <v>8.0</v>
      </c>
      <c r="E9" s="3">
        <f t="shared" si="1"/>
        <v>0.415</v>
      </c>
      <c r="F9" s="3">
        <f>2+6</f>
        <v>8</v>
      </c>
      <c r="G9" s="3">
        <v>0.83</v>
      </c>
      <c r="H9" s="3">
        <v>0.0</v>
      </c>
      <c r="I9" s="3">
        <v>43.0</v>
      </c>
      <c r="J9" s="3">
        <v>0.0</v>
      </c>
      <c r="K9" s="3">
        <f t="shared" si="2"/>
        <v>1</v>
      </c>
      <c r="L9" s="3" t="s">
        <v>215</v>
      </c>
      <c r="M9" s="3">
        <v>25.0</v>
      </c>
      <c r="N9" s="3">
        <v>2.0</v>
      </c>
      <c r="O9" s="10">
        <v>13.0</v>
      </c>
      <c r="P9" s="3">
        <v>0.0</v>
      </c>
      <c r="Q9" s="3">
        <v>0.0</v>
      </c>
    </row>
    <row r="10">
      <c r="A10" s="3">
        <v>1.0</v>
      </c>
      <c r="B10" s="3" t="s">
        <v>39</v>
      </c>
      <c r="C10" s="10">
        <v>9.0</v>
      </c>
      <c r="E10" s="3">
        <f t="shared" si="1"/>
        <v>0.55</v>
      </c>
      <c r="F10" s="3">
        <f>5+2</f>
        <v>7</v>
      </c>
      <c r="G10" s="3">
        <v>0.5</v>
      </c>
      <c r="H10" s="3">
        <v>0.6</v>
      </c>
      <c r="I10" s="3">
        <v>38.0</v>
      </c>
      <c r="J10" s="3">
        <v>1.0</v>
      </c>
      <c r="K10" s="3">
        <f t="shared" si="2"/>
        <v>1</v>
      </c>
      <c r="L10" s="3" t="s">
        <v>215</v>
      </c>
      <c r="M10" s="3">
        <v>5.0</v>
      </c>
      <c r="N10" s="3">
        <v>13.0</v>
      </c>
      <c r="O10" s="10">
        <v>2.0</v>
      </c>
      <c r="P10" s="3">
        <v>1.0</v>
      </c>
      <c r="Q10" s="3">
        <v>5.0</v>
      </c>
    </row>
    <row r="11">
      <c r="A11" s="3">
        <v>1.0</v>
      </c>
      <c r="B11" s="3" t="s">
        <v>33</v>
      </c>
      <c r="C11" s="10">
        <v>10.0</v>
      </c>
      <c r="E11" s="3">
        <f t="shared" si="1"/>
        <v>0.83</v>
      </c>
      <c r="F11" s="3">
        <f>5+7</f>
        <v>12</v>
      </c>
      <c r="G11" s="3">
        <v>0.86</v>
      </c>
      <c r="H11" s="3">
        <v>0.8</v>
      </c>
      <c r="I11" s="3">
        <v>36.0</v>
      </c>
      <c r="J11" s="3">
        <v>0.0</v>
      </c>
      <c r="K11" s="3">
        <f t="shared" si="2"/>
        <v>0</v>
      </c>
      <c r="L11" s="3" t="s">
        <v>213</v>
      </c>
      <c r="M11" s="3">
        <v>3.0</v>
      </c>
      <c r="N11" s="3">
        <v>1.0</v>
      </c>
      <c r="O11" s="10">
        <v>25.0</v>
      </c>
      <c r="P11" s="3">
        <v>2.0</v>
      </c>
      <c r="Q11" s="3">
        <v>3.0</v>
      </c>
    </row>
    <row r="12">
      <c r="A12" s="3">
        <v>1.0</v>
      </c>
      <c r="B12" s="3" t="s">
        <v>42</v>
      </c>
      <c r="C12" s="10">
        <v>11.0</v>
      </c>
      <c r="E12" s="3">
        <f t="shared" si="1"/>
        <v>0.535</v>
      </c>
      <c r="F12" s="3">
        <f>6+7</f>
        <v>13</v>
      </c>
      <c r="G12" s="3">
        <v>0.57</v>
      </c>
      <c r="H12" s="3">
        <v>0.5</v>
      </c>
      <c r="I12" s="3">
        <v>41.0</v>
      </c>
      <c r="J12" s="3">
        <v>0.0</v>
      </c>
      <c r="K12" s="3">
        <f t="shared" si="2"/>
        <v>0</v>
      </c>
      <c r="L12" s="3" t="s">
        <v>213</v>
      </c>
      <c r="M12" s="3">
        <v>5.0</v>
      </c>
      <c r="N12" s="3">
        <v>3.0</v>
      </c>
      <c r="O12" s="10">
        <v>3.0</v>
      </c>
      <c r="P12" s="3">
        <v>1.0</v>
      </c>
      <c r="Q12" s="3">
        <v>1.0</v>
      </c>
    </row>
    <row r="13">
      <c r="A13" s="3">
        <v>1.0</v>
      </c>
      <c r="B13" s="3" t="s">
        <v>38</v>
      </c>
      <c r="C13" s="10">
        <v>12.0</v>
      </c>
      <c r="E13" s="3">
        <f t="shared" si="1"/>
        <v>0.45</v>
      </c>
      <c r="F13" s="3">
        <f>5+2</f>
        <v>7</v>
      </c>
      <c r="G13" s="3">
        <v>0.5</v>
      </c>
      <c r="H13" s="3">
        <v>0.4</v>
      </c>
      <c r="I13" s="3">
        <v>40.0</v>
      </c>
      <c r="J13" s="3">
        <v>0.0</v>
      </c>
      <c r="K13" s="3">
        <f t="shared" si="2"/>
        <v>0</v>
      </c>
      <c r="L13" s="3" t="s">
        <v>211</v>
      </c>
      <c r="M13" s="3">
        <v>9.0</v>
      </c>
      <c r="N13" s="3">
        <v>13.0</v>
      </c>
      <c r="O13" s="10">
        <v>25.0</v>
      </c>
      <c r="P13" s="3">
        <v>0.0</v>
      </c>
      <c r="Q13" s="3">
        <v>2.0</v>
      </c>
    </row>
    <row r="14">
      <c r="A14" s="3">
        <v>1.0</v>
      </c>
      <c r="B14" s="3" t="s">
        <v>45</v>
      </c>
      <c r="C14" s="10">
        <v>13.0</v>
      </c>
      <c r="E14" s="3">
        <f t="shared" si="1"/>
        <v>0.33</v>
      </c>
      <c r="F14" s="3">
        <f>3+2</f>
        <v>5</v>
      </c>
      <c r="G14" s="3">
        <v>0.33</v>
      </c>
      <c r="H14" s="3">
        <v>0.33</v>
      </c>
      <c r="I14" s="3">
        <v>40.0</v>
      </c>
      <c r="J14" s="3">
        <v>0.0</v>
      </c>
      <c r="K14" s="3">
        <f t="shared" si="2"/>
        <v>0</v>
      </c>
      <c r="L14" s="3" t="s">
        <v>214</v>
      </c>
      <c r="M14" s="3">
        <v>13.0</v>
      </c>
      <c r="N14" s="3">
        <v>13.0</v>
      </c>
      <c r="O14" s="10">
        <v>9.0</v>
      </c>
      <c r="P14" s="3">
        <v>0.0</v>
      </c>
      <c r="Q14" s="3">
        <v>2.0</v>
      </c>
    </row>
    <row r="15">
      <c r="A15" s="3">
        <v>1.0</v>
      </c>
      <c r="B15" s="3" t="s">
        <v>47</v>
      </c>
      <c r="C15" s="10">
        <v>14.0</v>
      </c>
      <c r="E15" s="3">
        <f t="shared" si="1"/>
        <v>0.25</v>
      </c>
      <c r="F15" s="3">
        <f>6+2</f>
        <v>8</v>
      </c>
      <c r="G15" s="3">
        <v>0.0</v>
      </c>
      <c r="H15" s="3">
        <v>0.5</v>
      </c>
      <c r="I15" s="3">
        <v>40.0</v>
      </c>
      <c r="J15" s="3">
        <v>0.0</v>
      </c>
      <c r="K15" s="3">
        <f t="shared" si="2"/>
        <v>1</v>
      </c>
      <c r="L15" s="3" t="s">
        <v>215</v>
      </c>
      <c r="M15" s="3">
        <v>5.0</v>
      </c>
      <c r="N15" s="3">
        <v>25.0</v>
      </c>
      <c r="O15" s="10">
        <v>13.0</v>
      </c>
      <c r="P15" s="3">
        <v>1.0</v>
      </c>
      <c r="Q15" s="3">
        <v>4.0</v>
      </c>
    </row>
    <row r="16">
      <c r="A16" s="3">
        <v>1.0</v>
      </c>
      <c r="B16" s="3" t="s">
        <v>17</v>
      </c>
      <c r="C16" s="10">
        <v>15.0</v>
      </c>
      <c r="E16" s="3">
        <f t="shared" si="1"/>
        <v>0.45</v>
      </c>
      <c r="F16" s="3">
        <f>2+5</f>
        <v>7</v>
      </c>
      <c r="G16" s="3">
        <v>0.4</v>
      </c>
      <c r="H16" s="3">
        <v>0.5</v>
      </c>
      <c r="I16" s="3">
        <v>34.0</v>
      </c>
      <c r="J16" s="3">
        <v>0.0</v>
      </c>
      <c r="K16" s="3">
        <f t="shared" si="2"/>
        <v>0</v>
      </c>
      <c r="L16" s="3" t="s">
        <v>213</v>
      </c>
      <c r="M16" s="3">
        <v>13.0</v>
      </c>
      <c r="N16" s="3">
        <v>9.0</v>
      </c>
      <c r="O16" s="10">
        <v>99.0</v>
      </c>
      <c r="P16" s="3">
        <v>0.0</v>
      </c>
      <c r="Q16" s="3">
        <v>0.0</v>
      </c>
    </row>
    <row r="17">
      <c r="A17" s="3">
        <v>1.0</v>
      </c>
      <c r="B17" s="3" t="s">
        <v>40</v>
      </c>
      <c r="C17" s="10">
        <v>16.0</v>
      </c>
      <c r="E17" s="3">
        <f t="shared" si="1"/>
        <v>0</v>
      </c>
      <c r="F17" s="3">
        <f>5+0</f>
        <v>5</v>
      </c>
      <c r="G17" s="3">
        <v>0.0</v>
      </c>
      <c r="H17" s="3">
        <v>0.0</v>
      </c>
      <c r="I17" s="3">
        <v>39.0</v>
      </c>
      <c r="J17" s="3">
        <v>0.0</v>
      </c>
      <c r="K17" s="3">
        <f t="shared" si="2"/>
        <v>0</v>
      </c>
      <c r="L17" s="3" t="s">
        <v>213</v>
      </c>
      <c r="M17" s="3">
        <v>9.0</v>
      </c>
      <c r="N17" s="3">
        <v>99.0</v>
      </c>
      <c r="O17" s="10">
        <v>99.0</v>
      </c>
      <c r="P17" s="3">
        <v>0.0</v>
      </c>
      <c r="Q17" s="3">
        <v>0.0</v>
      </c>
    </row>
    <row r="18">
      <c r="A18" s="3">
        <v>1.0</v>
      </c>
      <c r="B18" s="3" t="s">
        <v>41</v>
      </c>
      <c r="C18" s="10">
        <v>17.0</v>
      </c>
      <c r="E18" s="3">
        <f t="shared" si="1"/>
        <v>0.55</v>
      </c>
      <c r="F18" s="3">
        <f>2+5</f>
        <v>7</v>
      </c>
      <c r="G18" s="3">
        <v>0.6</v>
      </c>
      <c r="H18" s="3">
        <v>0.5</v>
      </c>
      <c r="I18" s="3">
        <v>22.0</v>
      </c>
      <c r="J18" s="3">
        <v>1.0</v>
      </c>
      <c r="K18" s="3">
        <f t="shared" si="2"/>
        <v>1</v>
      </c>
      <c r="L18" s="3" t="s">
        <v>215</v>
      </c>
      <c r="M18" s="3">
        <v>13.0</v>
      </c>
      <c r="N18" s="3">
        <v>5.0</v>
      </c>
      <c r="O18" s="10">
        <v>5.0</v>
      </c>
      <c r="P18" s="3">
        <v>1.0</v>
      </c>
      <c r="Q18" s="3">
        <v>2.0</v>
      </c>
    </row>
    <row r="19">
      <c r="A19" s="3">
        <v>1.0</v>
      </c>
      <c r="B19" s="3" t="s">
        <v>52</v>
      </c>
      <c r="C19" s="10">
        <v>17.0</v>
      </c>
      <c r="E19" s="3">
        <f t="shared" si="1"/>
        <v>0</v>
      </c>
      <c r="F19" s="3">
        <f>5+0</f>
        <v>5</v>
      </c>
      <c r="G19" s="3">
        <v>0.0</v>
      </c>
      <c r="H19" s="3">
        <v>0.0</v>
      </c>
      <c r="I19" s="3">
        <v>38.0</v>
      </c>
      <c r="J19" s="3">
        <v>0.0</v>
      </c>
      <c r="K19" s="3">
        <f t="shared" si="2"/>
        <v>0</v>
      </c>
      <c r="L19" s="3" t="s">
        <v>214</v>
      </c>
      <c r="M19" s="3">
        <v>9.0</v>
      </c>
      <c r="N19" s="3">
        <v>99.0</v>
      </c>
      <c r="O19" s="10">
        <v>99.0</v>
      </c>
      <c r="P19" s="3">
        <v>0.0</v>
      </c>
      <c r="Q19" s="3">
        <v>1.0</v>
      </c>
    </row>
    <row r="20">
      <c r="A20" s="3">
        <v>1.0</v>
      </c>
      <c r="B20" s="3" t="s">
        <v>36</v>
      </c>
      <c r="C20" s="10">
        <v>19.0</v>
      </c>
      <c r="E20" s="3">
        <f t="shared" si="1"/>
        <v>0</v>
      </c>
      <c r="F20" s="3">
        <f>7+0</f>
        <v>7</v>
      </c>
      <c r="G20" s="3">
        <v>0.0</v>
      </c>
      <c r="H20" s="3">
        <v>0.0</v>
      </c>
      <c r="I20" s="3">
        <v>38.0</v>
      </c>
      <c r="J20" s="3">
        <v>0.0</v>
      </c>
      <c r="K20" s="3">
        <f t="shared" si="2"/>
        <v>0</v>
      </c>
      <c r="L20" s="3" t="s">
        <v>214</v>
      </c>
      <c r="M20" s="3">
        <v>3.0</v>
      </c>
      <c r="N20" s="3">
        <v>99.0</v>
      </c>
      <c r="O20" s="10">
        <v>99.0</v>
      </c>
      <c r="P20" s="3">
        <v>2.0</v>
      </c>
      <c r="Q20" s="3">
        <v>7.0</v>
      </c>
    </row>
    <row r="21" ht="15.75" customHeight="1">
      <c r="A21" s="3">
        <v>1.0</v>
      </c>
      <c r="B21" s="3" t="s">
        <v>53</v>
      </c>
      <c r="C21" s="10">
        <v>20.0</v>
      </c>
      <c r="E21" s="3">
        <f t="shared" si="1"/>
        <v>0</v>
      </c>
      <c r="F21" s="3">
        <f>5+0</f>
        <v>5</v>
      </c>
      <c r="G21" s="3">
        <v>0.0</v>
      </c>
      <c r="H21" s="3">
        <v>0.0</v>
      </c>
      <c r="I21" s="3">
        <v>36.0</v>
      </c>
      <c r="J21" s="3">
        <v>0.0</v>
      </c>
      <c r="K21" s="3">
        <f t="shared" si="2"/>
        <v>0</v>
      </c>
      <c r="L21" s="3" t="s">
        <v>217</v>
      </c>
      <c r="M21" s="3">
        <v>9.0</v>
      </c>
      <c r="N21" s="3">
        <v>99.0</v>
      </c>
      <c r="O21" s="10">
        <v>99.0</v>
      </c>
      <c r="P21" s="3">
        <v>0.0</v>
      </c>
      <c r="Q21" s="3">
        <v>0.0</v>
      </c>
    </row>
    <row r="22" ht="15.75" customHeight="1">
      <c r="A22" s="3">
        <v>1.0</v>
      </c>
      <c r="B22" s="3" t="s">
        <v>54</v>
      </c>
      <c r="C22" s="10">
        <v>21.0</v>
      </c>
      <c r="E22" s="3">
        <f t="shared" si="1"/>
        <v>0.5</v>
      </c>
      <c r="F22" s="3">
        <f t="shared" ref="F22:F23" si="3">2+6</f>
        <v>8</v>
      </c>
      <c r="G22" s="3">
        <v>0.5</v>
      </c>
      <c r="H22" s="3">
        <v>0.5</v>
      </c>
      <c r="I22" s="3">
        <v>32.0</v>
      </c>
      <c r="J22" s="3">
        <v>0.0</v>
      </c>
      <c r="K22" s="3">
        <f t="shared" si="2"/>
        <v>0</v>
      </c>
      <c r="L22" s="3" t="s">
        <v>213</v>
      </c>
      <c r="M22" s="3">
        <v>13.0</v>
      </c>
      <c r="N22" s="3">
        <v>5.0</v>
      </c>
      <c r="O22" s="10">
        <v>99.0</v>
      </c>
      <c r="P22" s="3">
        <v>1.0</v>
      </c>
      <c r="Q22" s="3">
        <v>2.0</v>
      </c>
    </row>
    <row r="23" ht="15.75" customHeight="1">
      <c r="A23" s="3">
        <v>1.0</v>
      </c>
      <c r="B23" s="3" t="s">
        <v>55</v>
      </c>
      <c r="C23" s="10">
        <v>22.0</v>
      </c>
      <c r="E23" s="3">
        <f t="shared" si="1"/>
        <v>0.335</v>
      </c>
      <c r="F23" s="3">
        <f t="shared" si="3"/>
        <v>8</v>
      </c>
      <c r="G23" s="3">
        <v>0.67</v>
      </c>
      <c r="H23" s="3">
        <v>0.0</v>
      </c>
      <c r="I23" s="3">
        <v>33.0</v>
      </c>
      <c r="J23" s="3">
        <v>0.0</v>
      </c>
      <c r="K23" s="3">
        <f t="shared" si="2"/>
        <v>0</v>
      </c>
      <c r="L23" s="3" t="s">
        <v>213</v>
      </c>
      <c r="M23" s="3">
        <v>25.0</v>
      </c>
      <c r="N23" s="3">
        <v>3.0</v>
      </c>
      <c r="O23" s="10">
        <v>5.0</v>
      </c>
      <c r="P23" s="3">
        <v>0.0</v>
      </c>
      <c r="Q23" s="3">
        <v>0.0</v>
      </c>
    </row>
    <row r="24" ht="15.75" customHeight="1">
      <c r="A24" s="3">
        <v>1.0</v>
      </c>
      <c r="B24" s="3" t="s">
        <v>57</v>
      </c>
      <c r="E24" s="3">
        <f t="shared" si="1"/>
        <v>0.165</v>
      </c>
      <c r="F24" s="3">
        <f>0+3</f>
        <v>3</v>
      </c>
      <c r="G24" s="3">
        <v>0.33</v>
      </c>
      <c r="H24" s="3">
        <v>0.0</v>
      </c>
      <c r="I24" s="3">
        <v>0.0</v>
      </c>
      <c r="J24" s="3">
        <v>0.0</v>
      </c>
      <c r="K24" s="3">
        <f t="shared" si="2"/>
        <v>1</v>
      </c>
      <c r="L24" s="3" t="s">
        <v>215</v>
      </c>
      <c r="M24" s="3">
        <v>99.0</v>
      </c>
      <c r="N24" s="3">
        <v>13.0</v>
      </c>
      <c r="O24" s="10">
        <v>13.0</v>
      </c>
      <c r="P24" s="3">
        <v>0.0</v>
      </c>
      <c r="Q24" s="3">
        <v>0.0</v>
      </c>
    </row>
    <row r="25" ht="15.75" customHeight="1">
      <c r="A25" s="3">
        <v>1.0</v>
      </c>
      <c r="B25" s="3" t="s">
        <v>59</v>
      </c>
      <c r="C25" s="10">
        <v>38.0</v>
      </c>
      <c r="E25" s="3">
        <f t="shared" si="1"/>
        <v>0.3</v>
      </c>
      <c r="F25" s="3">
        <f>0+5</f>
        <v>5</v>
      </c>
      <c r="G25" s="3">
        <v>0.6</v>
      </c>
      <c r="H25" s="3">
        <v>0.0</v>
      </c>
      <c r="I25" s="3">
        <v>3.0</v>
      </c>
      <c r="J25" s="3">
        <v>0.0</v>
      </c>
      <c r="K25" s="3">
        <f t="shared" si="2"/>
        <v>1</v>
      </c>
      <c r="L25" s="3" t="s">
        <v>215</v>
      </c>
      <c r="M25" s="3">
        <v>99.0</v>
      </c>
      <c r="N25" s="3">
        <v>5.0</v>
      </c>
      <c r="O25" s="10">
        <v>25.0</v>
      </c>
      <c r="P25" s="3">
        <v>0.0</v>
      </c>
      <c r="Q25" s="3">
        <v>0.0</v>
      </c>
    </row>
    <row r="26" ht="15.75" customHeight="1">
      <c r="A26" s="3">
        <v>1.0</v>
      </c>
      <c r="B26" s="3" t="s">
        <v>61</v>
      </c>
      <c r="E26" s="3">
        <f t="shared" si="1"/>
        <v>0</v>
      </c>
      <c r="F26" s="3">
        <f t="shared" ref="F26:F30" si="4">0+0</f>
        <v>0</v>
      </c>
      <c r="G26" s="3">
        <v>0.0</v>
      </c>
      <c r="H26" s="3">
        <v>0.0</v>
      </c>
      <c r="I26" s="3">
        <v>0.0</v>
      </c>
      <c r="J26" s="3">
        <v>0.0</v>
      </c>
      <c r="K26" s="3">
        <v>1.0</v>
      </c>
      <c r="L26" s="3" t="s">
        <v>218</v>
      </c>
      <c r="M26" s="3">
        <v>99.0</v>
      </c>
      <c r="N26" s="3">
        <v>99.0</v>
      </c>
      <c r="O26" s="10">
        <v>99.0</v>
      </c>
      <c r="P26" s="3">
        <v>0.0</v>
      </c>
      <c r="Q26" s="3">
        <v>0.0</v>
      </c>
    </row>
    <row r="27" ht="15.75" customHeight="1">
      <c r="A27" s="3">
        <v>1.0</v>
      </c>
      <c r="B27" s="3" t="s">
        <v>63</v>
      </c>
      <c r="E27" s="3">
        <f t="shared" si="1"/>
        <v>0</v>
      </c>
      <c r="F27" s="3">
        <f t="shared" si="4"/>
        <v>0</v>
      </c>
      <c r="G27" s="3">
        <v>0.0</v>
      </c>
      <c r="H27" s="3">
        <v>0.0</v>
      </c>
      <c r="I27" s="3">
        <v>0.0</v>
      </c>
      <c r="J27" s="3">
        <v>0.0</v>
      </c>
      <c r="K27" s="3">
        <f t="shared" ref="K27:K37" si="5">IF(L27="AUS", 1, 0)</f>
        <v>1</v>
      </c>
      <c r="L27" s="3" t="s">
        <v>215</v>
      </c>
      <c r="M27" s="3">
        <v>99.0</v>
      </c>
      <c r="N27" s="3">
        <v>99.0</v>
      </c>
      <c r="O27" s="10">
        <v>99.0</v>
      </c>
      <c r="P27" s="3">
        <v>0.0</v>
      </c>
      <c r="Q27" s="3">
        <v>0.0</v>
      </c>
    </row>
    <row r="28" ht="15.75" customHeight="1">
      <c r="A28" s="3">
        <v>1.0</v>
      </c>
      <c r="B28" s="3" t="s">
        <v>64</v>
      </c>
      <c r="E28" s="3">
        <f t="shared" si="1"/>
        <v>0</v>
      </c>
      <c r="F28" s="3">
        <f t="shared" si="4"/>
        <v>0</v>
      </c>
      <c r="G28" s="3">
        <v>0.0</v>
      </c>
      <c r="H28" s="3">
        <v>0.0</v>
      </c>
      <c r="I28" s="3">
        <v>4.0</v>
      </c>
      <c r="J28" s="3">
        <v>0.0</v>
      </c>
      <c r="K28" s="3">
        <f t="shared" si="5"/>
        <v>0</v>
      </c>
      <c r="L28" s="3" t="s">
        <v>219</v>
      </c>
      <c r="M28" s="3">
        <v>99.0</v>
      </c>
      <c r="N28" s="3">
        <v>99.0</v>
      </c>
      <c r="O28" s="10">
        <v>99.0</v>
      </c>
      <c r="P28" s="3">
        <v>0.0</v>
      </c>
      <c r="Q28" s="3">
        <v>0.0</v>
      </c>
    </row>
    <row r="29" ht="15.75" customHeight="1">
      <c r="A29" s="3">
        <v>1.0</v>
      </c>
      <c r="B29" s="3" t="s">
        <v>65</v>
      </c>
      <c r="E29" s="3">
        <f t="shared" si="1"/>
        <v>0</v>
      </c>
      <c r="F29" s="3">
        <f t="shared" si="4"/>
        <v>0</v>
      </c>
      <c r="G29" s="3">
        <v>0.0</v>
      </c>
      <c r="H29" s="3">
        <v>0.0</v>
      </c>
      <c r="I29" s="3">
        <v>2.0</v>
      </c>
      <c r="J29" s="3">
        <v>0.0</v>
      </c>
      <c r="K29" s="3">
        <f t="shared" si="5"/>
        <v>0</v>
      </c>
      <c r="L29" s="3" t="s">
        <v>220</v>
      </c>
      <c r="M29" s="3">
        <v>99.0</v>
      </c>
      <c r="N29" s="3">
        <v>99.0</v>
      </c>
      <c r="O29" s="10">
        <v>99.0</v>
      </c>
      <c r="P29" s="3">
        <v>0.0</v>
      </c>
      <c r="Q29" s="3">
        <v>0.0</v>
      </c>
    </row>
    <row r="30" ht="15.75" customHeight="1">
      <c r="A30" s="3">
        <v>1.0</v>
      </c>
      <c r="B30" s="3" t="s">
        <v>66</v>
      </c>
      <c r="C30" s="10">
        <v>36.0</v>
      </c>
      <c r="E30" s="3">
        <f t="shared" si="1"/>
        <v>0</v>
      </c>
      <c r="F30" s="3">
        <f t="shared" si="4"/>
        <v>0</v>
      </c>
      <c r="G30" s="3">
        <v>0.0</v>
      </c>
      <c r="H30" s="3">
        <v>0.0</v>
      </c>
      <c r="I30" s="3">
        <v>10.0</v>
      </c>
      <c r="J30" s="3">
        <v>0.0</v>
      </c>
      <c r="K30" s="3">
        <f t="shared" si="5"/>
        <v>0</v>
      </c>
      <c r="L30" s="3" t="s">
        <v>221</v>
      </c>
      <c r="M30" s="3">
        <v>99.0</v>
      </c>
      <c r="N30" s="3">
        <v>99.0</v>
      </c>
      <c r="O30" s="10">
        <v>99.0</v>
      </c>
      <c r="P30" s="3">
        <v>0.0</v>
      </c>
      <c r="Q30" s="3">
        <v>0.0</v>
      </c>
    </row>
    <row r="31" ht="15.75" customHeight="1">
      <c r="A31" s="3">
        <v>1.0</v>
      </c>
      <c r="B31" s="3" t="s">
        <v>50</v>
      </c>
      <c r="C31" s="10">
        <v>25.0</v>
      </c>
      <c r="E31" s="3">
        <f t="shared" si="1"/>
        <v>0.25</v>
      </c>
      <c r="F31" s="3">
        <f>2+2</f>
        <v>4</v>
      </c>
      <c r="G31" s="3">
        <v>0.0</v>
      </c>
      <c r="H31" s="3">
        <v>0.5</v>
      </c>
      <c r="I31" s="3">
        <v>29.0</v>
      </c>
      <c r="J31" s="3">
        <v>0.0</v>
      </c>
      <c r="K31" s="3">
        <f t="shared" si="5"/>
        <v>0</v>
      </c>
      <c r="L31" s="3" t="s">
        <v>220</v>
      </c>
      <c r="M31" s="3">
        <v>13.0</v>
      </c>
      <c r="N31" s="3">
        <v>25.0</v>
      </c>
      <c r="O31" s="10">
        <v>13.0</v>
      </c>
      <c r="P31" s="3">
        <v>0.0</v>
      </c>
      <c r="Q31" s="3">
        <v>1.0</v>
      </c>
    </row>
    <row r="32" ht="15.75" customHeight="1">
      <c r="A32" s="3">
        <v>1.0</v>
      </c>
      <c r="B32" s="3" t="s">
        <v>35</v>
      </c>
      <c r="C32" s="10">
        <v>26.0</v>
      </c>
      <c r="E32" s="3">
        <f t="shared" si="1"/>
        <v>0.165</v>
      </c>
      <c r="F32" s="3">
        <f>3+2</f>
        <v>5</v>
      </c>
      <c r="G32" s="3">
        <v>0.0</v>
      </c>
      <c r="H32" s="3">
        <v>0.33</v>
      </c>
      <c r="I32" s="3">
        <v>29.0</v>
      </c>
      <c r="J32" s="3">
        <v>0.0</v>
      </c>
      <c r="K32" s="3">
        <f t="shared" si="5"/>
        <v>0</v>
      </c>
      <c r="L32" s="3" t="s">
        <v>213</v>
      </c>
      <c r="M32" s="3">
        <v>99.0</v>
      </c>
      <c r="N32" s="3">
        <v>25.0</v>
      </c>
      <c r="O32" s="10">
        <v>13.0</v>
      </c>
      <c r="P32" s="3">
        <v>0.0</v>
      </c>
      <c r="Q32" s="3">
        <v>0.0</v>
      </c>
    </row>
    <row r="33" ht="15.75" customHeight="1">
      <c r="A33" s="3">
        <v>1.0</v>
      </c>
      <c r="B33" s="3" t="s">
        <v>67</v>
      </c>
      <c r="E33" s="3">
        <f t="shared" si="1"/>
        <v>0</v>
      </c>
      <c r="F33" s="3">
        <f>0+0</f>
        <v>0</v>
      </c>
      <c r="G33" s="3">
        <v>0.0</v>
      </c>
      <c r="H33" s="3">
        <v>0.0</v>
      </c>
      <c r="I33" s="3">
        <v>0.0</v>
      </c>
      <c r="J33" s="3">
        <v>0.0</v>
      </c>
      <c r="K33" s="3">
        <f t="shared" si="5"/>
        <v>0</v>
      </c>
      <c r="L33" s="3" t="s">
        <v>213</v>
      </c>
      <c r="M33" s="3">
        <v>99.0</v>
      </c>
      <c r="N33" s="3">
        <v>99.0</v>
      </c>
      <c r="O33" s="10">
        <v>99.0</v>
      </c>
      <c r="P33" s="3">
        <v>0.0</v>
      </c>
      <c r="Q33" s="3">
        <v>0.0</v>
      </c>
    </row>
    <row r="34" ht="15.75" customHeight="1">
      <c r="A34" s="3">
        <v>1.0</v>
      </c>
      <c r="B34" s="3" t="s">
        <v>68</v>
      </c>
      <c r="C34" s="10">
        <v>31.0</v>
      </c>
      <c r="E34" s="3">
        <f t="shared" si="1"/>
        <v>0</v>
      </c>
      <c r="F34" s="3">
        <f>2+2</f>
        <v>4</v>
      </c>
      <c r="G34" s="3">
        <v>0.0</v>
      </c>
      <c r="H34" s="3">
        <v>0.0</v>
      </c>
      <c r="I34" s="3">
        <v>25.0</v>
      </c>
      <c r="J34" s="3">
        <v>0.0</v>
      </c>
      <c r="K34" s="3">
        <f t="shared" si="5"/>
        <v>1</v>
      </c>
      <c r="L34" s="3" t="s">
        <v>215</v>
      </c>
      <c r="M34" s="3">
        <v>25.0</v>
      </c>
      <c r="N34" s="3">
        <v>25.0</v>
      </c>
      <c r="O34" s="10">
        <v>99.0</v>
      </c>
      <c r="P34" s="3">
        <v>0.0</v>
      </c>
      <c r="Q34" s="3">
        <v>0.0</v>
      </c>
    </row>
    <row r="35" ht="15.75" customHeight="1">
      <c r="A35" s="3">
        <v>1.0</v>
      </c>
      <c r="B35" s="3" t="s">
        <v>69</v>
      </c>
      <c r="E35" s="3">
        <f t="shared" si="1"/>
        <v>0</v>
      </c>
      <c r="F35" s="3">
        <f>0+0</f>
        <v>0</v>
      </c>
      <c r="G35" s="3">
        <v>0.0</v>
      </c>
      <c r="H35" s="3">
        <v>0.0</v>
      </c>
      <c r="I35" s="3">
        <v>0.0</v>
      </c>
      <c r="J35" s="3">
        <v>0.0</v>
      </c>
      <c r="K35" s="3">
        <f t="shared" si="5"/>
        <v>0</v>
      </c>
      <c r="L35" s="3" t="s">
        <v>211</v>
      </c>
      <c r="M35" s="3">
        <v>99.0</v>
      </c>
      <c r="N35" s="3">
        <v>99.0</v>
      </c>
      <c r="O35" s="10">
        <v>99.0</v>
      </c>
      <c r="P35" s="3">
        <v>0.0</v>
      </c>
      <c r="Q35" s="3">
        <v>0.0</v>
      </c>
    </row>
    <row r="36" ht="15.75" customHeight="1">
      <c r="A36" s="3">
        <v>1.0</v>
      </c>
      <c r="B36" s="3" t="s">
        <v>56</v>
      </c>
      <c r="C36" s="10">
        <v>23.0</v>
      </c>
      <c r="E36" s="3">
        <f t="shared" si="1"/>
        <v>0.5</v>
      </c>
      <c r="F36" s="3">
        <f>2+2</f>
        <v>4</v>
      </c>
      <c r="G36" s="3">
        <v>0.5</v>
      </c>
      <c r="H36" s="3">
        <v>0.5</v>
      </c>
      <c r="I36" s="3">
        <v>32.0</v>
      </c>
      <c r="J36" s="3">
        <v>0.0</v>
      </c>
      <c r="K36" s="3">
        <f t="shared" si="5"/>
        <v>0</v>
      </c>
      <c r="L36" s="3" t="s">
        <v>214</v>
      </c>
      <c r="M36" s="3">
        <v>13.0</v>
      </c>
      <c r="N36" s="3">
        <v>13.0</v>
      </c>
      <c r="O36" s="10">
        <v>9.0</v>
      </c>
      <c r="P36" s="3">
        <v>0.0</v>
      </c>
      <c r="Q36" s="3">
        <v>1.0</v>
      </c>
    </row>
    <row r="37" ht="15.75" customHeight="1">
      <c r="A37" s="3">
        <v>1.0</v>
      </c>
      <c r="B37" s="3" t="s">
        <v>46</v>
      </c>
      <c r="E37" s="3">
        <f t="shared" si="1"/>
        <v>0.25</v>
      </c>
      <c r="F37" s="3">
        <f>2+0</f>
        <v>2</v>
      </c>
      <c r="G37" s="3">
        <v>0.0</v>
      </c>
      <c r="H37" s="3">
        <v>0.5</v>
      </c>
      <c r="I37" s="3">
        <v>2.0</v>
      </c>
      <c r="J37" s="3">
        <v>1.0</v>
      </c>
      <c r="K37" s="3">
        <f t="shared" si="5"/>
        <v>1</v>
      </c>
      <c r="L37" s="3" t="s">
        <v>215</v>
      </c>
      <c r="M37" s="3">
        <v>13.0</v>
      </c>
      <c r="N37" s="3">
        <v>99.0</v>
      </c>
      <c r="O37" s="10">
        <v>99.0</v>
      </c>
      <c r="P37" s="3">
        <v>0.0</v>
      </c>
      <c r="Q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36.88"/>
  </cols>
  <sheetData>
    <row r="1">
      <c r="A1" s="32" t="s">
        <v>2</v>
      </c>
      <c r="B1" s="32" t="s">
        <v>6</v>
      </c>
      <c r="C1" s="32" t="s">
        <v>222</v>
      </c>
      <c r="D1" s="69" t="s">
        <v>223</v>
      </c>
      <c r="E1" s="32" t="s">
        <v>197</v>
      </c>
      <c r="F1" s="32" t="s">
        <v>224</v>
      </c>
      <c r="G1" s="32" t="s">
        <v>198</v>
      </c>
      <c r="H1" s="32" t="s">
        <v>199</v>
      </c>
      <c r="I1" s="32" t="s">
        <v>200</v>
      </c>
      <c r="J1" s="32" t="s">
        <v>201</v>
      </c>
      <c r="K1" s="32" t="s">
        <v>202</v>
      </c>
      <c r="L1" s="32" t="s">
        <v>203</v>
      </c>
      <c r="M1" s="32" t="s">
        <v>204</v>
      </c>
      <c r="N1" s="32" t="s">
        <v>205</v>
      </c>
      <c r="O1" s="32" t="s">
        <v>208</v>
      </c>
      <c r="P1" s="32" t="s">
        <v>206</v>
      </c>
      <c r="Q1" s="32" t="s">
        <v>207</v>
      </c>
      <c r="R1" s="32" t="s">
        <v>209</v>
      </c>
      <c r="S1" s="32" t="s">
        <v>210</v>
      </c>
      <c r="T1" s="32" t="s">
        <v>225</v>
      </c>
      <c r="U1" s="69" t="s">
        <v>226</v>
      </c>
      <c r="V1" s="32" t="s">
        <v>227</v>
      </c>
      <c r="W1" s="32" t="s">
        <v>228</v>
      </c>
      <c r="X1" s="32" t="s">
        <v>229</v>
      </c>
      <c r="Y1" s="32" t="s">
        <v>230</v>
      </c>
      <c r="Z1" s="32" t="s">
        <v>231</v>
      </c>
      <c r="AA1" s="32" t="s">
        <v>232</v>
      </c>
      <c r="AB1" s="32" t="s">
        <v>233</v>
      </c>
      <c r="AC1" s="32" t="s">
        <v>234</v>
      </c>
      <c r="AD1" s="32" t="s">
        <v>235</v>
      </c>
      <c r="AE1" s="32" t="s">
        <v>236</v>
      </c>
      <c r="AF1" s="32" t="s">
        <v>237</v>
      </c>
      <c r="AG1" s="70" t="s">
        <v>238</v>
      </c>
      <c r="AH1" s="70" t="s">
        <v>239</v>
      </c>
      <c r="AI1" s="70" t="s">
        <v>240</v>
      </c>
      <c r="AJ1" s="32" t="s">
        <v>241</v>
      </c>
      <c r="AK1" s="32" t="s">
        <v>242</v>
      </c>
      <c r="AL1" s="69" t="s">
        <v>243</v>
      </c>
    </row>
    <row r="2">
      <c r="A2" s="34">
        <v>1.0</v>
      </c>
      <c r="B2" s="35" t="s">
        <v>26</v>
      </c>
      <c r="D2" s="39" t="s">
        <v>244</v>
      </c>
      <c r="E2" s="33"/>
      <c r="F2" s="34">
        <v>0.0</v>
      </c>
      <c r="G2" s="71">
        <f t="shared" ref="G2:G37" si="1">AVERAGE(F2,I2,J2)</f>
        <v>0.3666666667</v>
      </c>
      <c r="H2" s="34">
        <v>9.0</v>
      </c>
      <c r="I2" s="34">
        <v>0.5</v>
      </c>
      <c r="J2" s="34">
        <v>0.6</v>
      </c>
      <c r="K2" s="34">
        <v>54.0</v>
      </c>
      <c r="L2" s="34">
        <v>0.0</v>
      </c>
      <c r="M2" s="34">
        <v>0.0</v>
      </c>
      <c r="N2" s="35" t="s">
        <v>211</v>
      </c>
      <c r="O2" s="34">
        <v>25.0</v>
      </c>
      <c r="P2" s="34">
        <v>5.0</v>
      </c>
      <c r="Q2" s="34">
        <v>13.0</v>
      </c>
      <c r="R2" s="34">
        <v>0.0</v>
      </c>
      <c r="S2" s="34">
        <v>1.0</v>
      </c>
      <c r="T2" s="33">
        <f t="shared" ref="T2:T25" si="2">SUM(W2,Z2,AC2)/SUM(X2,AA2,AD2)</f>
        <v>13.32</v>
      </c>
      <c r="U2" s="33">
        <f t="shared" ref="U2:U37" si="3">SUM(X2,AA2,AD2)</f>
        <v>9</v>
      </c>
      <c r="V2" s="34">
        <v>8.6</v>
      </c>
      <c r="W2" s="34">
        <v>17.23</v>
      </c>
      <c r="X2" s="34">
        <v>2.0</v>
      </c>
      <c r="Y2" s="34">
        <v>16.47</v>
      </c>
      <c r="Z2" s="34">
        <v>32.93</v>
      </c>
      <c r="AA2" s="34">
        <v>2.0</v>
      </c>
      <c r="AB2" s="34">
        <v>13.94</v>
      </c>
      <c r="AC2" s="34">
        <v>69.72</v>
      </c>
      <c r="AD2" s="34">
        <v>5.0</v>
      </c>
      <c r="AE2" s="34">
        <v>19.9</v>
      </c>
      <c r="AF2" s="34">
        <v>2.0</v>
      </c>
      <c r="AG2" s="37">
        <v>56.93</v>
      </c>
      <c r="AH2" s="34">
        <f>SUMIFS(historical_events_FACT!J:J,historical_events_FACT!G:G,B2,historical_events_FACT!C:C,11,historical_events_FACT!B:B,2016)</f>
        <v>56.93</v>
      </c>
      <c r="AI2" s="34">
        <f t="array" ref="AI2">XLOOKUP(B2,Sheet25!A:A,Sheet25!B:B)</f>
        <v>46400</v>
      </c>
      <c r="AJ2" s="34">
        <v>5.0</v>
      </c>
      <c r="AK2" s="35" t="s">
        <v>245</v>
      </c>
      <c r="AL2" s="39">
        <v>76.83</v>
      </c>
    </row>
    <row r="3">
      <c r="A3" s="34">
        <v>1.0</v>
      </c>
      <c r="B3" s="35" t="s">
        <v>28</v>
      </c>
      <c r="D3" s="39" t="s">
        <v>244</v>
      </c>
      <c r="E3" s="33"/>
      <c r="F3" s="34">
        <v>0.0</v>
      </c>
      <c r="G3" s="71">
        <f t="shared" si="1"/>
        <v>0.1666666667</v>
      </c>
      <c r="H3" s="34">
        <v>8.0</v>
      </c>
      <c r="I3" s="34">
        <v>0.5</v>
      </c>
      <c r="J3" s="34">
        <v>0.0</v>
      </c>
      <c r="K3" s="34">
        <v>46.0</v>
      </c>
      <c r="L3" s="34">
        <v>0.0</v>
      </c>
      <c r="M3" s="34">
        <v>0.0</v>
      </c>
      <c r="N3" s="35" t="s">
        <v>212</v>
      </c>
      <c r="O3" s="34">
        <v>25.0</v>
      </c>
      <c r="P3" s="34">
        <v>25.0</v>
      </c>
      <c r="Q3" s="34">
        <v>9.0</v>
      </c>
      <c r="R3" s="34">
        <v>0.0</v>
      </c>
      <c r="S3" s="34">
        <v>0.0</v>
      </c>
      <c r="T3" s="33">
        <f t="shared" si="2"/>
        <v>13.21375</v>
      </c>
      <c r="U3" s="33">
        <f t="shared" si="3"/>
        <v>8</v>
      </c>
      <c r="V3" s="34">
        <v>10.54</v>
      </c>
      <c r="W3" s="34">
        <v>21.07</v>
      </c>
      <c r="X3" s="34">
        <v>2.0</v>
      </c>
      <c r="Y3" s="34">
        <v>14.81</v>
      </c>
      <c r="Z3" s="34">
        <v>59.21</v>
      </c>
      <c r="AA3" s="34">
        <v>4.0</v>
      </c>
      <c r="AB3" s="34">
        <v>12.72</v>
      </c>
      <c r="AC3" s="34">
        <v>25.43</v>
      </c>
      <c r="AD3" s="34">
        <v>2.0</v>
      </c>
      <c r="AE3" s="34">
        <v>19.03</v>
      </c>
      <c r="AF3" s="34">
        <v>2.0</v>
      </c>
      <c r="AG3" s="34">
        <v>73.12</v>
      </c>
      <c r="AH3" s="34">
        <f>SUMIFS(historical_events_FACT!J:J,historical_events_FACT!G:G,B3,historical_events_FACT!C:C,11,historical_events_FACT!B:B,2016)</f>
        <v>73.12</v>
      </c>
      <c r="AI3" s="34">
        <f t="array" ref="AI3">XLOOKUP(B3,Sheet25!A:A,Sheet25!B:B)</f>
        <v>45450</v>
      </c>
      <c r="AJ3" s="34">
        <v>9.0</v>
      </c>
      <c r="AK3" s="35" t="s">
        <v>246</v>
      </c>
      <c r="AL3" s="39">
        <v>52.3</v>
      </c>
    </row>
    <row r="4">
      <c r="A4" s="34">
        <v>1.0</v>
      </c>
      <c r="B4" s="35" t="s">
        <v>30</v>
      </c>
      <c r="D4" s="39" t="s">
        <v>247</v>
      </c>
      <c r="E4" s="33"/>
      <c r="F4" s="34">
        <v>1.0</v>
      </c>
      <c r="G4" s="71">
        <f t="shared" si="1"/>
        <v>0.6666666667</v>
      </c>
      <c r="H4" s="34">
        <v>10.0</v>
      </c>
      <c r="I4" s="34">
        <v>0.5</v>
      </c>
      <c r="J4" s="34">
        <v>0.5</v>
      </c>
      <c r="K4" s="34">
        <v>45.0</v>
      </c>
      <c r="L4" s="34">
        <v>0.0</v>
      </c>
      <c r="M4" s="34">
        <v>0.0</v>
      </c>
      <c r="N4" s="35" t="s">
        <v>213</v>
      </c>
      <c r="O4" s="34">
        <v>1.0</v>
      </c>
      <c r="P4" s="34">
        <v>13.0</v>
      </c>
      <c r="Q4" s="34">
        <v>13.0</v>
      </c>
      <c r="R4" s="34">
        <v>2.0</v>
      </c>
      <c r="S4" s="34">
        <v>3.0</v>
      </c>
      <c r="T4" s="33">
        <f t="shared" si="2"/>
        <v>14.855</v>
      </c>
      <c r="U4" s="33">
        <f t="shared" si="3"/>
        <v>10</v>
      </c>
      <c r="V4" s="34">
        <v>15.0</v>
      </c>
      <c r="W4" s="34">
        <v>90.05</v>
      </c>
      <c r="X4" s="34">
        <v>6.0</v>
      </c>
      <c r="Y4" s="34">
        <v>12.9</v>
      </c>
      <c r="Z4" s="34">
        <v>25.8</v>
      </c>
      <c r="AA4" s="34">
        <v>2.0</v>
      </c>
      <c r="AB4" s="34">
        <v>16.35</v>
      </c>
      <c r="AC4" s="34">
        <v>32.7</v>
      </c>
      <c r="AD4" s="34">
        <v>2.0</v>
      </c>
      <c r="AE4" s="34">
        <v>19.13</v>
      </c>
      <c r="AF4" s="34">
        <v>4.0</v>
      </c>
      <c r="AG4" s="34">
        <v>26.53</v>
      </c>
      <c r="AH4" s="34">
        <f>SUMIFS(historical_events_FACT!J:J,historical_events_FACT!G:G,B4,historical_events_FACT!C:C,11,historical_events_FACT!B:B,2016)</f>
        <v>26.53</v>
      </c>
      <c r="AI4" s="34">
        <f t="array" ref="AI4">XLOOKUP(B4,Sheet25!A:A,Sheet25!B:B)</f>
        <v>44150</v>
      </c>
      <c r="AJ4" s="34">
        <v>5.0</v>
      </c>
      <c r="AK4" s="35" t="s">
        <v>245</v>
      </c>
      <c r="AL4" s="39">
        <v>76.04</v>
      </c>
    </row>
    <row r="5">
      <c r="A5" s="34">
        <v>1.0</v>
      </c>
      <c r="B5" s="35" t="s">
        <v>32</v>
      </c>
      <c r="D5" s="39" t="s">
        <v>244</v>
      </c>
      <c r="E5" s="33"/>
      <c r="F5" s="34">
        <v>0.33</v>
      </c>
      <c r="G5" s="71">
        <f t="shared" si="1"/>
        <v>0.4566666667</v>
      </c>
      <c r="H5" s="34">
        <v>13.0</v>
      </c>
      <c r="I5" s="34">
        <v>0.33</v>
      </c>
      <c r="J5" s="34">
        <v>0.71</v>
      </c>
      <c r="K5" s="34">
        <v>45.0</v>
      </c>
      <c r="L5" s="34">
        <v>0.0</v>
      </c>
      <c r="M5" s="34">
        <v>0.0</v>
      </c>
      <c r="N5" s="35" t="s">
        <v>214</v>
      </c>
      <c r="O5" s="34">
        <v>13.0</v>
      </c>
      <c r="P5" s="34">
        <v>2.0</v>
      </c>
      <c r="Q5" s="34">
        <v>13.0</v>
      </c>
      <c r="R5" s="34">
        <v>3.0</v>
      </c>
      <c r="S5" s="34">
        <v>5.0</v>
      </c>
      <c r="T5" s="33">
        <f t="shared" si="2"/>
        <v>13.39615385</v>
      </c>
      <c r="U5" s="33">
        <f t="shared" si="3"/>
        <v>13</v>
      </c>
      <c r="V5" s="34">
        <v>10.76</v>
      </c>
      <c r="W5" s="34">
        <v>32.29</v>
      </c>
      <c r="X5" s="34">
        <v>3.0</v>
      </c>
      <c r="Y5" s="34">
        <v>14.0</v>
      </c>
      <c r="Z5" s="34">
        <v>42.0</v>
      </c>
      <c r="AA5" s="34">
        <v>3.0</v>
      </c>
      <c r="AB5" s="34">
        <v>14.27</v>
      </c>
      <c r="AC5" s="34">
        <v>99.86</v>
      </c>
      <c r="AD5" s="34">
        <v>7.0</v>
      </c>
      <c r="AE5" s="34">
        <v>16.8</v>
      </c>
      <c r="AF5" s="34">
        <v>2.0</v>
      </c>
      <c r="AG5" s="34">
        <v>75.11999999999999</v>
      </c>
      <c r="AH5" s="34">
        <f>SUMIFS(historical_events_FACT!J:J,historical_events_FACT!G:G,B5,historical_events_FACT!C:C,11,historical_events_FACT!B:B,2016)</f>
        <v>75.12</v>
      </c>
      <c r="AI5" s="34">
        <f t="array" ref="AI5">XLOOKUP(B5,Sheet25!A:A,Sheet25!B:B)</f>
        <v>39500</v>
      </c>
      <c r="AJ5" s="34">
        <v>5.0</v>
      </c>
      <c r="AK5" s="35" t="s">
        <v>245</v>
      </c>
      <c r="AL5" s="39">
        <v>44.26</v>
      </c>
    </row>
    <row r="6">
      <c r="A6" s="34">
        <v>1.0</v>
      </c>
      <c r="B6" s="35" t="s">
        <v>34</v>
      </c>
      <c r="D6" s="39" t="s">
        <v>247</v>
      </c>
      <c r="E6" s="33"/>
      <c r="F6" s="34">
        <v>0.0</v>
      </c>
      <c r="G6" s="71">
        <f t="shared" si="1"/>
        <v>0.5</v>
      </c>
      <c r="H6" s="34">
        <v>8.0</v>
      </c>
      <c r="I6" s="34">
        <v>0.5</v>
      </c>
      <c r="J6" s="34">
        <v>1.0</v>
      </c>
      <c r="K6" s="34">
        <v>41.0</v>
      </c>
      <c r="L6" s="34">
        <v>0.0</v>
      </c>
      <c r="M6" s="34">
        <v>1.0</v>
      </c>
      <c r="N6" s="35" t="s">
        <v>215</v>
      </c>
      <c r="O6" s="34">
        <v>25.0</v>
      </c>
      <c r="P6" s="34">
        <v>1.0</v>
      </c>
      <c r="Q6" s="34">
        <v>9.0</v>
      </c>
      <c r="R6" s="34">
        <v>1.0</v>
      </c>
      <c r="S6" s="34">
        <v>2.0</v>
      </c>
      <c r="T6" s="33">
        <f t="shared" si="2"/>
        <v>13.7025</v>
      </c>
      <c r="U6" s="33">
        <f t="shared" si="3"/>
        <v>12</v>
      </c>
      <c r="V6" s="34">
        <v>9.79</v>
      </c>
      <c r="W6" s="34">
        <v>19.57</v>
      </c>
      <c r="X6" s="34">
        <v>2.0</v>
      </c>
      <c r="Y6" s="34">
        <v>14.89</v>
      </c>
      <c r="Z6" s="34">
        <v>59.57</v>
      </c>
      <c r="AA6" s="34">
        <v>4.0</v>
      </c>
      <c r="AB6" s="34">
        <v>14.22</v>
      </c>
      <c r="AC6" s="34">
        <v>85.29</v>
      </c>
      <c r="AD6" s="34">
        <v>6.0</v>
      </c>
      <c r="AE6" s="34">
        <v>17.83</v>
      </c>
      <c r="AF6" s="34">
        <v>3.0</v>
      </c>
      <c r="AG6" s="37">
        <v>20.77</v>
      </c>
      <c r="AH6" s="34">
        <f>SUMIFS(historical_events_FACT!J:J,historical_events_FACT!G:G,B6,historical_events_FACT!C:C,11,historical_events_FACT!B:B,2016)</f>
        <v>20.77</v>
      </c>
      <c r="AI6" s="34">
        <f t="array" ref="AI6">XLOOKUP(B6,Sheet25!A:A,Sheet25!B:B)</f>
        <v>38700</v>
      </c>
      <c r="AJ6" s="34">
        <v>9.0</v>
      </c>
      <c r="AK6" s="35" t="s">
        <v>246</v>
      </c>
      <c r="AL6" s="39">
        <v>90.24</v>
      </c>
    </row>
    <row r="7">
      <c r="A7" s="34">
        <v>1.0</v>
      </c>
      <c r="B7" s="35" t="s">
        <v>27</v>
      </c>
      <c r="D7" s="39" t="s">
        <v>244</v>
      </c>
      <c r="E7" s="33"/>
      <c r="F7" s="34">
        <v>0.5</v>
      </c>
      <c r="G7" s="71">
        <f t="shared" si="1"/>
        <v>0.3333333333</v>
      </c>
      <c r="H7" s="34">
        <v>6.0</v>
      </c>
      <c r="I7" s="34">
        <v>0.0</v>
      </c>
      <c r="J7" s="34">
        <v>0.5</v>
      </c>
      <c r="K7" s="34">
        <v>44.0</v>
      </c>
      <c r="L7" s="34">
        <v>0.0</v>
      </c>
      <c r="M7" s="34">
        <v>0.0</v>
      </c>
      <c r="N7" s="35" t="s">
        <v>216</v>
      </c>
      <c r="O7" s="34">
        <v>13.0</v>
      </c>
      <c r="P7" s="34">
        <v>13.0</v>
      </c>
      <c r="Q7" s="34">
        <v>25.0</v>
      </c>
      <c r="R7" s="34">
        <v>0.0</v>
      </c>
      <c r="S7" s="34">
        <v>0.0</v>
      </c>
      <c r="T7" s="33">
        <f t="shared" si="2"/>
        <v>11.94166667</v>
      </c>
      <c r="U7" s="33">
        <f t="shared" si="3"/>
        <v>6</v>
      </c>
      <c r="V7" s="34">
        <v>11.1</v>
      </c>
      <c r="W7" s="34">
        <v>22.2</v>
      </c>
      <c r="X7" s="34">
        <v>2.0</v>
      </c>
      <c r="Y7" s="34">
        <v>13.0</v>
      </c>
      <c r="Z7" s="34">
        <v>26.11</v>
      </c>
      <c r="AA7" s="34">
        <v>2.0</v>
      </c>
      <c r="AB7" s="34">
        <v>11.67</v>
      </c>
      <c r="AC7" s="34">
        <v>23.34</v>
      </c>
      <c r="AD7" s="34">
        <v>2.0</v>
      </c>
      <c r="AE7" s="34">
        <v>15.4</v>
      </c>
      <c r="AF7" s="34">
        <v>0.0</v>
      </c>
      <c r="AG7" s="34">
        <v>92.47000000000001</v>
      </c>
      <c r="AH7" s="34">
        <f>SUMIFS(historical_events_FACT!J:J,historical_events_FACT!G:G,B7,historical_events_FACT!C:C,11,historical_events_FACT!B:B,2016)</f>
        <v>92.47</v>
      </c>
      <c r="AI7" s="34">
        <f t="array" ref="AI7">XLOOKUP(B7,Sheet25!A:A,Sheet25!B:B)</f>
        <v>37900</v>
      </c>
      <c r="AJ7" s="34">
        <v>8.0</v>
      </c>
      <c r="AK7" s="35" t="s">
        <v>246</v>
      </c>
      <c r="AL7" s="39">
        <v>23.47</v>
      </c>
    </row>
    <row r="8">
      <c r="A8" s="34">
        <v>1.0</v>
      </c>
      <c r="B8" s="35" t="s">
        <v>37</v>
      </c>
      <c r="D8" s="39" t="s">
        <v>244</v>
      </c>
      <c r="E8" s="33"/>
      <c r="F8" s="34">
        <v>0.6</v>
      </c>
      <c r="G8" s="71">
        <f t="shared" si="1"/>
        <v>0.31</v>
      </c>
      <c r="H8" s="34">
        <v>10.0</v>
      </c>
      <c r="I8" s="34">
        <v>0.33</v>
      </c>
      <c r="J8" s="34">
        <v>0.0</v>
      </c>
      <c r="K8" s="34">
        <v>38.0</v>
      </c>
      <c r="L8" s="34">
        <v>0.0</v>
      </c>
      <c r="M8" s="34">
        <v>0.0</v>
      </c>
      <c r="N8" s="35" t="s">
        <v>214</v>
      </c>
      <c r="O8" s="34">
        <v>5.0</v>
      </c>
      <c r="P8" s="34">
        <v>25.0</v>
      </c>
      <c r="Q8" s="34">
        <v>13.0</v>
      </c>
      <c r="R8" s="34">
        <v>0.0</v>
      </c>
      <c r="S8" s="34">
        <v>0.0</v>
      </c>
      <c r="T8" s="33">
        <f t="shared" si="2"/>
        <v>13.664</v>
      </c>
      <c r="U8" s="33">
        <f t="shared" si="3"/>
        <v>10</v>
      </c>
      <c r="V8" s="34">
        <v>14.75</v>
      </c>
      <c r="W8" s="34">
        <v>73.74</v>
      </c>
      <c r="X8" s="34">
        <v>5.0</v>
      </c>
      <c r="Y8" s="34">
        <v>12.18</v>
      </c>
      <c r="Z8" s="34">
        <v>36.53</v>
      </c>
      <c r="AA8" s="34">
        <v>3.0</v>
      </c>
      <c r="AB8" s="34">
        <v>13.19</v>
      </c>
      <c r="AC8" s="34">
        <v>26.37</v>
      </c>
      <c r="AD8" s="34">
        <v>2.0</v>
      </c>
      <c r="AE8" s="34">
        <v>19.83</v>
      </c>
      <c r="AF8" s="34">
        <v>2.0</v>
      </c>
      <c r="AG8" s="34">
        <v>70.997</v>
      </c>
      <c r="AH8" s="34">
        <f>SUMIFS(historical_events_FACT!J:J,historical_events_FACT!G:G,B8,historical_events_FACT!C:C,11,historical_events_FACT!B:B,2016)</f>
        <v>70.997</v>
      </c>
      <c r="AI8" s="34">
        <f t="array" ref="AI8">XLOOKUP(B8,Sheet25!A:A,Sheet25!B:B)</f>
        <v>36850</v>
      </c>
      <c r="AJ8" s="34">
        <v>27.0</v>
      </c>
      <c r="AK8" s="35" t="s">
        <v>246</v>
      </c>
      <c r="AL8" s="39">
        <v>80.73</v>
      </c>
    </row>
    <row r="9">
      <c r="A9" s="34">
        <v>1.0</v>
      </c>
      <c r="B9" s="35" t="s">
        <v>31</v>
      </c>
      <c r="D9" s="39" t="s">
        <v>244</v>
      </c>
      <c r="E9" s="33"/>
      <c r="F9" s="34">
        <v>0.33</v>
      </c>
      <c r="G9" s="71">
        <f t="shared" si="1"/>
        <v>0.3866666667</v>
      </c>
      <c r="H9" s="34">
        <v>11.0</v>
      </c>
      <c r="I9" s="34">
        <v>0.83</v>
      </c>
      <c r="J9" s="34">
        <v>0.0</v>
      </c>
      <c r="K9" s="34">
        <v>43.0</v>
      </c>
      <c r="L9" s="34">
        <v>0.0</v>
      </c>
      <c r="M9" s="34">
        <v>1.0</v>
      </c>
      <c r="N9" s="35" t="s">
        <v>215</v>
      </c>
      <c r="O9" s="34">
        <v>13.0</v>
      </c>
      <c r="P9" s="34">
        <v>25.0</v>
      </c>
      <c r="Q9" s="34">
        <v>2.0</v>
      </c>
      <c r="R9" s="34">
        <v>0.0</v>
      </c>
      <c r="S9" s="34">
        <v>0.0</v>
      </c>
      <c r="T9" s="33">
        <f t="shared" si="2"/>
        <v>13.37727273</v>
      </c>
      <c r="U9" s="33">
        <f t="shared" si="3"/>
        <v>11</v>
      </c>
      <c r="V9" s="34">
        <v>13.11</v>
      </c>
      <c r="W9" s="34">
        <v>39.32</v>
      </c>
      <c r="X9" s="34">
        <v>3.0</v>
      </c>
      <c r="Y9" s="34">
        <v>15.0</v>
      </c>
      <c r="Z9" s="34">
        <v>89.9</v>
      </c>
      <c r="AA9" s="34">
        <v>6.0</v>
      </c>
      <c r="AB9" s="34">
        <v>8.97</v>
      </c>
      <c r="AC9" s="34">
        <v>17.93</v>
      </c>
      <c r="AD9" s="34">
        <v>2.0</v>
      </c>
      <c r="AE9" s="34">
        <v>18.57</v>
      </c>
      <c r="AF9" s="34">
        <v>2.0</v>
      </c>
      <c r="AG9" s="34">
        <v>18.67</v>
      </c>
      <c r="AH9" s="34">
        <f>SUMIFS(historical_events_FACT!J:J,historical_events_FACT!G:G,B9,historical_events_FACT!C:C,11,historical_events_FACT!B:B,2016)</f>
        <v>18.67</v>
      </c>
      <c r="AI9" s="34">
        <f t="array" ref="AI9">XLOOKUP(B9,Sheet25!A:A,Sheet25!B:B)</f>
        <v>35700</v>
      </c>
      <c r="AJ9" s="34">
        <v>6.0</v>
      </c>
      <c r="AK9" s="35" t="s">
        <v>246</v>
      </c>
      <c r="AL9" s="39">
        <v>31.5</v>
      </c>
    </row>
    <row r="10">
      <c r="A10" s="34">
        <v>1.0</v>
      </c>
      <c r="B10" s="35" t="s">
        <v>39</v>
      </c>
      <c r="D10" s="39" t="s">
        <v>244</v>
      </c>
      <c r="E10" s="33"/>
      <c r="F10" s="34">
        <v>0.83</v>
      </c>
      <c r="G10" s="71">
        <f t="shared" si="1"/>
        <v>0.6433333333</v>
      </c>
      <c r="H10" s="34">
        <v>13.0</v>
      </c>
      <c r="I10" s="34">
        <v>0.5</v>
      </c>
      <c r="J10" s="34">
        <v>0.6</v>
      </c>
      <c r="K10" s="34">
        <v>38.0</v>
      </c>
      <c r="L10" s="34">
        <v>1.0</v>
      </c>
      <c r="M10" s="34">
        <v>1.0</v>
      </c>
      <c r="N10" s="35" t="s">
        <v>215</v>
      </c>
      <c r="O10" s="34">
        <v>2.0</v>
      </c>
      <c r="P10" s="34">
        <v>5.0</v>
      </c>
      <c r="Q10" s="34">
        <v>13.0</v>
      </c>
      <c r="R10" s="34">
        <v>1.0</v>
      </c>
      <c r="S10" s="34">
        <v>5.0</v>
      </c>
      <c r="T10" s="33">
        <f t="shared" si="2"/>
        <v>14.97</v>
      </c>
      <c r="U10" s="33">
        <f t="shared" si="3"/>
        <v>13</v>
      </c>
      <c r="V10" s="34">
        <v>16.16</v>
      </c>
      <c r="W10" s="34">
        <v>96.93</v>
      </c>
      <c r="X10" s="34">
        <v>6.0</v>
      </c>
      <c r="Y10" s="34">
        <v>12.55</v>
      </c>
      <c r="Z10" s="34">
        <v>25.09</v>
      </c>
      <c r="AA10" s="34">
        <v>2.0</v>
      </c>
      <c r="AB10" s="34">
        <v>14.52</v>
      </c>
      <c r="AC10" s="34">
        <v>72.59</v>
      </c>
      <c r="AD10" s="34">
        <v>5.0</v>
      </c>
      <c r="AE10" s="34">
        <v>19.93</v>
      </c>
      <c r="AF10" s="34">
        <v>4.0</v>
      </c>
      <c r="AG10" s="34">
        <v>45.97</v>
      </c>
      <c r="AH10" s="34">
        <f>SUMIFS(historical_events_FACT!J:J,historical_events_FACT!G:G,B10,historical_events_FACT!C:C,11,historical_events_FACT!B:B,2016)</f>
        <v>45.97</v>
      </c>
      <c r="AI10" s="34">
        <f t="array" ref="AI10">XLOOKUP(B10,Sheet25!A:A,Sheet25!B:B)</f>
        <v>35400</v>
      </c>
      <c r="AJ10" s="34">
        <v>16.0</v>
      </c>
      <c r="AK10" s="35" t="s">
        <v>246</v>
      </c>
      <c r="AL10" s="39">
        <v>73.43</v>
      </c>
    </row>
    <row r="11">
      <c r="A11" s="34">
        <v>1.0</v>
      </c>
      <c r="B11" s="35" t="s">
        <v>33</v>
      </c>
      <c r="D11" s="39" t="s">
        <v>244</v>
      </c>
      <c r="E11" s="33"/>
      <c r="F11" s="34">
        <v>0.0</v>
      </c>
      <c r="G11" s="71">
        <f t="shared" si="1"/>
        <v>0.5533333333</v>
      </c>
      <c r="H11" s="34">
        <v>14.0</v>
      </c>
      <c r="I11" s="34">
        <v>0.86</v>
      </c>
      <c r="J11" s="34">
        <v>0.8</v>
      </c>
      <c r="K11" s="34">
        <v>36.0</v>
      </c>
      <c r="L11" s="34">
        <v>0.0</v>
      </c>
      <c r="M11" s="34">
        <v>0.0</v>
      </c>
      <c r="N11" s="35" t="s">
        <v>213</v>
      </c>
      <c r="O11" s="34">
        <v>25.0</v>
      </c>
      <c r="P11" s="34">
        <v>3.0</v>
      </c>
      <c r="Q11" s="34">
        <v>1.0</v>
      </c>
      <c r="R11" s="34">
        <v>2.0</v>
      </c>
      <c r="S11" s="34">
        <v>3.0</v>
      </c>
      <c r="T11" s="33">
        <f t="shared" si="2"/>
        <v>15.34714286</v>
      </c>
      <c r="U11" s="33">
        <f t="shared" si="3"/>
        <v>14</v>
      </c>
      <c r="V11" s="34">
        <v>10.19</v>
      </c>
      <c r="W11" s="34">
        <v>20.37</v>
      </c>
      <c r="X11" s="34">
        <v>2.0</v>
      </c>
      <c r="Y11" s="34">
        <v>16.96</v>
      </c>
      <c r="Z11" s="34">
        <v>118.72</v>
      </c>
      <c r="AA11" s="34">
        <v>7.0</v>
      </c>
      <c r="AB11" s="34">
        <v>15.15</v>
      </c>
      <c r="AC11" s="34">
        <v>75.77</v>
      </c>
      <c r="AD11" s="34">
        <v>5.0</v>
      </c>
      <c r="AE11" s="34">
        <v>19.6</v>
      </c>
      <c r="AF11" s="34">
        <v>8.0</v>
      </c>
      <c r="AG11" s="34">
        <v>43.28</v>
      </c>
      <c r="AH11" s="34">
        <f>SUMIFS(historical_events_FACT!J:J,historical_events_FACT!G:G,B11,historical_events_FACT!C:C,11,historical_events_FACT!B:B,2016)</f>
        <v>43.28</v>
      </c>
      <c r="AI11" s="34">
        <f t="array" ref="AI11">XLOOKUP(B11,Sheet25!A:A,Sheet25!B:B)</f>
        <v>35350</v>
      </c>
      <c r="AJ11" s="34">
        <v>4.0</v>
      </c>
      <c r="AK11" s="35" t="s">
        <v>245</v>
      </c>
      <c r="AL11" s="39">
        <v>26.87</v>
      </c>
    </row>
    <row r="12">
      <c r="A12" s="34">
        <v>1.0</v>
      </c>
      <c r="B12" s="35" t="s">
        <v>42</v>
      </c>
      <c r="D12" s="39" t="s">
        <v>244</v>
      </c>
      <c r="E12" s="33"/>
      <c r="F12" s="34">
        <v>0.66</v>
      </c>
      <c r="G12" s="71">
        <f t="shared" si="1"/>
        <v>0.5766666667</v>
      </c>
      <c r="H12" s="34">
        <v>19.0</v>
      </c>
      <c r="I12" s="34">
        <v>0.57</v>
      </c>
      <c r="J12" s="34">
        <v>0.5</v>
      </c>
      <c r="K12" s="34">
        <v>41.0</v>
      </c>
      <c r="L12" s="34">
        <v>0.0</v>
      </c>
      <c r="M12" s="34">
        <v>0.0</v>
      </c>
      <c r="N12" s="35" t="s">
        <v>213</v>
      </c>
      <c r="O12" s="34">
        <v>3.0</v>
      </c>
      <c r="P12" s="34">
        <v>5.0</v>
      </c>
      <c r="Q12" s="34">
        <v>3.0</v>
      </c>
      <c r="R12" s="34">
        <v>1.0</v>
      </c>
      <c r="S12" s="34">
        <v>1.0</v>
      </c>
      <c r="T12" s="33">
        <f t="shared" si="2"/>
        <v>14.845</v>
      </c>
      <c r="U12" s="33">
        <f t="shared" si="3"/>
        <v>18</v>
      </c>
      <c r="V12" s="34">
        <v>13.97</v>
      </c>
      <c r="W12" s="34">
        <v>83.78</v>
      </c>
      <c r="X12" s="34">
        <v>6.0</v>
      </c>
      <c r="Y12" s="34">
        <v>16.66</v>
      </c>
      <c r="Z12" s="34">
        <v>99.97</v>
      </c>
      <c r="AA12" s="34">
        <v>6.0</v>
      </c>
      <c r="AB12" s="34">
        <v>13.91</v>
      </c>
      <c r="AC12" s="34">
        <v>83.46</v>
      </c>
      <c r="AD12" s="34">
        <v>6.0</v>
      </c>
      <c r="AE12" s="34">
        <v>18.94</v>
      </c>
      <c r="AF12" s="34">
        <v>4.0</v>
      </c>
      <c r="AG12" s="34">
        <v>28.55</v>
      </c>
      <c r="AH12" s="34">
        <f>SUMIFS(historical_events_FACT!J:J,historical_events_FACT!G:G,B12,historical_events_FACT!C:C,11,historical_events_FACT!B:B,2016)</f>
        <v>28.55</v>
      </c>
      <c r="AI12" s="34">
        <f t="array" ref="AI12">XLOOKUP(B12,Sheet25!A:A,Sheet25!B:B)</f>
        <v>31950</v>
      </c>
      <c r="AJ12" s="34">
        <v>11.0</v>
      </c>
      <c r="AK12" s="35" t="s">
        <v>246</v>
      </c>
      <c r="AL12" s="39">
        <v>58.5</v>
      </c>
    </row>
    <row r="13">
      <c r="A13" s="34">
        <v>1.0</v>
      </c>
      <c r="B13" s="35" t="s">
        <v>38</v>
      </c>
      <c r="D13" s="39" t="s">
        <v>244</v>
      </c>
      <c r="E13" s="33"/>
      <c r="F13" s="34">
        <v>0.0</v>
      </c>
      <c r="G13" s="71">
        <f t="shared" si="1"/>
        <v>0.3</v>
      </c>
      <c r="H13" s="34">
        <v>9.0</v>
      </c>
      <c r="I13" s="34">
        <v>0.5</v>
      </c>
      <c r="J13" s="34">
        <v>0.4</v>
      </c>
      <c r="K13" s="34">
        <v>40.0</v>
      </c>
      <c r="L13" s="34">
        <v>0.0</v>
      </c>
      <c r="M13" s="34">
        <v>0.0</v>
      </c>
      <c r="N13" s="35" t="s">
        <v>211</v>
      </c>
      <c r="O13" s="34">
        <v>25.0</v>
      </c>
      <c r="P13" s="34">
        <v>9.0</v>
      </c>
      <c r="Q13" s="34">
        <v>13.0</v>
      </c>
      <c r="R13" s="34">
        <v>0.0</v>
      </c>
      <c r="S13" s="34">
        <v>2.0</v>
      </c>
      <c r="T13" s="33">
        <f t="shared" si="2"/>
        <v>12.82222222</v>
      </c>
      <c r="U13" s="33">
        <f t="shared" si="3"/>
        <v>9</v>
      </c>
      <c r="V13" s="34">
        <v>10.2</v>
      </c>
      <c r="W13" s="34">
        <v>20.4</v>
      </c>
      <c r="X13" s="34">
        <v>2.0</v>
      </c>
      <c r="Y13" s="34">
        <v>13.25</v>
      </c>
      <c r="Z13" s="34">
        <v>26.5</v>
      </c>
      <c r="AA13" s="34">
        <v>2.0</v>
      </c>
      <c r="AB13" s="34">
        <v>13.7</v>
      </c>
      <c r="AC13" s="34">
        <v>68.5</v>
      </c>
      <c r="AD13" s="34">
        <v>5.0</v>
      </c>
      <c r="AE13" s="34">
        <v>16.4</v>
      </c>
      <c r="AF13" s="34">
        <v>0.0</v>
      </c>
      <c r="AG13" s="34">
        <v>25.900000000000002</v>
      </c>
      <c r="AH13" s="34">
        <f>SUMIFS(historical_events_FACT!J:J,historical_events_FACT!G:G,B13,historical_events_FACT!C:C,11,historical_events_FACT!B:B,2016)</f>
        <v>25.9</v>
      </c>
      <c r="AI13" s="34">
        <f t="array" ref="AI13">XLOOKUP(B13,Sheet25!A:A,Sheet25!B:B)</f>
        <v>30650</v>
      </c>
      <c r="AJ13" s="34">
        <v>5.0</v>
      </c>
      <c r="AK13" s="35" t="s">
        <v>245</v>
      </c>
      <c r="AL13" s="39">
        <v>42.8</v>
      </c>
    </row>
    <row r="14">
      <c r="A14" s="34">
        <v>1.0</v>
      </c>
      <c r="B14" s="35" t="s">
        <v>45</v>
      </c>
      <c r="C14" s="33"/>
      <c r="D14" s="39" t="s">
        <v>244</v>
      </c>
      <c r="E14" s="33"/>
      <c r="F14" s="34">
        <v>0.5</v>
      </c>
      <c r="G14" s="71">
        <f t="shared" si="1"/>
        <v>0.3866666667</v>
      </c>
      <c r="H14" s="34">
        <v>9.0</v>
      </c>
      <c r="I14" s="34">
        <v>0.33</v>
      </c>
      <c r="J14" s="34">
        <v>0.33</v>
      </c>
      <c r="K14" s="34">
        <v>40.0</v>
      </c>
      <c r="L14" s="34">
        <v>0.0</v>
      </c>
      <c r="M14" s="34">
        <v>0.0</v>
      </c>
      <c r="N14" s="35" t="s">
        <v>214</v>
      </c>
      <c r="O14" s="34">
        <v>9.0</v>
      </c>
      <c r="P14" s="34">
        <v>13.0</v>
      </c>
      <c r="Q14" s="34">
        <v>13.0</v>
      </c>
      <c r="R14" s="34">
        <v>0.0</v>
      </c>
      <c r="S14" s="34">
        <v>2.0</v>
      </c>
      <c r="T14" s="33">
        <f t="shared" si="2"/>
        <v>11.938</v>
      </c>
      <c r="U14" s="33">
        <f t="shared" si="3"/>
        <v>10</v>
      </c>
      <c r="V14" s="34">
        <v>14.0</v>
      </c>
      <c r="W14" s="34">
        <v>55.98</v>
      </c>
      <c r="X14" s="34">
        <v>4.0</v>
      </c>
      <c r="Y14" s="34">
        <v>10.01</v>
      </c>
      <c r="Z14" s="34">
        <v>30.04</v>
      </c>
      <c r="AA14" s="34">
        <v>3.0</v>
      </c>
      <c r="AB14" s="34">
        <v>11.12</v>
      </c>
      <c r="AC14" s="34">
        <v>33.36</v>
      </c>
      <c r="AD14" s="34">
        <v>3.0</v>
      </c>
      <c r="AE14" s="34">
        <v>14.33</v>
      </c>
      <c r="AF14" s="34">
        <v>0.0</v>
      </c>
      <c r="AG14" s="34">
        <v>53.34</v>
      </c>
      <c r="AH14" s="34">
        <f>SUMIFS(historical_events_FACT!J:J,historical_events_FACT!G:G,B14,historical_events_FACT!C:C,11,historical_events_FACT!B:B,2016)</f>
        <v>53.34</v>
      </c>
      <c r="AI14" s="34">
        <f t="array" ref="AI14">XLOOKUP(B14,Sheet25!A:A,Sheet25!B:B)</f>
        <v>29700</v>
      </c>
      <c r="AJ14" s="34">
        <v>6.0</v>
      </c>
      <c r="AK14" s="35" t="s">
        <v>246</v>
      </c>
      <c r="AL14" s="39">
        <v>21.43</v>
      </c>
    </row>
    <row r="15">
      <c r="A15" s="34">
        <v>1.0</v>
      </c>
      <c r="B15" s="35" t="s">
        <v>47</v>
      </c>
      <c r="D15" s="39" t="s">
        <v>247</v>
      </c>
      <c r="E15" s="33"/>
      <c r="F15" s="34">
        <v>0.5</v>
      </c>
      <c r="G15" s="71">
        <f t="shared" si="1"/>
        <v>0.3333333333</v>
      </c>
      <c r="H15" s="34">
        <v>10.0</v>
      </c>
      <c r="I15" s="34">
        <v>0.0</v>
      </c>
      <c r="J15" s="34">
        <v>0.5</v>
      </c>
      <c r="K15" s="34">
        <v>40.0</v>
      </c>
      <c r="L15" s="34">
        <v>0.0</v>
      </c>
      <c r="M15" s="34">
        <v>1.0</v>
      </c>
      <c r="N15" s="35" t="s">
        <v>215</v>
      </c>
      <c r="O15" s="34">
        <v>13.0</v>
      </c>
      <c r="P15" s="34">
        <v>5.0</v>
      </c>
      <c r="Q15" s="34">
        <v>25.0</v>
      </c>
      <c r="R15" s="34">
        <v>1.0</v>
      </c>
      <c r="S15" s="34">
        <v>4.0</v>
      </c>
      <c r="T15" s="33">
        <f t="shared" si="2"/>
        <v>11.076</v>
      </c>
      <c r="U15" s="33">
        <f t="shared" si="3"/>
        <v>10</v>
      </c>
      <c r="V15" s="34">
        <v>8.34</v>
      </c>
      <c r="W15" s="34">
        <v>16.67</v>
      </c>
      <c r="X15" s="34">
        <v>2.0</v>
      </c>
      <c r="Y15" s="34">
        <v>8.07</v>
      </c>
      <c r="Z15" s="34">
        <v>16.14</v>
      </c>
      <c r="AA15" s="34">
        <v>2.0</v>
      </c>
      <c r="AB15" s="34">
        <v>12.99</v>
      </c>
      <c r="AC15" s="34">
        <v>77.95</v>
      </c>
      <c r="AD15" s="34">
        <v>6.0</v>
      </c>
      <c r="AE15" s="34">
        <v>17.17</v>
      </c>
      <c r="AF15" s="34">
        <v>1.0</v>
      </c>
      <c r="AG15" s="34">
        <v>19.4</v>
      </c>
      <c r="AH15" s="34">
        <f>SUMIFS(historical_events_FACT!J:J,historical_events_FACT!G:G,B15,historical_events_FACT!C:C,11,historical_events_FACT!B:B,2016)</f>
        <v>19.4</v>
      </c>
      <c r="AI15" s="34">
        <f t="array" ref="AI15">XLOOKUP(B15,Sheet25!A:A,Sheet25!B:B)</f>
        <v>27500</v>
      </c>
      <c r="AJ15" s="34">
        <v>7.0</v>
      </c>
      <c r="AK15" s="35" t="s">
        <v>246</v>
      </c>
      <c r="AL15" s="39">
        <v>29.4</v>
      </c>
    </row>
    <row r="16">
      <c r="A16" s="34">
        <v>1.0</v>
      </c>
      <c r="B16" s="35" t="s">
        <v>17</v>
      </c>
      <c r="D16" s="39" t="s">
        <v>247</v>
      </c>
      <c r="E16" s="33"/>
      <c r="F16" s="34">
        <v>0.0</v>
      </c>
      <c r="G16" s="71">
        <f t="shared" si="1"/>
        <v>0.3</v>
      </c>
      <c r="H16" s="34">
        <v>7.0</v>
      </c>
      <c r="I16" s="34">
        <v>0.4</v>
      </c>
      <c r="J16" s="34">
        <v>0.5</v>
      </c>
      <c r="K16" s="34">
        <v>34.0</v>
      </c>
      <c r="L16" s="34">
        <v>0.0</v>
      </c>
      <c r="M16" s="34">
        <v>0.0</v>
      </c>
      <c r="N16" s="35" t="s">
        <v>213</v>
      </c>
      <c r="O16" s="34">
        <v>99.0</v>
      </c>
      <c r="P16" s="34">
        <v>13.0</v>
      </c>
      <c r="Q16" s="34">
        <v>9.0</v>
      </c>
      <c r="R16" s="34">
        <v>0.0</v>
      </c>
      <c r="S16" s="34">
        <v>0.0</v>
      </c>
      <c r="T16" s="33">
        <f t="shared" si="2"/>
        <v>13.034</v>
      </c>
      <c r="U16" s="33">
        <f t="shared" si="3"/>
        <v>10</v>
      </c>
      <c r="V16" s="10">
        <v>12.0</v>
      </c>
      <c r="W16" s="10">
        <v>36.0</v>
      </c>
      <c r="X16" s="10">
        <v>3.0</v>
      </c>
      <c r="Y16" s="34">
        <v>13.7</v>
      </c>
      <c r="Z16" s="34">
        <v>68.51</v>
      </c>
      <c r="AA16" s="34">
        <v>5.0</v>
      </c>
      <c r="AB16" s="34">
        <v>12.92</v>
      </c>
      <c r="AC16" s="34">
        <v>25.83</v>
      </c>
      <c r="AD16" s="34">
        <v>2.0</v>
      </c>
      <c r="AE16" s="34">
        <v>15.8</v>
      </c>
      <c r="AF16" s="34">
        <v>0.0</v>
      </c>
      <c r="AG16" s="34">
        <v>20.84</v>
      </c>
      <c r="AH16" s="34">
        <f>SUMIFS(historical_events_FACT!J:J,historical_events_FACT!G:G,B16,historical_events_FACT!C:C,11,historical_events_FACT!B:B,2016)</f>
        <v>20.84</v>
      </c>
      <c r="AI16" s="34">
        <f t="array" ref="AI16">XLOOKUP(B16,Sheet25!A:A,Sheet25!B:B)</f>
        <v>26950</v>
      </c>
      <c r="AJ16" s="34">
        <v>2.0</v>
      </c>
      <c r="AK16" s="35" t="s">
        <v>245</v>
      </c>
      <c r="AL16" s="39">
        <v>82.32</v>
      </c>
    </row>
    <row r="17">
      <c r="A17" s="34">
        <v>1.0</v>
      </c>
      <c r="B17" s="35" t="s">
        <v>40</v>
      </c>
      <c r="D17" s="39" t="s">
        <v>244</v>
      </c>
      <c r="E17" s="33"/>
      <c r="F17" s="34">
        <v>0.0</v>
      </c>
      <c r="G17" s="71">
        <f t="shared" si="1"/>
        <v>0</v>
      </c>
      <c r="H17" s="34">
        <v>5.0</v>
      </c>
      <c r="I17" s="34">
        <v>0.0</v>
      </c>
      <c r="J17" s="34">
        <v>0.0</v>
      </c>
      <c r="K17" s="34">
        <v>39.0</v>
      </c>
      <c r="L17" s="34">
        <v>0.0</v>
      </c>
      <c r="M17" s="34">
        <v>0.0</v>
      </c>
      <c r="N17" s="35" t="s">
        <v>213</v>
      </c>
      <c r="O17" s="34">
        <v>99.0</v>
      </c>
      <c r="P17" s="34">
        <v>9.0</v>
      </c>
      <c r="Q17" s="34">
        <v>99.0</v>
      </c>
      <c r="R17" s="34">
        <v>0.0</v>
      </c>
      <c r="S17" s="34">
        <v>0.0</v>
      </c>
      <c r="T17" s="33">
        <f t="shared" si="2"/>
        <v>11.5225</v>
      </c>
      <c r="U17" s="33">
        <f t="shared" si="3"/>
        <v>12</v>
      </c>
      <c r="V17" s="10">
        <v>12.0</v>
      </c>
      <c r="W17" s="10">
        <v>36.0</v>
      </c>
      <c r="X17" s="10">
        <v>3.0</v>
      </c>
      <c r="Y17" s="3">
        <f>IF(Z17=0,0,ROUND(Z17/AA17,2))</f>
        <v>11.75</v>
      </c>
      <c r="Z17" s="10">
        <v>47.01</v>
      </c>
      <c r="AA17" s="10">
        <v>4.0</v>
      </c>
      <c r="AB17" s="34">
        <v>11.05</v>
      </c>
      <c r="AC17" s="34">
        <v>55.26</v>
      </c>
      <c r="AD17" s="34">
        <v>5.0</v>
      </c>
      <c r="AE17" s="34">
        <v>13.92</v>
      </c>
      <c r="AF17" s="34">
        <v>0.0</v>
      </c>
      <c r="AG17" s="34">
        <v>15.93</v>
      </c>
      <c r="AH17" s="34">
        <f>SUMIFS(historical_events_FACT!J:J,historical_events_FACT!G:G,B17,historical_events_FACT!C:C,11,historical_events_FACT!B:B,2016)</f>
        <v>15.93</v>
      </c>
      <c r="AI17" s="34">
        <f t="array" ref="AI17">XLOOKUP(B17,Sheet25!A:A,Sheet25!B:B)</f>
        <v>25200</v>
      </c>
      <c r="AJ17" s="34">
        <v>2.0</v>
      </c>
      <c r="AK17" s="35" t="s">
        <v>245</v>
      </c>
      <c r="AL17" s="39">
        <v>40.97</v>
      </c>
    </row>
    <row r="18">
      <c r="A18" s="34">
        <v>1.0</v>
      </c>
      <c r="B18" s="35" t="s">
        <v>41</v>
      </c>
      <c r="D18" s="39" t="s">
        <v>244</v>
      </c>
      <c r="E18" s="33"/>
      <c r="F18" s="34">
        <v>0.5</v>
      </c>
      <c r="G18" s="71">
        <f t="shared" si="1"/>
        <v>0.5333333333</v>
      </c>
      <c r="H18" s="34">
        <v>13.0</v>
      </c>
      <c r="I18" s="34">
        <v>0.6</v>
      </c>
      <c r="J18" s="34">
        <v>0.5</v>
      </c>
      <c r="K18" s="34">
        <v>22.0</v>
      </c>
      <c r="L18" s="34">
        <v>1.0</v>
      </c>
      <c r="M18" s="34">
        <v>1.0</v>
      </c>
      <c r="N18" s="35" t="s">
        <v>215</v>
      </c>
      <c r="O18" s="34">
        <v>5.0</v>
      </c>
      <c r="P18" s="34">
        <v>13.0</v>
      </c>
      <c r="Q18" s="34">
        <v>5.0</v>
      </c>
      <c r="R18" s="34">
        <v>1.0</v>
      </c>
      <c r="S18" s="34">
        <v>2.0</v>
      </c>
      <c r="T18" s="33">
        <f t="shared" si="2"/>
        <v>15.41461538</v>
      </c>
      <c r="U18" s="33">
        <f t="shared" si="3"/>
        <v>13</v>
      </c>
      <c r="V18" s="34">
        <v>15.13</v>
      </c>
      <c r="W18" s="34">
        <v>90.8</v>
      </c>
      <c r="X18" s="34">
        <v>6.0</v>
      </c>
      <c r="Y18" s="34">
        <v>15.97</v>
      </c>
      <c r="Z18" s="34">
        <v>79.85</v>
      </c>
      <c r="AA18" s="34">
        <v>5.0</v>
      </c>
      <c r="AB18" s="34">
        <v>14.87</v>
      </c>
      <c r="AC18" s="34">
        <v>29.74</v>
      </c>
      <c r="AD18" s="34">
        <v>2.0</v>
      </c>
      <c r="AE18" s="34">
        <v>19.6</v>
      </c>
      <c r="AF18" s="34">
        <v>5.0</v>
      </c>
      <c r="AG18" s="34">
        <v>0.0</v>
      </c>
      <c r="AH18" s="34">
        <f>SUMIFS(historical_events_FACT!J:J,historical_events_FACT!G:G,B18,historical_events_FACT!C:C,11,historical_events_FACT!B:B,2016)</f>
        <v>0</v>
      </c>
      <c r="AI18" s="34">
        <f t="array" ref="AI18">XLOOKUP(B18,Sheet25!A:A,Sheet25!B:B)</f>
        <v>25200</v>
      </c>
      <c r="AJ18" s="34">
        <v>15.0</v>
      </c>
      <c r="AK18" s="35" t="s">
        <v>246</v>
      </c>
      <c r="AL18" s="39">
        <v>28.27</v>
      </c>
    </row>
    <row r="19">
      <c r="A19" s="34">
        <v>1.0</v>
      </c>
      <c r="B19" s="35" t="s">
        <v>52</v>
      </c>
      <c r="D19" s="39" t="s">
        <v>244</v>
      </c>
      <c r="E19" s="33"/>
      <c r="F19" s="34">
        <v>0.0</v>
      </c>
      <c r="G19" s="71">
        <f t="shared" si="1"/>
        <v>0</v>
      </c>
      <c r="H19" s="34">
        <v>5.0</v>
      </c>
      <c r="I19" s="34">
        <v>0.0</v>
      </c>
      <c r="J19" s="34">
        <v>0.0</v>
      </c>
      <c r="K19" s="34">
        <v>38.0</v>
      </c>
      <c r="L19" s="34">
        <v>0.0</v>
      </c>
      <c r="M19" s="34">
        <v>0.0</v>
      </c>
      <c r="N19" s="35" t="s">
        <v>214</v>
      </c>
      <c r="O19" s="34">
        <v>99.0</v>
      </c>
      <c r="P19" s="34">
        <v>9.0</v>
      </c>
      <c r="Q19" s="34">
        <v>99.0</v>
      </c>
      <c r="R19" s="34">
        <v>0.0</v>
      </c>
      <c r="S19" s="34">
        <v>1.0</v>
      </c>
      <c r="T19" s="33">
        <f t="shared" si="2"/>
        <v>12.2375</v>
      </c>
      <c r="U19" s="33">
        <f t="shared" si="3"/>
        <v>12</v>
      </c>
      <c r="V19" s="10">
        <v>12.0</v>
      </c>
      <c r="W19" s="10">
        <v>36.0</v>
      </c>
      <c r="X19" s="10">
        <v>3.0</v>
      </c>
      <c r="Y19" s="3">
        <f t="shared" ref="Y19:Y21" si="4">IF(Z19=0,0,ROUND(Z19/AA19,2))</f>
        <v>11.75</v>
      </c>
      <c r="Z19" s="10">
        <v>47.01</v>
      </c>
      <c r="AA19" s="10">
        <v>4.0</v>
      </c>
      <c r="AB19" s="34">
        <v>12.77</v>
      </c>
      <c r="AC19" s="34">
        <v>63.84</v>
      </c>
      <c r="AD19" s="34">
        <v>5.0</v>
      </c>
      <c r="AE19" s="34">
        <v>14.33</v>
      </c>
      <c r="AF19" s="34">
        <v>0.0</v>
      </c>
      <c r="AG19" s="34">
        <v>40.56999999999999</v>
      </c>
      <c r="AH19" s="34">
        <f>SUMIFS(historical_events_FACT!J:J,historical_events_FACT!G:G,B19,historical_events_FACT!C:C,11,historical_events_FACT!B:B,2016)</f>
        <v>40.57</v>
      </c>
      <c r="AI19" s="34">
        <f t="array" ref="AI19">XLOOKUP(B19,Sheet25!A:A,Sheet25!B:B)</f>
        <v>24700</v>
      </c>
      <c r="AJ19" s="34">
        <v>1.0</v>
      </c>
      <c r="AK19" s="35" t="s">
        <v>245</v>
      </c>
      <c r="AL19" s="39">
        <v>63.3</v>
      </c>
    </row>
    <row r="20">
      <c r="A20" s="34">
        <v>1.0</v>
      </c>
      <c r="B20" s="35" t="s">
        <v>36</v>
      </c>
      <c r="D20" s="39" t="s">
        <v>244</v>
      </c>
      <c r="E20" s="33"/>
      <c r="F20" s="34">
        <v>0.0</v>
      </c>
      <c r="G20" s="71">
        <f t="shared" si="1"/>
        <v>0</v>
      </c>
      <c r="H20" s="34">
        <v>7.0</v>
      </c>
      <c r="I20" s="34">
        <v>0.0</v>
      </c>
      <c r="J20" s="34">
        <v>0.0</v>
      </c>
      <c r="K20" s="34">
        <v>38.0</v>
      </c>
      <c r="L20" s="34">
        <v>0.0</v>
      </c>
      <c r="M20" s="34">
        <v>0.0</v>
      </c>
      <c r="N20" s="35" t="s">
        <v>214</v>
      </c>
      <c r="O20" s="34">
        <v>99.0</v>
      </c>
      <c r="P20" s="34">
        <v>3.0</v>
      </c>
      <c r="Q20" s="34">
        <v>99.0</v>
      </c>
      <c r="R20" s="34">
        <v>2.0</v>
      </c>
      <c r="S20" s="34">
        <v>7.0</v>
      </c>
      <c r="T20" s="33">
        <f t="shared" si="2"/>
        <v>13.19571429</v>
      </c>
      <c r="U20" s="33">
        <f t="shared" si="3"/>
        <v>14</v>
      </c>
      <c r="V20" s="10">
        <v>12.0</v>
      </c>
      <c r="W20" s="10">
        <v>36.0</v>
      </c>
      <c r="X20" s="10">
        <v>3.0</v>
      </c>
      <c r="Y20" s="3">
        <f t="shared" si="4"/>
        <v>11.75</v>
      </c>
      <c r="Z20" s="10">
        <v>47.01</v>
      </c>
      <c r="AA20" s="10">
        <v>4.0</v>
      </c>
      <c r="AB20" s="34">
        <v>14.53</v>
      </c>
      <c r="AC20" s="34">
        <v>101.73</v>
      </c>
      <c r="AD20" s="34">
        <v>7.0</v>
      </c>
      <c r="AE20" s="34">
        <v>17.67</v>
      </c>
      <c r="AF20" s="34">
        <v>2.0</v>
      </c>
      <c r="AG20" s="34">
        <v>11.73</v>
      </c>
      <c r="AH20" s="34">
        <f>SUMIFS(historical_events_FACT!J:J,historical_events_FACT!G:G,B20,historical_events_FACT!C:C,11,historical_events_FACT!B:B,2016)</f>
        <v>11.73</v>
      </c>
      <c r="AI20" s="34">
        <f t="array" ref="AI20">XLOOKUP(B20,Sheet25!A:A,Sheet25!B:B)</f>
        <v>24250</v>
      </c>
      <c r="AJ20" s="34">
        <v>1.0</v>
      </c>
      <c r="AK20" s="35" t="s">
        <v>245</v>
      </c>
      <c r="AL20" s="39">
        <v>37.17</v>
      </c>
    </row>
    <row r="21">
      <c r="A21" s="34">
        <v>1.0</v>
      </c>
      <c r="B21" s="39" t="s">
        <v>53</v>
      </c>
      <c r="D21" s="39" t="s">
        <v>244</v>
      </c>
      <c r="E21" s="33"/>
      <c r="F21" s="34">
        <v>0.0</v>
      </c>
      <c r="G21" s="71">
        <f t="shared" si="1"/>
        <v>0</v>
      </c>
      <c r="H21" s="34">
        <v>5.0</v>
      </c>
      <c r="I21" s="34">
        <v>0.0</v>
      </c>
      <c r="J21" s="34">
        <v>0.0</v>
      </c>
      <c r="K21" s="34">
        <v>36.0</v>
      </c>
      <c r="L21" s="34">
        <v>0.0</v>
      </c>
      <c r="M21" s="34">
        <v>0.0</v>
      </c>
      <c r="N21" s="35" t="s">
        <v>217</v>
      </c>
      <c r="O21" s="34">
        <v>99.0</v>
      </c>
      <c r="P21" s="34">
        <v>9.0</v>
      </c>
      <c r="Q21" s="34">
        <v>99.0</v>
      </c>
      <c r="R21" s="34">
        <v>0.0</v>
      </c>
      <c r="S21" s="34">
        <v>0.0</v>
      </c>
      <c r="T21" s="33">
        <f t="shared" si="2"/>
        <v>11.21583333</v>
      </c>
      <c r="U21" s="33">
        <f t="shared" si="3"/>
        <v>12</v>
      </c>
      <c r="V21" s="10">
        <v>12.0</v>
      </c>
      <c r="W21" s="10">
        <v>36.0</v>
      </c>
      <c r="X21" s="10">
        <v>3.0</v>
      </c>
      <c r="Y21" s="3">
        <f t="shared" si="4"/>
        <v>11.75</v>
      </c>
      <c r="Z21" s="10">
        <v>47.01</v>
      </c>
      <c r="AA21" s="10">
        <v>4.0</v>
      </c>
      <c r="AB21" s="34">
        <v>10.32</v>
      </c>
      <c r="AC21" s="34">
        <v>51.58</v>
      </c>
      <c r="AD21" s="34">
        <v>5.0</v>
      </c>
      <c r="AE21" s="34">
        <v>15.26</v>
      </c>
      <c r="AF21" s="34">
        <v>0.0</v>
      </c>
      <c r="AG21" s="34">
        <v>80.94000000000001</v>
      </c>
      <c r="AH21" s="34">
        <f>SUMIFS(historical_events_FACT!J:J,historical_events_FACT!G:G,B21,historical_events_FACT!C:C,11,historical_events_FACT!B:B,2016)</f>
        <v>80.94</v>
      </c>
      <c r="AI21" s="34">
        <f t="array" ref="AI21">XLOOKUP(B21,Sheet25!A:A,Sheet25!B:B)</f>
        <v>23650</v>
      </c>
      <c r="AJ21" s="34">
        <v>1.0</v>
      </c>
      <c r="AK21" s="35" t="s">
        <v>245</v>
      </c>
      <c r="AL21" s="39">
        <v>16.77</v>
      </c>
    </row>
    <row r="22">
      <c r="A22" s="34">
        <v>1.0</v>
      </c>
      <c r="B22" s="35" t="s">
        <v>54</v>
      </c>
      <c r="D22" s="39" t="s">
        <v>247</v>
      </c>
      <c r="E22" s="33"/>
      <c r="F22" s="34">
        <v>0.0</v>
      </c>
      <c r="G22" s="71">
        <f t="shared" si="1"/>
        <v>0.3333333333</v>
      </c>
      <c r="H22" s="34">
        <v>8.0</v>
      </c>
      <c r="I22" s="34">
        <v>0.5</v>
      </c>
      <c r="J22" s="34">
        <v>0.5</v>
      </c>
      <c r="K22" s="34">
        <v>32.0</v>
      </c>
      <c r="L22" s="34">
        <v>0.0</v>
      </c>
      <c r="M22" s="34">
        <v>0.0</v>
      </c>
      <c r="N22" s="35" t="s">
        <v>213</v>
      </c>
      <c r="O22" s="34">
        <v>99.0</v>
      </c>
      <c r="P22" s="34">
        <v>13.0</v>
      </c>
      <c r="Q22" s="34">
        <v>5.0</v>
      </c>
      <c r="R22" s="34">
        <v>1.0</v>
      </c>
      <c r="S22" s="34">
        <v>2.0</v>
      </c>
      <c r="T22" s="33">
        <f t="shared" si="2"/>
        <v>14.39090909</v>
      </c>
      <c r="U22" s="33">
        <f t="shared" si="3"/>
        <v>11</v>
      </c>
      <c r="V22" s="10">
        <v>12.0</v>
      </c>
      <c r="W22" s="10">
        <v>36.0</v>
      </c>
      <c r="X22" s="10">
        <v>3.0</v>
      </c>
      <c r="Y22" s="34">
        <v>15.2</v>
      </c>
      <c r="Z22" s="34">
        <v>91.34</v>
      </c>
      <c r="AA22" s="34">
        <v>6.0</v>
      </c>
      <c r="AB22" s="34">
        <v>15.48</v>
      </c>
      <c r="AC22" s="34">
        <v>30.96</v>
      </c>
      <c r="AD22" s="34">
        <v>2.0</v>
      </c>
      <c r="AE22" s="34">
        <v>17.34</v>
      </c>
      <c r="AF22" s="34">
        <v>3.0</v>
      </c>
      <c r="AG22" s="34">
        <v>18.66</v>
      </c>
      <c r="AH22" s="34">
        <f>SUMIFS(historical_events_FACT!J:J,historical_events_FACT!G:G,B22,historical_events_FACT!C:C,11,historical_events_FACT!B:B,2016)</f>
        <v>18.66</v>
      </c>
      <c r="AI22" s="34">
        <f t="array" ref="AI22">XLOOKUP(B22,Sheet25!A:A,Sheet25!B:B)</f>
        <v>22650</v>
      </c>
      <c r="AJ22" s="34">
        <v>2.0</v>
      </c>
      <c r="AK22" s="35" t="s">
        <v>245</v>
      </c>
      <c r="AL22" s="39">
        <v>24.0</v>
      </c>
    </row>
    <row r="23">
      <c r="A23" s="34">
        <v>1.0</v>
      </c>
      <c r="B23" s="35" t="s">
        <v>55</v>
      </c>
      <c r="D23" s="39" t="s">
        <v>247</v>
      </c>
      <c r="E23" s="33"/>
      <c r="F23" s="34">
        <v>0.5</v>
      </c>
      <c r="G23" s="71">
        <f t="shared" si="1"/>
        <v>0.39</v>
      </c>
      <c r="H23" s="34">
        <v>14.0</v>
      </c>
      <c r="I23" s="34">
        <v>0.67</v>
      </c>
      <c r="J23" s="34">
        <v>0.0</v>
      </c>
      <c r="K23" s="34">
        <v>33.0</v>
      </c>
      <c r="L23" s="34">
        <v>0.0</v>
      </c>
      <c r="M23" s="34">
        <v>0.0</v>
      </c>
      <c r="N23" s="35" t="s">
        <v>213</v>
      </c>
      <c r="O23" s="34">
        <v>5.0</v>
      </c>
      <c r="P23" s="34">
        <v>25.0</v>
      </c>
      <c r="Q23" s="34">
        <v>3.0</v>
      </c>
      <c r="R23" s="34">
        <v>0.0</v>
      </c>
      <c r="S23" s="34">
        <v>0.0</v>
      </c>
      <c r="T23" s="33">
        <f t="shared" si="2"/>
        <v>13.56214286</v>
      </c>
      <c r="U23" s="33">
        <f t="shared" si="3"/>
        <v>14</v>
      </c>
      <c r="V23" s="34">
        <v>13.84</v>
      </c>
      <c r="W23" s="34">
        <v>83.03</v>
      </c>
      <c r="X23" s="34">
        <v>6.0</v>
      </c>
      <c r="Y23" s="34">
        <v>14.22</v>
      </c>
      <c r="Z23" s="34">
        <v>85.3</v>
      </c>
      <c r="AA23" s="34">
        <v>6.0</v>
      </c>
      <c r="AB23" s="34">
        <v>10.77</v>
      </c>
      <c r="AC23" s="34">
        <v>21.54</v>
      </c>
      <c r="AD23" s="34">
        <v>2.0</v>
      </c>
      <c r="AE23" s="34">
        <v>17.23</v>
      </c>
      <c r="AF23" s="34">
        <v>3.0</v>
      </c>
      <c r="AG23" s="34">
        <v>20.14</v>
      </c>
      <c r="AH23" s="34">
        <f>SUMIFS(historical_events_FACT!J:J,historical_events_FACT!G:G,B23,historical_events_FACT!C:C,11,historical_events_FACT!B:B,2016)</f>
        <v>20.14</v>
      </c>
      <c r="AI23" s="34">
        <f t="array" ref="AI23">XLOOKUP(B23,Sheet25!A:A,Sheet25!B:B)</f>
        <v>22400</v>
      </c>
      <c r="AJ23" s="34">
        <v>6.0</v>
      </c>
      <c r="AK23" s="35" t="s">
        <v>246</v>
      </c>
      <c r="AL23" s="39">
        <v>41.08</v>
      </c>
    </row>
    <row r="24">
      <c r="A24" s="34">
        <v>1.0</v>
      </c>
      <c r="B24" s="35" t="s">
        <v>57</v>
      </c>
      <c r="D24" s="39" t="s">
        <v>247</v>
      </c>
      <c r="E24" s="33"/>
      <c r="F24" s="34">
        <v>0.33</v>
      </c>
      <c r="G24" s="71">
        <f t="shared" si="1"/>
        <v>0.22</v>
      </c>
      <c r="H24" s="34">
        <v>6.0</v>
      </c>
      <c r="I24" s="34">
        <v>0.33</v>
      </c>
      <c r="J24" s="34">
        <v>0.0</v>
      </c>
      <c r="K24" s="34">
        <v>0.0</v>
      </c>
      <c r="L24" s="34">
        <v>0.0</v>
      </c>
      <c r="M24" s="34">
        <v>1.0</v>
      </c>
      <c r="N24" s="35" t="s">
        <v>215</v>
      </c>
      <c r="O24" s="34">
        <v>13.0</v>
      </c>
      <c r="P24" s="34">
        <v>99.0</v>
      </c>
      <c r="Q24" s="34">
        <v>13.0</v>
      </c>
      <c r="R24" s="34">
        <v>0.0</v>
      </c>
      <c r="S24" s="34">
        <v>0.0</v>
      </c>
      <c r="T24" s="33">
        <f t="shared" si="2"/>
        <v>13.10777778</v>
      </c>
      <c r="U24" s="33">
        <f t="shared" si="3"/>
        <v>9</v>
      </c>
      <c r="V24" s="34">
        <v>12.62</v>
      </c>
      <c r="W24" s="34">
        <v>37.87</v>
      </c>
      <c r="X24" s="34">
        <v>3.0</v>
      </c>
      <c r="Y24" s="34">
        <v>13.37</v>
      </c>
      <c r="Z24" s="34">
        <v>40.1</v>
      </c>
      <c r="AA24" s="34">
        <v>3.0</v>
      </c>
      <c r="AB24" s="3">
        <f t="shared" ref="AB24:AB30" si="5">IF(AC24=0,0,ROUND(AC24/AD24,2))</f>
        <v>13.33</v>
      </c>
      <c r="AC24" s="10">
        <v>40.0</v>
      </c>
      <c r="AD24" s="10">
        <v>3.0</v>
      </c>
      <c r="AE24" s="34">
        <v>17.0</v>
      </c>
      <c r="AF24" s="34">
        <v>1.0</v>
      </c>
      <c r="AG24" s="34">
        <v>0.0</v>
      </c>
      <c r="AH24" s="34">
        <f>SUMIFS(historical_events_FACT!J:J,historical_events_FACT!G:G,B24,historical_events_FACT!C:C,11,historical_events_FACT!B:B,2016)</f>
        <v>0</v>
      </c>
      <c r="AI24" s="37">
        <v>0.0</v>
      </c>
      <c r="AJ24" s="34">
        <v>8.0</v>
      </c>
      <c r="AK24" s="35" t="s">
        <v>246</v>
      </c>
      <c r="AL24" s="39">
        <v>100.75</v>
      </c>
    </row>
    <row r="25">
      <c r="A25" s="34">
        <v>1.0</v>
      </c>
      <c r="B25" s="35" t="s">
        <v>59</v>
      </c>
      <c r="D25" s="39" t="s">
        <v>244</v>
      </c>
      <c r="E25" s="33"/>
      <c r="F25" s="34">
        <v>0.0</v>
      </c>
      <c r="G25" s="71">
        <f t="shared" si="1"/>
        <v>0.2</v>
      </c>
      <c r="H25" s="34">
        <v>5.0</v>
      </c>
      <c r="I25" s="34">
        <v>0.6</v>
      </c>
      <c r="J25" s="34">
        <v>0.0</v>
      </c>
      <c r="K25" s="34">
        <v>3.0</v>
      </c>
      <c r="L25" s="34">
        <v>0.0</v>
      </c>
      <c r="M25" s="34">
        <v>1.0</v>
      </c>
      <c r="N25" s="35" t="s">
        <v>215</v>
      </c>
      <c r="O25" s="34">
        <v>25.0</v>
      </c>
      <c r="P25" s="34">
        <v>99.0</v>
      </c>
      <c r="Q25" s="34">
        <v>5.0</v>
      </c>
      <c r="R25" s="34">
        <v>0.0</v>
      </c>
      <c r="S25" s="34">
        <v>0.0</v>
      </c>
      <c r="T25" s="33">
        <f t="shared" si="2"/>
        <v>14.533</v>
      </c>
      <c r="U25" s="33">
        <f t="shared" si="3"/>
        <v>10</v>
      </c>
      <c r="V25" s="34">
        <v>12.89</v>
      </c>
      <c r="W25" s="34">
        <v>25.77</v>
      </c>
      <c r="X25" s="34">
        <v>2.0</v>
      </c>
      <c r="Y25" s="34">
        <v>15.91</v>
      </c>
      <c r="Z25" s="34">
        <v>79.56</v>
      </c>
      <c r="AA25" s="34">
        <v>5.0</v>
      </c>
      <c r="AB25" s="3">
        <f t="shared" si="5"/>
        <v>13.33</v>
      </c>
      <c r="AC25" s="10">
        <v>40.0</v>
      </c>
      <c r="AD25" s="10">
        <v>3.0</v>
      </c>
      <c r="AE25" s="34">
        <v>19.4</v>
      </c>
      <c r="AF25" s="34">
        <v>2.0</v>
      </c>
      <c r="AG25" s="34">
        <v>23.54</v>
      </c>
      <c r="AH25" s="34">
        <f>SUMIFS(historical_events_FACT!J:J,historical_events_FACT!G:G,B25,historical_events_FACT!C:C,11,historical_events_FACT!B:B,2016)</f>
        <v>23.54</v>
      </c>
      <c r="AI25" s="37">
        <v>0.0</v>
      </c>
      <c r="AJ25" s="34">
        <v>12.0</v>
      </c>
      <c r="AK25" s="35" t="s">
        <v>246</v>
      </c>
      <c r="AL25" s="39">
        <v>28.17</v>
      </c>
    </row>
    <row r="26">
      <c r="A26" s="34">
        <v>1.0</v>
      </c>
      <c r="B26" s="35" t="s">
        <v>61</v>
      </c>
      <c r="D26" s="39" t="s">
        <v>247</v>
      </c>
      <c r="E26" s="33"/>
      <c r="F26" s="34">
        <v>0.0</v>
      </c>
      <c r="G26" s="71">
        <f t="shared" si="1"/>
        <v>0</v>
      </c>
      <c r="H26" s="34">
        <v>0.0</v>
      </c>
      <c r="I26" s="34">
        <v>0.0</v>
      </c>
      <c r="J26" s="34">
        <v>0.0</v>
      </c>
      <c r="K26" s="34">
        <v>0.0</v>
      </c>
      <c r="L26" s="34">
        <v>0.0</v>
      </c>
      <c r="M26" s="34">
        <v>1.0</v>
      </c>
      <c r="N26" s="35" t="s">
        <v>218</v>
      </c>
      <c r="O26" s="34">
        <v>99.0</v>
      </c>
      <c r="P26" s="34">
        <v>99.0</v>
      </c>
      <c r="Q26" s="34">
        <v>99.0</v>
      </c>
      <c r="R26" s="34">
        <v>0.0</v>
      </c>
      <c r="S26" s="34">
        <v>0.0</v>
      </c>
      <c r="T26" s="39">
        <v>0.0</v>
      </c>
      <c r="U26" s="33">
        <f t="shared" si="3"/>
        <v>10</v>
      </c>
      <c r="V26" s="10">
        <v>12.0</v>
      </c>
      <c r="W26" s="10">
        <v>36.0</v>
      </c>
      <c r="X26" s="10">
        <v>3.0</v>
      </c>
      <c r="Y26" s="3">
        <f t="shared" ref="Y26:Y30" si="6">IF(Z26=0,0,ROUND(Z26/AA26,2))</f>
        <v>11.75</v>
      </c>
      <c r="Z26" s="10">
        <v>47.01</v>
      </c>
      <c r="AA26" s="10">
        <v>4.0</v>
      </c>
      <c r="AB26" s="3">
        <f t="shared" si="5"/>
        <v>13.33</v>
      </c>
      <c r="AC26" s="10">
        <v>40.0</v>
      </c>
      <c r="AD26" s="10">
        <v>3.0</v>
      </c>
      <c r="AE26" s="34">
        <v>15.03</v>
      </c>
      <c r="AF26" s="34">
        <v>0.0</v>
      </c>
      <c r="AG26" s="34">
        <v>0.0</v>
      </c>
      <c r="AH26" s="34">
        <f>SUMIFS(historical_events_FACT!J:J,historical_events_FACT!G:G,B26,historical_events_FACT!C:C,11,historical_events_FACT!B:B,2016)</f>
        <v>0</v>
      </c>
      <c r="AI26" s="34">
        <f t="array" ref="AI26">XLOOKUP(B26,Sheet25!A:A,Sheet25!B:B)</f>
        <v>24025</v>
      </c>
      <c r="AJ26" s="34">
        <v>0.0</v>
      </c>
      <c r="AK26" s="35" t="s">
        <v>248</v>
      </c>
      <c r="AL26" s="39">
        <v>60.69</v>
      </c>
    </row>
    <row r="27">
      <c r="A27" s="34">
        <v>1.0</v>
      </c>
      <c r="B27" s="35" t="s">
        <v>63</v>
      </c>
      <c r="D27" s="39" t="s">
        <v>244</v>
      </c>
      <c r="E27" s="33"/>
      <c r="F27" s="34">
        <v>0.0</v>
      </c>
      <c r="G27" s="71">
        <f t="shared" si="1"/>
        <v>0</v>
      </c>
      <c r="H27" s="34">
        <v>0.0</v>
      </c>
      <c r="I27" s="34">
        <v>0.0</v>
      </c>
      <c r="J27" s="34">
        <v>0.0</v>
      </c>
      <c r="K27" s="34">
        <v>0.0</v>
      </c>
      <c r="L27" s="34">
        <v>0.0</v>
      </c>
      <c r="M27" s="34">
        <v>1.0</v>
      </c>
      <c r="N27" s="35" t="s">
        <v>215</v>
      </c>
      <c r="O27" s="34">
        <v>99.0</v>
      </c>
      <c r="P27" s="34">
        <v>99.0</v>
      </c>
      <c r="Q27" s="34">
        <v>99.0</v>
      </c>
      <c r="R27" s="34">
        <v>0.0</v>
      </c>
      <c r="S27" s="34">
        <v>0.0</v>
      </c>
      <c r="T27" s="39">
        <v>0.0</v>
      </c>
      <c r="U27" s="33">
        <f t="shared" si="3"/>
        <v>10</v>
      </c>
      <c r="V27" s="10">
        <v>12.0</v>
      </c>
      <c r="W27" s="10">
        <v>36.0</v>
      </c>
      <c r="X27" s="10">
        <v>3.0</v>
      </c>
      <c r="Y27" s="3">
        <f t="shared" si="6"/>
        <v>11.75</v>
      </c>
      <c r="Z27" s="10">
        <v>47.01</v>
      </c>
      <c r="AA27" s="10">
        <v>4.0</v>
      </c>
      <c r="AB27" s="3">
        <f t="shared" si="5"/>
        <v>13.33</v>
      </c>
      <c r="AC27" s="10">
        <v>40.0</v>
      </c>
      <c r="AD27" s="10">
        <v>3.0</v>
      </c>
      <c r="AE27" s="34">
        <v>15.27</v>
      </c>
      <c r="AF27" s="34">
        <v>0.0</v>
      </c>
      <c r="AG27" s="34">
        <v>0.0</v>
      </c>
      <c r="AH27" s="34">
        <f>SUMIFS(historical_events_FACT!J:J,historical_events_FACT!G:G,B27,historical_events_FACT!C:C,11,historical_events_FACT!B:B,2016)</f>
        <v>0</v>
      </c>
      <c r="AI27" s="34">
        <f t="array" ref="AI27">XLOOKUP(B27,Sheet25!A:A,Sheet25!B:B)</f>
        <v>23400</v>
      </c>
      <c r="AJ27" s="34">
        <v>0.0</v>
      </c>
      <c r="AK27" s="35" t="s">
        <v>248</v>
      </c>
      <c r="AL27" s="39">
        <v>28.64</v>
      </c>
    </row>
    <row r="28">
      <c r="A28" s="34">
        <v>1.0</v>
      </c>
      <c r="B28" s="35" t="s">
        <v>64</v>
      </c>
      <c r="D28" s="39" t="s">
        <v>244</v>
      </c>
      <c r="E28" s="33"/>
      <c r="F28" s="34">
        <v>0.0</v>
      </c>
      <c r="G28" s="71">
        <f t="shared" si="1"/>
        <v>0</v>
      </c>
      <c r="H28" s="34">
        <v>0.0</v>
      </c>
      <c r="I28" s="34">
        <v>0.0</v>
      </c>
      <c r="J28" s="34">
        <v>0.0</v>
      </c>
      <c r="K28" s="34">
        <v>4.0</v>
      </c>
      <c r="L28" s="34">
        <v>0.0</v>
      </c>
      <c r="M28" s="34">
        <v>0.0</v>
      </c>
      <c r="N28" s="35" t="s">
        <v>219</v>
      </c>
      <c r="O28" s="34">
        <v>99.0</v>
      </c>
      <c r="P28" s="34">
        <v>99.0</v>
      </c>
      <c r="Q28" s="34">
        <v>99.0</v>
      </c>
      <c r="R28" s="34">
        <v>0.0</v>
      </c>
      <c r="S28" s="34">
        <v>0.0</v>
      </c>
      <c r="T28" s="39">
        <v>0.0</v>
      </c>
      <c r="U28" s="33">
        <f t="shared" si="3"/>
        <v>10</v>
      </c>
      <c r="V28" s="10">
        <v>12.0</v>
      </c>
      <c r="W28" s="10">
        <v>36.0</v>
      </c>
      <c r="X28" s="10">
        <v>3.0</v>
      </c>
      <c r="Y28" s="3">
        <f t="shared" si="6"/>
        <v>11.75</v>
      </c>
      <c r="Z28" s="10">
        <v>47.01</v>
      </c>
      <c r="AA28" s="10">
        <v>4.0</v>
      </c>
      <c r="AB28" s="3">
        <f t="shared" si="5"/>
        <v>13.33</v>
      </c>
      <c r="AC28" s="10">
        <v>40.0</v>
      </c>
      <c r="AD28" s="10">
        <v>3.0</v>
      </c>
      <c r="AE28" s="34">
        <v>15.7</v>
      </c>
      <c r="AF28" s="34">
        <v>0.0</v>
      </c>
      <c r="AG28" s="34">
        <v>21.439999999999998</v>
      </c>
      <c r="AH28" s="34">
        <f>SUMIFS(historical_events_FACT!J:J,historical_events_FACT!G:G,B28,historical_events_FACT!C:C,11,historical_events_FACT!B:B,2016)</f>
        <v>21.44</v>
      </c>
      <c r="AI28" s="34">
        <f t="array" ref="AI28">XLOOKUP(B28,Sheet25!A:A,Sheet25!B:B)</f>
        <v>22910</v>
      </c>
      <c r="AJ28" s="34">
        <v>0.0</v>
      </c>
      <c r="AK28" s="35" t="s">
        <v>248</v>
      </c>
      <c r="AL28" s="39">
        <v>28.87</v>
      </c>
    </row>
    <row r="29">
      <c r="A29" s="34">
        <v>1.0</v>
      </c>
      <c r="B29" s="35" t="s">
        <v>65</v>
      </c>
      <c r="D29" s="39" t="s">
        <v>247</v>
      </c>
      <c r="E29" s="33"/>
      <c r="F29" s="34">
        <v>0.0</v>
      </c>
      <c r="G29" s="71">
        <f t="shared" si="1"/>
        <v>0</v>
      </c>
      <c r="H29" s="34">
        <v>0.0</v>
      </c>
      <c r="I29" s="34">
        <v>0.0</v>
      </c>
      <c r="J29" s="34">
        <v>0.0</v>
      </c>
      <c r="K29" s="34">
        <v>2.0</v>
      </c>
      <c r="L29" s="34">
        <v>0.0</v>
      </c>
      <c r="M29" s="34">
        <v>0.0</v>
      </c>
      <c r="N29" s="35" t="s">
        <v>220</v>
      </c>
      <c r="O29" s="34">
        <v>99.0</v>
      </c>
      <c r="P29" s="34">
        <v>99.0</v>
      </c>
      <c r="Q29" s="34">
        <v>99.0</v>
      </c>
      <c r="R29" s="34">
        <v>0.0</v>
      </c>
      <c r="S29" s="34">
        <v>0.0</v>
      </c>
      <c r="T29" s="39">
        <v>0.0</v>
      </c>
      <c r="U29" s="33">
        <f t="shared" si="3"/>
        <v>10</v>
      </c>
      <c r="V29" s="10">
        <v>12.0</v>
      </c>
      <c r="W29" s="10">
        <v>36.0</v>
      </c>
      <c r="X29" s="10">
        <v>3.0</v>
      </c>
      <c r="Y29" s="3">
        <f t="shared" si="6"/>
        <v>11.75</v>
      </c>
      <c r="Z29" s="10">
        <v>47.01</v>
      </c>
      <c r="AA29" s="10">
        <v>4.0</v>
      </c>
      <c r="AB29" s="3">
        <f t="shared" si="5"/>
        <v>13.33</v>
      </c>
      <c r="AC29" s="10">
        <v>40.0</v>
      </c>
      <c r="AD29" s="10">
        <v>3.0</v>
      </c>
      <c r="AE29" s="34">
        <v>16.4</v>
      </c>
      <c r="AF29" s="34">
        <v>0.0</v>
      </c>
      <c r="AG29" s="34">
        <v>0.0</v>
      </c>
      <c r="AH29" s="34">
        <f>SUMIFS(historical_events_FACT!J:J,historical_events_FACT!G:G,B29,historical_events_FACT!C:C,11,historical_events_FACT!B:B,2016)</f>
        <v>0</v>
      </c>
      <c r="AI29" s="34">
        <f t="array" ref="AI29">XLOOKUP(B29,Sheet25!A:A,Sheet25!B:B)</f>
        <v>22500</v>
      </c>
      <c r="AJ29" s="34">
        <v>0.0</v>
      </c>
      <c r="AK29" s="35" t="s">
        <v>248</v>
      </c>
      <c r="AL29" s="39">
        <v>26.93</v>
      </c>
    </row>
    <row r="30">
      <c r="A30" s="34">
        <v>1.0</v>
      </c>
      <c r="B30" s="39" t="s">
        <v>66</v>
      </c>
      <c r="D30" s="39" t="s">
        <v>244</v>
      </c>
      <c r="E30" s="33"/>
      <c r="F30" s="34">
        <v>0.0</v>
      </c>
      <c r="G30" s="71">
        <f t="shared" si="1"/>
        <v>0</v>
      </c>
      <c r="H30" s="34">
        <v>0.0</v>
      </c>
      <c r="I30" s="34">
        <v>0.0</v>
      </c>
      <c r="J30" s="34">
        <v>0.0</v>
      </c>
      <c r="K30" s="34">
        <v>10.0</v>
      </c>
      <c r="L30" s="34">
        <v>0.0</v>
      </c>
      <c r="M30" s="34">
        <v>0.0</v>
      </c>
      <c r="N30" s="35" t="s">
        <v>221</v>
      </c>
      <c r="O30" s="34">
        <v>99.0</v>
      </c>
      <c r="P30" s="34">
        <v>99.0</v>
      </c>
      <c r="Q30" s="34">
        <v>99.0</v>
      </c>
      <c r="R30" s="34">
        <v>0.0</v>
      </c>
      <c r="S30" s="34">
        <v>0.0</v>
      </c>
      <c r="T30" s="39">
        <v>0.0</v>
      </c>
      <c r="U30" s="33">
        <f t="shared" si="3"/>
        <v>10</v>
      </c>
      <c r="V30" s="10">
        <v>12.0</v>
      </c>
      <c r="W30" s="10">
        <v>36.0</v>
      </c>
      <c r="X30" s="10">
        <v>3.0</v>
      </c>
      <c r="Y30" s="3">
        <f t="shared" si="6"/>
        <v>11.75</v>
      </c>
      <c r="Z30" s="10">
        <v>47.01</v>
      </c>
      <c r="AA30" s="10">
        <v>4.0</v>
      </c>
      <c r="AB30" s="3">
        <f t="shared" si="5"/>
        <v>13.33</v>
      </c>
      <c r="AC30" s="10">
        <v>40.0</v>
      </c>
      <c r="AD30" s="10">
        <v>3.0</v>
      </c>
      <c r="AE30" s="34">
        <v>15.0</v>
      </c>
      <c r="AF30" s="34">
        <v>0.0</v>
      </c>
      <c r="AG30" s="34">
        <v>0.0</v>
      </c>
      <c r="AH30" s="34">
        <f>SUMIFS(historical_events_FACT!J:J,historical_events_FACT!G:G,B30,historical_events_FACT!C:C,11,historical_events_FACT!B:B,2016)</f>
        <v>0</v>
      </c>
      <c r="AI30" s="34">
        <f t="array" ref="AI30">XLOOKUP(B30,Sheet25!A:A,Sheet25!B:B)</f>
        <v>20800</v>
      </c>
      <c r="AJ30" s="34">
        <v>0.0</v>
      </c>
      <c r="AK30" s="35" t="s">
        <v>248</v>
      </c>
      <c r="AL30" s="39">
        <v>23.77</v>
      </c>
    </row>
    <row r="31">
      <c r="A31" s="34">
        <v>1.0</v>
      </c>
      <c r="B31" s="35" t="s">
        <v>50</v>
      </c>
      <c r="D31" s="39" t="s">
        <v>244</v>
      </c>
      <c r="E31" s="33"/>
      <c r="F31" s="34">
        <v>0.5</v>
      </c>
      <c r="G31" s="71">
        <f t="shared" si="1"/>
        <v>0.3333333333</v>
      </c>
      <c r="H31" s="34">
        <v>6.0</v>
      </c>
      <c r="I31" s="34">
        <v>0.0</v>
      </c>
      <c r="J31" s="34">
        <v>0.5</v>
      </c>
      <c r="K31" s="34">
        <v>29.0</v>
      </c>
      <c r="L31" s="34">
        <v>0.0</v>
      </c>
      <c r="M31" s="34">
        <v>0.0</v>
      </c>
      <c r="N31" s="35" t="s">
        <v>220</v>
      </c>
      <c r="O31" s="34">
        <v>25.0</v>
      </c>
      <c r="P31" s="34">
        <v>13.0</v>
      </c>
      <c r="Q31" s="34">
        <v>25.0</v>
      </c>
      <c r="R31" s="34">
        <v>0.0</v>
      </c>
      <c r="S31" s="34">
        <v>1.0</v>
      </c>
      <c r="T31" s="33">
        <f t="shared" ref="T31:T32" si="7">SUM(W31,Z31,AC31)/SUM(X31,AA31,AD31)</f>
        <v>12.67</v>
      </c>
      <c r="U31" s="33">
        <f t="shared" si="3"/>
        <v>6</v>
      </c>
      <c r="V31" s="34">
        <v>9.55</v>
      </c>
      <c r="W31" s="34">
        <v>19.09</v>
      </c>
      <c r="X31" s="34">
        <v>2.0</v>
      </c>
      <c r="Y31" s="34">
        <v>14.1</v>
      </c>
      <c r="Z31" s="34">
        <v>28.2</v>
      </c>
      <c r="AA31" s="34">
        <v>2.0</v>
      </c>
      <c r="AB31" s="34">
        <v>14.37</v>
      </c>
      <c r="AC31" s="34">
        <v>28.73</v>
      </c>
      <c r="AD31" s="34">
        <v>2.0</v>
      </c>
      <c r="AE31" s="34">
        <v>15.5</v>
      </c>
      <c r="AF31" s="34">
        <v>0.0</v>
      </c>
      <c r="AG31" s="34">
        <v>60.84</v>
      </c>
      <c r="AH31" s="34">
        <f>SUMIFS(historical_events_FACT!J:J,historical_events_FACT!G:G,B31,historical_events_FACT!C:C,11,historical_events_FACT!B:B,2016)</f>
        <v>60.84</v>
      </c>
      <c r="AI31" s="34">
        <f t="array" ref="AI31">XLOOKUP(B31,Sheet25!A:A,Sheet25!B:B)</f>
        <v>20650</v>
      </c>
      <c r="AJ31" s="34">
        <v>10.0</v>
      </c>
      <c r="AK31" s="35" t="s">
        <v>246</v>
      </c>
      <c r="AL31" s="39">
        <v>28.73</v>
      </c>
    </row>
    <row r="32">
      <c r="A32" s="34">
        <v>1.0</v>
      </c>
      <c r="B32" s="35" t="s">
        <v>35</v>
      </c>
      <c r="D32" s="39" t="s">
        <v>247</v>
      </c>
      <c r="E32" s="33"/>
      <c r="F32" s="34">
        <v>0.33</v>
      </c>
      <c r="G32" s="71">
        <f t="shared" si="1"/>
        <v>0.22</v>
      </c>
      <c r="H32" s="34">
        <v>8.0</v>
      </c>
      <c r="I32" s="34">
        <v>0.0</v>
      </c>
      <c r="J32" s="34">
        <v>0.33</v>
      </c>
      <c r="K32" s="34">
        <v>29.0</v>
      </c>
      <c r="L32" s="34">
        <v>0.0</v>
      </c>
      <c r="M32" s="34">
        <v>0.0</v>
      </c>
      <c r="N32" s="35" t="s">
        <v>213</v>
      </c>
      <c r="O32" s="34">
        <v>13.0</v>
      </c>
      <c r="P32" s="34">
        <v>99.0</v>
      </c>
      <c r="Q32" s="34">
        <v>25.0</v>
      </c>
      <c r="R32" s="34">
        <v>0.0</v>
      </c>
      <c r="S32" s="34">
        <v>0.0</v>
      </c>
      <c r="T32" s="33">
        <f t="shared" si="7"/>
        <v>11.55375</v>
      </c>
      <c r="U32" s="33">
        <f t="shared" si="3"/>
        <v>8</v>
      </c>
      <c r="V32" s="34">
        <v>10.49</v>
      </c>
      <c r="W32" s="34">
        <v>31.47</v>
      </c>
      <c r="X32" s="34">
        <v>3.0</v>
      </c>
      <c r="Y32" s="34">
        <v>11.24</v>
      </c>
      <c r="Z32" s="34">
        <v>22.57</v>
      </c>
      <c r="AA32" s="34">
        <v>2.0</v>
      </c>
      <c r="AB32" s="34">
        <v>12.8</v>
      </c>
      <c r="AC32" s="34">
        <v>38.39</v>
      </c>
      <c r="AD32" s="34">
        <v>3.0</v>
      </c>
      <c r="AE32" s="34">
        <v>15.8</v>
      </c>
      <c r="AF32" s="34">
        <v>0.0</v>
      </c>
      <c r="AG32" s="34">
        <v>16.27</v>
      </c>
      <c r="AH32" s="34">
        <f>SUMIFS(historical_events_FACT!J:J,historical_events_FACT!G:G,B32,historical_events_FACT!C:C,11,historical_events_FACT!B:B,2016)</f>
        <v>16.27</v>
      </c>
      <c r="AI32" s="34">
        <f t="array" ref="AI32">XLOOKUP(B32,Sheet25!A:A,Sheet25!B:B)</f>
        <v>19700</v>
      </c>
      <c r="AJ32" s="34">
        <v>7.0</v>
      </c>
      <c r="AK32" s="35" t="s">
        <v>246</v>
      </c>
      <c r="AL32" s="39">
        <v>24.3</v>
      </c>
    </row>
    <row r="33">
      <c r="A33" s="34">
        <v>1.0</v>
      </c>
      <c r="B33" s="35" t="s">
        <v>67</v>
      </c>
      <c r="D33" s="39" t="s">
        <v>247</v>
      </c>
      <c r="E33" s="33"/>
      <c r="F33" s="34">
        <v>0.0</v>
      </c>
      <c r="G33" s="71">
        <f t="shared" si="1"/>
        <v>0</v>
      </c>
      <c r="H33" s="34">
        <v>0.0</v>
      </c>
      <c r="I33" s="34">
        <v>0.0</v>
      </c>
      <c r="J33" s="34">
        <v>0.0</v>
      </c>
      <c r="K33" s="34">
        <v>0.0</v>
      </c>
      <c r="L33" s="34">
        <v>0.0</v>
      </c>
      <c r="M33" s="34">
        <v>0.0</v>
      </c>
      <c r="N33" s="35" t="s">
        <v>213</v>
      </c>
      <c r="O33" s="34">
        <v>99.0</v>
      </c>
      <c r="P33" s="34">
        <v>99.0</v>
      </c>
      <c r="Q33" s="34">
        <v>99.0</v>
      </c>
      <c r="R33" s="34">
        <v>0.0</v>
      </c>
      <c r="S33" s="34">
        <v>0.0</v>
      </c>
      <c r="T33" s="39">
        <v>0.0</v>
      </c>
      <c r="U33" s="33">
        <f t="shared" si="3"/>
        <v>10</v>
      </c>
      <c r="V33" s="10">
        <v>12.0</v>
      </c>
      <c r="W33" s="10">
        <v>36.0</v>
      </c>
      <c r="X33" s="10">
        <v>3.0</v>
      </c>
      <c r="Y33" s="3">
        <f>IF(Z33=0,0,ROUND(Z33/AA33,2))</f>
        <v>11.75</v>
      </c>
      <c r="Z33" s="10">
        <v>47.01</v>
      </c>
      <c r="AA33" s="10">
        <v>4.0</v>
      </c>
      <c r="AB33" s="3">
        <f>IF(AC33=0,0,ROUND(AC33/AD33,2))</f>
        <v>13.33</v>
      </c>
      <c r="AC33" s="10">
        <v>40.0</v>
      </c>
      <c r="AD33" s="10">
        <v>3.0</v>
      </c>
      <c r="AE33" s="34">
        <v>14.56</v>
      </c>
      <c r="AF33" s="34">
        <v>0.0</v>
      </c>
      <c r="AG33" s="34">
        <v>0.0</v>
      </c>
      <c r="AH33" s="34">
        <f>SUMIFS(historical_events_FACT!J:J,historical_events_FACT!G:G,B33,historical_events_FACT!C:C,11,historical_events_FACT!B:B,2016)</f>
        <v>0</v>
      </c>
      <c r="AI33" s="34">
        <f t="array" ref="AI33">XLOOKUP(B33,Sheet25!A:A,Sheet25!B:B)</f>
        <v>19450</v>
      </c>
      <c r="AJ33" s="34">
        <v>0.0</v>
      </c>
      <c r="AK33" s="35" t="s">
        <v>248</v>
      </c>
      <c r="AL33" s="39">
        <v>34.26</v>
      </c>
    </row>
    <row r="34">
      <c r="A34" s="34">
        <v>1.0</v>
      </c>
      <c r="B34" s="35" t="s">
        <v>68</v>
      </c>
      <c r="D34" s="39" t="s">
        <v>244</v>
      </c>
      <c r="E34" s="33"/>
      <c r="F34" s="34">
        <v>0.0</v>
      </c>
      <c r="G34" s="71">
        <f t="shared" si="1"/>
        <v>0</v>
      </c>
      <c r="H34" s="34">
        <v>4.0</v>
      </c>
      <c r="I34" s="34">
        <v>0.0</v>
      </c>
      <c r="J34" s="34">
        <v>0.0</v>
      </c>
      <c r="K34" s="34">
        <v>25.0</v>
      </c>
      <c r="L34" s="34">
        <v>0.0</v>
      </c>
      <c r="M34" s="34">
        <v>1.0</v>
      </c>
      <c r="N34" s="35" t="s">
        <v>215</v>
      </c>
      <c r="O34" s="34">
        <v>99.0</v>
      </c>
      <c r="P34" s="34">
        <v>25.0</v>
      </c>
      <c r="Q34" s="34">
        <v>25.0</v>
      </c>
      <c r="R34" s="34">
        <v>0.0</v>
      </c>
      <c r="S34" s="34">
        <v>0.0</v>
      </c>
      <c r="T34" s="33">
        <f>SUM(W34,Z34,AC34)/SUM(X34,AA34,AD34)</f>
        <v>12.36857143</v>
      </c>
      <c r="U34" s="33">
        <f t="shared" si="3"/>
        <v>7</v>
      </c>
      <c r="V34" s="10">
        <v>12.0</v>
      </c>
      <c r="W34" s="10">
        <v>36.0</v>
      </c>
      <c r="X34" s="10">
        <v>3.0</v>
      </c>
      <c r="Y34" s="34">
        <v>13.23</v>
      </c>
      <c r="Z34" s="34">
        <v>26.46</v>
      </c>
      <c r="AA34" s="34">
        <v>2.0</v>
      </c>
      <c r="AB34" s="34">
        <v>12.12</v>
      </c>
      <c r="AC34" s="34">
        <v>24.12</v>
      </c>
      <c r="AD34" s="34">
        <v>2.0</v>
      </c>
      <c r="AE34" s="34">
        <v>15.83</v>
      </c>
      <c r="AF34" s="34">
        <v>0.0</v>
      </c>
      <c r="AG34" s="34">
        <v>23.0</v>
      </c>
      <c r="AH34" s="34">
        <f>SUMIFS(historical_events_FACT!J:J,historical_events_FACT!G:G,B34,historical_events_FACT!C:C,11,historical_events_FACT!B:B,2016)</f>
        <v>23</v>
      </c>
      <c r="AI34" s="34">
        <f t="array" ref="AI34">XLOOKUP(B34,Sheet25!A:A,Sheet25!B:B)</f>
        <v>18800</v>
      </c>
      <c r="AJ34" s="34">
        <v>1.0</v>
      </c>
      <c r="AK34" s="35" t="s">
        <v>245</v>
      </c>
      <c r="AL34" s="39">
        <v>24.67</v>
      </c>
    </row>
    <row r="35">
      <c r="A35" s="34">
        <v>1.0</v>
      </c>
      <c r="B35" s="35" t="s">
        <v>69</v>
      </c>
      <c r="D35" s="39" t="s">
        <v>244</v>
      </c>
      <c r="E35" s="33"/>
      <c r="F35" s="34">
        <v>0.0</v>
      </c>
      <c r="G35" s="71">
        <f t="shared" si="1"/>
        <v>0</v>
      </c>
      <c r="H35" s="34">
        <v>0.0</v>
      </c>
      <c r="I35" s="34">
        <v>0.0</v>
      </c>
      <c r="J35" s="34">
        <v>0.0</v>
      </c>
      <c r="K35" s="34">
        <v>0.0</v>
      </c>
      <c r="L35" s="34">
        <v>0.0</v>
      </c>
      <c r="M35" s="34">
        <v>0.0</v>
      </c>
      <c r="N35" s="35" t="s">
        <v>211</v>
      </c>
      <c r="O35" s="34">
        <v>99.0</v>
      </c>
      <c r="P35" s="34">
        <v>99.0</v>
      </c>
      <c r="Q35" s="34">
        <v>99.0</v>
      </c>
      <c r="R35" s="34">
        <v>0.0</v>
      </c>
      <c r="S35" s="34">
        <v>0.0</v>
      </c>
      <c r="T35" s="39">
        <v>0.0</v>
      </c>
      <c r="U35" s="33">
        <f t="shared" si="3"/>
        <v>10</v>
      </c>
      <c r="V35" s="10">
        <v>12.0</v>
      </c>
      <c r="W35" s="10">
        <v>36.0</v>
      </c>
      <c r="X35" s="10">
        <v>3.0</v>
      </c>
      <c r="Y35" s="3">
        <f>IF(Z35=0,0,ROUND(Z35/AA35,2))</f>
        <v>11.75</v>
      </c>
      <c r="Z35" s="10">
        <v>47.01</v>
      </c>
      <c r="AA35" s="10">
        <v>4.0</v>
      </c>
      <c r="AB35" s="3">
        <f>IF(AC35=0,0,ROUND(AC35/AD35,2))</f>
        <v>13.33</v>
      </c>
      <c r="AC35" s="10">
        <v>40.0</v>
      </c>
      <c r="AD35" s="10">
        <v>3.0</v>
      </c>
      <c r="AE35" s="34">
        <v>15.75</v>
      </c>
      <c r="AF35" s="34">
        <v>0.0</v>
      </c>
      <c r="AG35" s="34">
        <v>0.0</v>
      </c>
      <c r="AH35" s="34">
        <f>SUMIFS(historical_events_FACT!J:J,historical_events_FACT!G:G,B35,historical_events_FACT!C:C,11,historical_events_FACT!B:B,2016)</f>
        <v>0</v>
      </c>
      <c r="AI35" s="34">
        <f t="array" ref="AI35">XLOOKUP(B35,Sheet25!A:A,Sheet25!B:B)</f>
        <v>18750</v>
      </c>
      <c r="AJ35" s="34">
        <v>0.0</v>
      </c>
      <c r="AK35" s="35" t="s">
        <v>248</v>
      </c>
      <c r="AL35" s="39">
        <v>40.03</v>
      </c>
    </row>
    <row r="36">
      <c r="A36" s="34">
        <v>1.0</v>
      </c>
      <c r="B36" s="35" t="s">
        <v>56</v>
      </c>
      <c r="D36" s="39" t="s">
        <v>247</v>
      </c>
      <c r="E36" s="33"/>
      <c r="F36" s="34">
        <v>0.5</v>
      </c>
      <c r="G36" s="71">
        <f t="shared" si="1"/>
        <v>0.5</v>
      </c>
      <c r="H36" s="34">
        <v>8.0</v>
      </c>
      <c r="I36" s="34">
        <v>0.5</v>
      </c>
      <c r="J36" s="34">
        <v>0.5</v>
      </c>
      <c r="K36" s="34">
        <v>32.0</v>
      </c>
      <c r="L36" s="34">
        <v>0.0</v>
      </c>
      <c r="M36" s="34">
        <v>0.0</v>
      </c>
      <c r="N36" s="35" t="s">
        <v>214</v>
      </c>
      <c r="O36" s="34">
        <v>9.0</v>
      </c>
      <c r="P36" s="34">
        <v>13.0</v>
      </c>
      <c r="Q36" s="34">
        <v>13.0</v>
      </c>
      <c r="R36" s="34">
        <v>0.0</v>
      </c>
      <c r="S36" s="34">
        <v>1.0</v>
      </c>
      <c r="T36" s="33">
        <f t="shared" ref="T36:T37" si="8">SUM(W36,Z36,AC36)/SUM(X36,AA36,AD36)</f>
        <v>13.38875</v>
      </c>
      <c r="U36" s="33">
        <f t="shared" si="3"/>
        <v>8</v>
      </c>
      <c r="V36" s="72">
        <v>134.925</v>
      </c>
      <c r="W36" s="34">
        <v>53.97</v>
      </c>
      <c r="X36" s="34">
        <v>4.0</v>
      </c>
      <c r="Y36" s="34">
        <v>12.37</v>
      </c>
      <c r="Z36" s="34">
        <v>24.74</v>
      </c>
      <c r="AA36" s="34">
        <v>2.0</v>
      </c>
      <c r="AB36" s="34">
        <v>14.2</v>
      </c>
      <c r="AC36" s="34">
        <v>28.4</v>
      </c>
      <c r="AD36" s="34">
        <v>2.0</v>
      </c>
      <c r="AE36" s="34">
        <v>14.8</v>
      </c>
      <c r="AF36" s="34">
        <v>0.0</v>
      </c>
      <c r="AG36" s="34">
        <v>49.410000000000004</v>
      </c>
      <c r="AH36" s="34">
        <f>SUMIFS(historical_events_FACT!J:J,historical_events_FACT!G:G,B36,historical_events_FACT!C:C,11,historical_events_FACT!B:B,2016)</f>
        <v>49.41</v>
      </c>
      <c r="AI36" s="37">
        <v>0.0</v>
      </c>
      <c r="AJ36" s="34">
        <v>4.0</v>
      </c>
      <c r="AK36" s="35" t="s">
        <v>245</v>
      </c>
      <c r="AL36" s="39">
        <v>23.6</v>
      </c>
    </row>
    <row r="37">
      <c r="A37" s="34">
        <v>1.0</v>
      </c>
      <c r="B37" s="35" t="s">
        <v>46</v>
      </c>
      <c r="D37" s="39" t="s">
        <v>244</v>
      </c>
      <c r="E37" s="33"/>
      <c r="F37" s="34">
        <v>0.0</v>
      </c>
      <c r="G37" s="71">
        <f t="shared" si="1"/>
        <v>0.1666666667</v>
      </c>
      <c r="H37" s="34">
        <v>2.0</v>
      </c>
      <c r="I37" s="34">
        <v>0.0</v>
      </c>
      <c r="J37" s="34">
        <v>0.5</v>
      </c>
      <c r="K37" s="34">
        <v>2.0</v>
      </c>
      <c r="L37" s="34">
        <v>1.0</v>
      </c>
      <c r="M37" s="34">
        <v>1.0</v>
      </c>
      <c r="N37" s="35" t="s">
        <v>215</v>
      </c>
      <c r="O37" s="34">
        <v>99.0</v>
      </c>
      <c r="P37" s="34">
        <v>13.0</v>
      </c>
      <c r="Q37" s="34">
        <v>99.0</v>
      </c>
      <c r="R37" s="34">
        <v>0.0</v>
      </c>
      <c r="S37" s="34">
        <v>0.0</v>
      </c>
      <c r="T37" s="33">
        <f t="shared" si="8"/>
        <v>12.31</v>
      </c>
      <c r="U37" s="33">
        <f t="shared" si="3"/>
        <v>9</v>
      </c>
      <c r="V37" s="10">
        <v>12.0</v>
      </c>
      <c r="W37" s="10">
        <v>36.0</v>
      </c>
      <c r="X37" s="10">
        <v>3.0</v>
      </c>
      <c r="Y37" s="3">
        <f>IF(Z37=0,0,ROUND(Z37/AA37,2))</f>
        <v>11.75</v>
      </c>
      <c r="Z37" s="10">
        <v>47.01</v>
      </c>
      <c r="AA37" s="10">
        <v>4.0</v>
      </c>
      <c r="AB37" s="34">
        <v>13.89</v>
      </c>
      <c r="AC37" s="34">
        <v>27.78</v>
      </c>
      <c r="AD37" s="34">
        <v>2.0</v>
      </c>
      <c r="AE37" s="34">
        <v>15.55</v>
      </c>
      <c r="AF37" s="34">
        <v>0.0</v>
      </c>
      <c r="AG37" s="34">
        <v>0.0</v>
      </c>
      <c r="AH37" s="34">
        <f>SUMIFS(historical_events_FACT!J:J,historical_events_FACT!G:G,B37,historical_events_FACT!C:C,11,historical_events_FACT!B:B,2016)</f>
        <v>0</v>
      </c>
      <c r="AI37" s="37">
        <v>0.0</v>
      </c>
      <c r="AJ37" s="34">
        <v>1.0</v>
      </c>
      <c r="AK37" s="35" t="s">
        <v>245</v>
      </c>
      <c r="AL37" s="39">
        <v>41.84</v>
      </c>
    </row>
    <row r="38">
      <c r="B38" s="62" t="s">
        <v>124</v>
      </c>
      <c r="T38" s="3">
        <f>IF(N38=0,0, ROUND(SUM(Y38,AB38,V38)/N38,2))</f>
        <v>0</v>
      </c>
      <c r="U38" s="3">
        <f t="shared" ref="U38:U40" si="10">IF(V38=0,0,ROUND(V38/W38,2))</f>
        <v>12.94</v>
      </c>
      <c r="V38" s="10">
        <v>64.69</v>
      </c>
      <c r="W38" s="10">
        <v>5.0</v>
      </c>
      <c r="X38" s="3">
        <f t="shared" ref="X38:Y38" si="9">IF(Y38=0,0,ROUND(Y38/Z38,2))</f>
        <v>0</v>
      </c>
      <c r="Y38" s="3">
        <f t="shared" si="9"/>
        <v>0</v>
      </c>
      <c r="Z38" s="3">
        <f>SUMIFS( historical_events_FACT!J:J, historical_events_FACT!G:G, B38,historical_events_FACT!B:B, "2015",historical_events_FACT!C:C, "1" )</f>
        <v>0</v>
      </c>
      <c r="AA38" s="3">
        <f>COUNTIFS(historical_events_FACT!G:G, B38,historical_events_FACT!B:B, "2015",historical_events_FACT!C:C, "1" )</f>
        <v>0</v>
      </c>
      <c r="AB38" s="3">
        <f t="shared" ref="AB38:AB46" si="11">IF(AC38=0,0,ROUND(AC38/AD38,2))</f>
        <v>0</v>
      </c>
      <c r="AC38" s="3">
        <f>SUMIFS( historical_events_FACT!J:J, historical_events_FACT!G:G, B38,historical_events_FACT!B:B, "2016",historical_events_FACT!C:C, "1" )</f>
        <v>0</v>
      </c>
      <c r="AD38" s="3">
        <f>COUNTIFS(historical_events_FACT!G:G, B38,historical_events_FACT!B:B, "2016",historical_events_FACT!C:C, "1" )</f>
        <v>0</v>
      </c>
    </row>
    <row r="39">
      <c r="B39" s="62" t="s">
        <v>126</v>
      </c>
      <c r="U39" s="3">
        <f t="shared" si="10"/>
        <v>12.28</v>
      </c>
      <c r="V39" s="10">
        <v>36.84</v>
      </c>
      <c r="W39" s="10">
        <v>3.0</v>
      </c>
      <c r="Y39" s="3">
        <f t="shared" ref="Y39:Y45" si="12">IF(Z39=0,0,ROUND(Z39/AA39,2))</f>
        <v>0</v>
      </c>
      <c r="Z39" s="3">
        <f>SUMIFS( historical_events_FACT!J:J, historical_events_FACT!G:G, B39,historical_events_FACT!B:B, "2015",historical_events_FACT!C:C, "1" )</f>
        <v>0</v>
      </c>
      <c r="AA39" s="3">
        <f>COUNTIFS(historical_events_FACT!G:G, B39,historical_events_FACT!B:B, "2015",historical_events_FACT!C:C, "1" )</f>
        <v>0</v>
      </c>
      <c r="AB39" s="3">
        <f t="shared" si="11"/>
        <v>0</v>
      </c>
      <c r="AC39" s="3">
        <f>SUMIFS( historical_events_FACT!J:J, historical_events_FACT!G:G, B39,historical_events_FACT!B:B, "2016",historical_events_FACT!C:C, "1" )</f>
        <v>0</v>
      </c>
      <c r="AD39" s="3">
        <f>COUNTIFS(historical_events_FACT!G:G, B39,historical_events_FACT!B:B, "2016",historical_events_FACT!C:C, "1" )</f>
        <v>0</v>
      </c>
    </row>
    <row r="40">
      <c r="B40" s="62" t="s">
        <v>107</v>
      </c>
      <c r="U40" s="3">
        <f t="shared" si="10"/>
        <v>9.19</v>
      </c>
      <c r="V40" s="10">
        <v>18.37</v>
      </c>
      <c r="W40" s="10">
        <v>2.0</v>
      </c>
      <c r="Y40" s="3">
        <f t="shared" si="12"/>
        <v>0</v>
      </c>
      <c r="Z40" s="3">
        <f>SUMIFS( historical_events_FACT!J:J, historical_events_FACT!G:G, B40,historical_events_FACT!B:B, "2015",historical_events_FACT!C:C, "1" )</f>
        <v>0</v>
      </c>
      <c r="AA40" s="3">
        <f>COUNTIFS(historical_events_FACT!G:G, B40,historical_events_FACT!B:B, "2015",historical_events_FACT!C:C, "1" )</f>
        <v>0</v>
      </c>
      <c r="AB40" s="3">
        <f t="shared" si="11"/>
        <v>0</v>
      </c>
      <c r="AC40" s="3">
        <f>SUMIFS( historical_events_FACT!J:J, historical_events_FACT!G:G, B40,historical_events_FACT!B:B, "2016",historical_events_FACT!C:C, "1" )</f>
        <v>0</v>
      </c>
      <c r="AD40" s="3">
        <f>COUNTIFS(historical_events_FACT!G:G, B40,historical_events_FACT!B:B, "2016",historical_events_FACT!C:C, "1" )</f>
        <v>0</v>
      </c>
    </row>
    <row r="41">
      <c r="Y41" s="3">
        <f t="shared" si="12"/>
        <v>0</v>
      </c>
      <c r="Z41" s="3">
        <f>SUMIFS( historical_events_FACT!J:J, historical_events_FACT!G:G, B41,historical_events_FACT!B:B, "2015",historical_events_FACT!C:C, "1" )</f>
        <v>0</v>
      </c>
      <c r="AA41" s="3">
        <f>COUNTIFS(historical_events_FACT!G:G, B41,historical_events_FACT!B:B, "2015",historical_events_FACT!C:C, "1" )</f>
        <v>0</v>
      </c>
      <c r="AB41" s="3">
        <f t="shared" si="11"/>
        <v>0</v>
      </c>
      <c r="AC41" s="3">
        <f>SUMIFS( historical_events_FACT!J:J, historical_events_FACT!G:G, B41,historical_events_FACT!B:B, "2016",historical_events_FACT!C:C, "1" )</f>
        <v>0</v>
      </c>
      <c r="AD41" s="3">
        <f>COUNTIFS(historical_events_FACT!G:G, B41,historical_events_FACT!B:B, "2016",historical_events_FACT!C:C, "1" )</f>
        <v>0</v>
      </c>
    </row>
    <row r="42">
      <c r="B42" s="10"/>
      <c r="U42" s="10">
        <v>12.0</v>
      </c>
      <c r="V42" s="10">
        <v>36.0</v>
      </c>
      <c r="W42" s="10">
        <v>3.0</v>
      </c>
      <c r="Y42" s="3">
        <f t="shared" si="12"/>
        <v>0</v>
      </c>
      <c r="Z42" s="3">
        <f>SUMIFS( historical_events_FACT!J:J, historical_events_FACT!G:G, B42,historical_events_FACT!B:B, "2015",historical_events_FACT!C:C, "1" )</f>
        <v>0</v>
      </c>
      <c r="AA42" s="3">
        <f>COUNTIFS(historical_events_FACT!G:G, B42,historical_events_FACT!B:B, "2015",historical_events_FACT!C:C, "1" )</f>
        <v>0</v>
      </c>
      <c r="AB42" s="3">
        <f t="shared" si="11"/>
        <v>0</v>
      </c>
      <c r="AC42" s="3">
        <f>SUMIFS( historical_events_FACT!J:J, historical_events_FACT!G:G, B42,historical_events_FACT!B:B, "2016",historical_events_FACT!C:C, "1" )</f>
        <v>0</v>
      </c>
      <c r="AD42" s="3">
        <f>COUNTIFS(historical_events_FACT!G:G, B42,historical_events_FACT!B:B, "2016",historical_events_FACT!C:C, "1" )</f>
        <v>0</v>
      </c>
    </row>
    <row r="43">
      <c r="Y43" s="3">
        <f t="shared" si="12"/>
        <v>0</v>
      </c>
      <c r="Z43" s="3">
        <f>SUMIFS( historical_events_FACT!J:J, historical_events_FACT!G:G, B43,historical_events_FACT!B:B, "2015",historical_events_FACT!C:C, "1" )</f>
        <v>0</v>
      </c>
      <c r="AA43" s="3">
        <f>COUNTIFS(historical_events_FACT!G:G, B43,historical_events_FACT!B:B, "2015",historical_events_FACT!C:C, "1" )</f>
        <v>0</v>
      </c>
      <c r="AB43" s="3">
        <f t="shared" si="11"/>
        <v>0</v>
      </c>
      <c r="AC43" s="3">
        <f>SUMIFS( historical_events_FACT!J:J, historical_events_FACT!G:G, B43,historical_events_FACT!B:B, "2016",historical_events_FACT!C:C, "1" )</f>
        <v>0</v>
      </c>
      <c r="AD43" s="3">
        <f>COUNTIFS(historical_events_FACT!G:G, B43,historical_events_FACT!B:B, "2016",historical_events_FACT!C:C, "1" )</f>
        <v>0</v>
      </c>
    </row>
    <row r="44">
      <c r="Y44" s="3">
        <f t="shared" si="12"/>
        <v>0</v>
      </c>
      <c r="AB44" s="3">
        <f t="shared" si="11"/>
        <v>0</v>
      </c>
      <c r="AC44" s="3">
        <f>SUMIFS( historical_events_FACT!J:J, historical_events_FACT!G:G, B44,historical_events_FACT!B:B, "2016",historical_events_FACT!C:C, "1" )</f>
        <v>0</v>
      </c>
      <c r="AD44" s="3">
        <f>COUNTIFS(historical_events_FACT!G:G, B44,historical_events_FACT!B:B, "2016",historical_events_FACT!C:C, "1" )</f>
        <v>0</v>
      </c>
    </row>
    <row r="45">
      <c r="Y45" s="3">
        <f t="shared" si="12"/>
        <v>11.75</v>
      </c>
      <c r="Z45" s="10">
        <v>47.01</v>
      </c>
      <c r="AA45" s="10">
        <v>4.0</v>
      </c>
      <c r="AB45" s="3">
        <f t="shared" si="11"/>
        <v>0</v>
      </c>
      <c r="AC45" s="3">
        <f>SUMIFS( historical_events_FACT!J:J, historical_events_FACT!G:G, B45,historical_events_FACT!B:B, "2016",historical_events_FACT!C:C, "1" )</f>
        <v>0</v>
      </c>
      <c r="AD45" s="3">
        <f>COUNTIFS(historical_events_FACT!G:G, B45,historical_events_FACT!B:B, "2016",historical_events_FACT!C:C, "1" )</f>
        <v>0</v>
      </c>
    </row>
    <row r="46">
      <c r="AB46" s="3">
        <f t="shared" si="11"/>
        <v>13.33</v>
      </c>
      <c r="AC46" s="10">
        <v>40.0</v>
      </c>
      <c r="AD46" s="10">
        <v>3.0</v>
      </c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3" t="s">
        <v>6</v>
      </c>
      <c r="B1" s="73" t="s">
        <v>249</v>
      </c>
    </row>
    <row r="2">
      <c r="A2" s="74" t="s">
        <v>26</v>
      </c>
      <c r="B2" s="75">
        <v>46400.0</v>
      </c>
    </row>
    <row r="3">
      <c r="A3" s="74" t="s">
        <v>28</v>
      </c>
      <c r="B3" s="75">
        <v>45450.0</v>
      </c>
    </row>
    <row r="4">
      <c r="A4" s="74" t="s">
        <v>30</v>
      </c>
      <c r="B4" s="75">
        <v>44150.0</v>
      </c>
    </row>
    <row r="5">
      <c r="A5" s="74" t="s">
        <v>32</v>
      </c>
      <c r="B5" s="75">
        <v>39500.0</v>
      </c>
    </row>
    <row r="6">
      <c r="A6" s="74" t="s">
        <v>34</v>
      </c>
      <c r="B6" s="75">
        <v>38700.0</v>
      </c>
    </row>
    <row r="7">
      <c r="A7" s="74" t="s">
        <v>27</v>
      </c>
      <c r="B7" s="75">
        <v>37900.0</v>
      </c>
    </row>
    <row r="8">
      <c r="A8" s="74" t="s">
        <v>37</v>
      </c>
      <c r="B8" s="75">
        <v>36850.0</v>
      </c>
    </row>
    <row r="9">
      <c r="A9" s="74" t="s">
        <v>31</v>
      </c>
      <c r="B9" s="75">
        <v>35700.0</v>
      </c>
    </row>
    <row r="10">
      <c r="A10" s="74" t="s">
        <v>39</v>
      </c>
      <c r="B10" s="75">
        <v>35400.0</v>
      </c>
    </row>
    <row r="11">
      <c r="A11" s="74" t="s">
        <v>33</v>
      </c>
      <c r="B11" s="75">
        <v>35350.0</v>
      </c>
    </row>
    <row r="12">
      <c r="A12" s="74" t="s">
        <v>42</v>
      </c>
      <c r="B12" s="75">
        <v>31950.0</v>
      </c>
    </row>
    <row r="13">
      <c r="A13" s="74" t="s">
        <v>38</v>
      </c>
      <c r="B13" s="75">
        <v>30650.0</v>
      </c>
    </row>
    <row r="14">
      <c r="A14" s="74" t="s">
        <v>45</v>
      </c>
      <c r="B14" s="75">
        <v>29700.0</v>
      </c>
    </row>
    <row r="15">
      <c r="A15" s="74" t="s">
        <v>47</v>
      </c>
      <c r="B15" s="75">
        <v>27500.0</v>
      </c>
    </row>
    <row r="16">
      <c r="A16" s="74" t="s">
        <v>17</v>
      </c>
      <c r="B16" s="75">
        <v>26950.0</v>
      </c>
    </row>
    <row r="17">
      <c r="A17" s="74" t="s">
        <v>40</v>
      </c>
      <c r="B17" s="75">
        <v>25200.0</v>
      </c>
    </row>
    <row r="18">
      <c r="A18" s="74" t="s">
        <v>41</v>
      </c>
      <c r="B18" s="75">
        <v>25200.0</v>
      </c>
    </row>
    <row r="19">
      <c r="A19" s="74" t="s">
        <v>52</v>
      </c>
      <c r="B19" s="75">
        <v>24700.0</v>
      </c>
    </row>
    <row r="20">
      <c r="A20" s="74" t="s">
        <v>36</v>
      </c>
      <c r="B20" s="75">
        <v>24250.0</v>
      </c>
    </row>
    <row r="21">
      <c r="A21" s="74" t="s">
        <v>53</v>
      </c>
      <c r="B21" s="75">
        <v>23650.0</v>
      </c>
    </row>
    <row r="22">
      <c r="A22" s="74" t="s">
        <v>54</v>
      </c>
      <c r="B22" s="75">
        <v>22650.0</v>
      </c>
    </row>
    <row r="23">
      <c r="A23" s="74" t="s">
        <v>55</v>
      </c>
      <c r="B23" s="75">
        <v>22400.0</v>
      </c>
    </row>
    <row r="24">
      <c r="A24" s="74" t="s">
        <v>57</v>
      </c>
      <c r="B24" s="74" t="s">
        <v>250</v>
      </c>
    </row>
    <row r="25">
      <c r="A25" s="74" t="s">
        <v>59</v>
      </c>
      <c r="B25" s="74" t="s">
        <v>250</v>
      </c>
    </row>
    <row r="26">
      <c r="A26" s="74" t="s">
        <v>61</v>
      </c>
      <c r="B26" s="75">
        <v>24025.0</v>
      </c>
    </row>
    <row r="27">
      <c r="A27" s="74" t="s">
        <v>63</v>
      </c>
      <c r="B27" s="75">
        <v>23400.0</v>
      </c>
    </row>
    <row r="28">
      <c r="A28" s="74" t="s">
        <v>64</v>
      </c>
      <c r="B28" s="75">
        <v>22910.0</v>
      </c>
    </row>
    <row r="29">
      <c r="A29" s="74" t="s">
        <v>65</v>
      </c>
      <c r="B29" s="75">
        <v>22500.0</v>
      </c>
    </row>
    <row r="30">
      <c r="A30" s="74" t="s">
        <v>66</v>
      </c>
      <c r="B30" s="75">
        <v>20800.0</v>
      </c>
    </row>
    <row r="31">
      <c r="A31" s="74" t="s">
        <v>50</v>
      </c>
      <c r="B31" s="75">
        <v>20650.0</v>
      </c>
    </row>
    <row r="32">
      <c r="A32" s="74" t="s">
        <v>35</v>
      </c>
      <c r="B32" s="75">
        <v>19700.0</v>
      </c>
    </row>
    <row r="33">
      <c r="A33" s="74" t="s">
        <v>67</v>
      </c>
      <c r="B33" s="75">
        <v>19450.0</v>
      </c>
    </row>
    <row r="34">
      <c r="A34" s="74" t="s">
        <v>68</v>
      </c>
      <c r="B34" s="75">
        <v>18800.0</v>
      </c>
    </row>
    <row r="35">
      <c r="A35" s="74" t="s">
        <v>69</v>
      </c>
      <c r="B35" s="75">
        <v>18750.0</v>
      </c>
    </row>
    <row r="36">
      <c r="A36" s="74" t="s">
        <v>56</v>
      </c>
      <c r="B36" s="74" t="s">
        <v>251</v>
      </c>
    </row>
    <row r="37">
      <c r="A37" s="74" t="s">
        <v>46</v>
      </c>
      <c r="B37" s="74" t="s">
        <v>251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6" max="6" width="12.25"/>
    <col customWidth="1" min="11" max="11" width="15.75"/>
    <col customWidth="1" min="12" max="12" width="7.13"/>
    <col customWidth="1" min="13" max="13" width="8.0"/>
    <col customWidth="1" min="14" max="14" width="11.25"/>
    <col customWidth="1" min="15" max="15" width="9.5"/>
    <col customWidth="1" min="16" max="16" width="7.38"/>
    <col customWidth="1" min="17" max="17" width="7.88"/>
    <col customWidth="1" min="21" max="21" width="10.63"/>
    <col customWidth="1" min="29" max="29" width="15.25"/>
    <col customWidth="1" min="30" max="30" width="20.75"/>
    <col customWidth="1" min="31" max="32" width="19.63"/>
  </cols>
  <sheetData>
    <row r="1">
      <c r="A1" s="76" t="s">
        <v>252</v>
      </c>
      <c r="B1" s="32" t="s">
        <v>6</v>
      </c>
      <c r="C1" s="32" t="s">
        <v>222</v>
      </c>
      <c r="D1" s="69" t="s">
        <v>223</v>
      </c>
      <c r="E1" s="32" t="s">
        <v>197</v>
      </c>
      <c r="F1" s="69" t="s">
        <v>253</v>
      </c>
      <c r="G1" s="69" t="s">
        <v>254</v>
      </c>
      <c r="H1" s="69" t="s">
        <v>255</v>
      </c>
      <c r="I1" s="69" t="s">
        <v>256</v>
      </c>
      <c r="J1" s="69" t="s">
        <v>257</v>
      </c>
      <c r="K1" s="32" t="s">
        <v>202</v>
      </c>
      <c r="L1" s="32" t="s">
        <v>203</v>
      </c>
      <c r="M1" s="32" t="s">
        <v>204</v>
      </c>
      <c r="N1" s="2" t="s">
        <v>205</v>
      </c>
      <c r="O1" s="32" t="s">
        <v>208</v>
      </c>
      <c r="P1" s="32" t="s">
        <v>206</v>
      </c>
      <c r="Q1" s="32" t="s">
        <v>207</v>
      </c>
      <c r="R1" s="69" t="s">
        <v>258</v>
      </c>
      <c r="S1" s="32" t="s">
        <v>225</v>
      </c>
      <c r="T1" s="32" t="s">
        <v>227</v>
      </c>
      <c r="U1" s="32" t="s">
        <v>228</v>
      </c>
      <c r="V1" s="32" t="s">
        <v>229</v>
      </c>
      <c r="W1" s="32" t="s">
        <v>230</v>
      </c>
      <c r="X1" s="32" t="s">
        <v>231</v>
      </c>
      <c r="Y1" s="32" t="s">
        <v>232</v>
      </c>
      <c r="Z1" s="32" t="s">
        <v>233</v>
      </c>
      <c r="AA1" s="32" t="s">
        <v>234</v>
      </c>
      <c r="AB1" s="32" t="s">
        <v>235</v>
      </c>
      <c r="AC1" s="32" t="s">
        <v>236</v>
      </c>
      <c r="AD1" s="69" t="s">
        <v>259</v>
      </c>
      <c r="AE1" s="77" t="s">
        <v>239</v>
      </c>
      <c r="AF1" s="69" t="s">
        <v>238</v>
      </c>
      <c r="AG1" s="69" t="s">
        <v>260</v>
      </c>
      <c r="AH1" s="70" t="s">
        <v>240</v>
      </c>
      <c r="AI1" s="69" t="s">
        <v>242</v>
      </c>
      <c r="AJ1" s="69" t="s">
        <v>261</v>
      </c>
    </row>
    <row r="2">
      <c r="A2" s="78">
        <v>1.0</v>
      </c>
      <c r="B2" s="3" t="s">
        <v>26</v>
      </c>
      <c r="D2" s="39" t="s">
        <v>244</v>
      </c>
      <c r="F2" s="3">
        <f>1/3</f>
        <v>0.3333333333</v>
      </c>
      <c r="G2" s="3">
        <f t="shared" ref="G2:G37" si="1">ROUND(AVERAGE(F2,I2,J2),2)</f>
        <v>0.56</v>
      </c>
      <c r="H2" s="3">
        <f t="shared" ref="H2:H38" si="2">V2+Y2+AB2</f>
        <v>11</v>
      </c>
      <c r="I2" s="3">
        <f>5/6</f>
        <v>0.8333333333</v>
      </c>
      <c r="J2" s="10">
        <v>0.5</v>
      </c>
      <c r="L2" s="10">
        <v>0.0</v>
      </c>
      <c r="M2" s="3">
        <f t="shared" ref="M2:M37" si="3">IF(N2="AUS",1,0)</f>
        <v>0</v>
      </c>
      <c r="N2" s="3" t="s">
        <v>211</v>
      </c>
      <c r="O2" s="10">
        <v>13.0</v>
      </c>
      <c r="P2" s="10">
        <v>13.0</v>
      </c>
      <c r="Q2" s="10">
        <v>2.0</v>
      </c>
      <c r="R2" s="10">
        <v>5.0</v>
      </c>
      <c r="S2" s="3">
        <f t="shared" ref="S2:S25" si="4">ROUND((U2+X2+AA2)/H2,2)</f>
        <v>15.83</v>
      </c>
      <c r="T2" s="3">
        <f>U2/V2</f>
        <v>15.09</v>
      </c>
      <c r="U2" s="10">
        <v>45.27</v>
      </c>
      <c r="V2" s="10">
        <v>3.0</v>
      </c>
      <c r="W2" s="3">
        <f t="shared" ref="W2:W16" si="5">ROUND(X2/Y2,2)</f>
        <v>15.74</v>
      </c>
      <c r="X2" s="10">
        <v>94.41</v>
      </c>
      <c r="Y2" s="10">
        <v>6.0</v>
      </c>
      <c r="Z2" s="3">
        <f t="shared" ref="Z2:Z10" si="6">ROUND(AA2/AB2,2)</f>
        <v>17.21</v>
      </c>
      <c r="AA2" s="10">
        <v>34.41</v>
      </c>
      <c r="AB2" s="10">
        <v>2.0</v>
      </c>
      <c r="AC2" s="10">
        <v>18.87</v>
      </c>
      <c r="AD2" s="10">
        <v>3.0</v>
      </c>
      <c r="AE2" s="54">
        <v>76.83</v>
      </c>
      <c r="AF2" s="10">
        <v>76.83</v>
      </c>
      <c r="AG2" s="10">
        <v>108.44</v>
      </c>
      <c r="AH2" s="10">
        <f t="array" ref="AH2">XLOOKUP(B2,'Event 2 Assist'!A:A,'Event 2 Assist'!B:B)</f>
        <v>6500</v>
      </c>
      <c r="AI2" s="10" t="str">
        <f t="shared" ref="AI2:AI37" si="7">IF(AJ2=0,"Rookie", IF(AJ2&lt;5,"Experienced", "Veteran"))</f>
        <v>Veteran</v>
      </c>
      <c r="AJ2" s="34">
        <v>5.0</v>
      </c>
    </row>
    <row r="3">
      <c r="A3" s="78">
        <v>1.0</v>
      </c>
      <c r="B3" s="3" t="s">
        <v>28</v>
      </c>
      <c r="D3" s="39" t="s">
        <v>244</v>
      </c>
      <c r="F3" s="10">
        <v>0.6</v>
      </c>
      <c r="G3" s="3">
        <f t="shared" si="1"/>
        <v>0.5</v>
      </c>
      <c r="H3" s="3">
        <f t="shared" si="2"/>
        <v>12</v>
      </c>
      <c r="I3" s="10">
        <v>0.5</v>
      </c>
      <c r="J3" s="10">
        <v>0.4</v>
      </c>
      <c r="L3" s="10">
        <v>0.0</v>
      </c>
      <c r="M3" s="3">
        <f t="shared" si="3"/>
        <v>0</v>
      </c>
      <c r="N3" s="3" t="s">
        <v>212</v>
      </c>
      <c r="O3" s="10">
        <v>5.0</v>
      </c>
      <c r="P3" s="10">
        <v>9.0</v>
      </c>
      <c r="Q3" s="10">
        <v>13.0</v>
      </c>
      <c r="R3" s="10">
        <v>1.0</v>
      </c>
      <c r="S3" s="3">
        <f t="shared" si="4"/>
        <v>12.06</v>
      </c>
      <c r="T3" s="3">
        <f t="shared" ref="T3:T15" si="8">Round(U3/V3,2)</f>
        <v>13.12</v>
      </c>
      <c r="U3" s="10">
        <v>65.59</v>
      </c>
      <c r="V3" s="10">
        <v>5.0</v>
      </c>
      <c r="W3" s="3">
        <f t="shared" si="5"/>
        <v>3.87</v>
      </c>
      <c r="X3" s="10">
        <v>7.73</v>
      </c>
      <c r="Y3" s="10">
        <v>2.0</v>
      </c>
      <c r="Z3" s="3">
        <f t="shared" si="6"/>
        <v>14.27</v>
      </c>
      <c r="AA3" s="10">
        <v>71.35</v>
      </c>
      <c r="AB3" s="10">
        <v>5.0</v>
      </c>
      <c r="AC3" s="10">
        <v>18.54</v>
      </c>
      <c r="AD3" s="10">
        <v>9.0</v>
      </c>
      <c r="AE3" s="54">
        <v>52.3</v>
      </c>
      <c r="AF3" s="10">
        <v>52.3</v>
      </c>
      <c r="AG3" s="10">
        <v>70.24</v>
      </c>
      <c r="AH3" s="10">
        <f t="array" ref="AH3">XLOOKUP(B3,'Event 2 Assist'!A:A,'Event 2 Assist'!B:B)</f>
        <v>4000</v>
      </c>
      <c r="AI3" s="10" t="str">
        <f t="shared" si="7"/>
        <v>Veteran</v>
      </c>
      <c r="AJ3" s="34">
        <v>9.0</v>
      </c>
    </row>
    <row r="4">
      <c r="A4" s="78">
        <v>1.0</v>
      </c>
      <c r="B4" s="3" t="s">
        <v>30</v>
      </c>
      <c r="D4" s="39" t="s">
        <v>247</v>
      </c>
      <c r="F4" s="10">
        <v>0.75</v>
      </c>
      <c r="G4" s="3">
        <f t="shared" si="1"/>
        <v>0.42</v>
      </c>
      <c r="H4" s="3">
        <f t="shared" si="2"/>
        <v>10</v>
      </c>
      <c r="I4" s="10">
        <v>0.0</v>
      </c>
      <c r="J4" s="10">
        <v>0.5</v>
      </c>
      <c r="L4" s="10">
        <v>0.0</v>
      </c>
      <c r="M4" s="3">
        <f t="shared" si="3"/>
        <v>0</v>
      </c>
      <c r="N4" s="3" t="s">
        <v>213</v>
      </c>
      <c r="O4" s="10">
        <v>5.0</v>
      </c>
      <c r="P4" s="10">
        <v>9.0</v>
      </c>
      <c r="Q4" s="10">
        <v>25.0</v>
      </c>
      <c r="R4" s="10">
        <v>2.0</v>
      </c>
      <c r="S4" s="3">
        <f t="shared" si="4"/>
        <v>12.51</v>
      </c>
      <c r="T4" s="3">
        <f t="shared" si="8"/>
        <v>14.24</v>
      </c>
      <c r="U4" s="10">
        <v>56.94</v>
      </c>
      <c r="V4" s="10">
        <v>4.0</v>
      </c>
      <c r="W4" s="3">
        <f t="shared" si="5"/>
        <v>5.82</v>
      </c>
      <c r="X4" s="10">
        <v>11.63</v>
      </c>
      <c r="Y4" s="10">
        <v>2.0</v>
      </c>
      <c r="Z4" s="3">
        <f t="shared" si="6"/>
        <v>14.14</v>
      </c>
      <c r="AA4" s="10">
        <v>56.54</v>
      </c>
      <c r="AB4" s="10">
        <v>4.0</v>
      </c>
      <c r="AC4" s="10">
        <v>19.2</v>
      </c>
      <c r="AD4" s="10">
        <v>3.0</v>
      </c>
      <c r="AE4" s="54">
        <v>76.04</v>
      </c>
      <c r="AF4" s="10">
        <v>76.04</v>
      </c>
      <c r="AG4" s="10">
        <v>16.26</v>
      </c>
      <c r="AH4" s="10">
        <f t="array" ref="AH4">XLOOKUP(B4,'Event 2 Assist'!A:A,'Event 2 Assist'!B:B)</f>
        <v>6500</v>
      </c>
      <c r="AI4" s="10" t="str">
        <f t="shared" si="7"/>
        <v>Veteran</v>
      </c>
      <c r="AJ4" s="34">
        <v>5.0</v>
      </c>
    </row>
    <row r="5">
      <c r="A5" s="78">
        <v>1.0</v>
      </c>
      <c r="B5" s="3" t="s">
        <v>32</v>
      </c>
      <c r="D5" s="39" t="s">
        <v>244</v>
      </c>
      <c r="F5" s="3">
        <f>1/3</f>
        <v>0.3333333333</v>
      </c>
      <c r="G5" s="3">
        <f t="shared" si="1"/>
        <v>0.36</v>
      </c>
      <c r="H5" s="3">
        <f t="shared" si="2"/>
        <v>9</v>
      </c>
      <c r="I5" s="10">
        <v>0.0</v>
      </c>
      <c r="J5" s="10">
        <v>0.75</v>
      </c>
      <c r="L5" s="10">
        <v>0.0</v>
      </c>
      <c r="M5" s="3">
        <f t="shared" si="3"/>
        <v>0</v>
      </c>
      <c r="N5" s="3" t="s">
        <v>214</v>
      </c>
      <c r="O5" s="10">
        <v>13.0</v>
      </c>
      <c r="P5" s="10">
        <v>5.0</v>
      </c>
      <c r="Q5" s="10">
        <v>25.0</v>
      </c>
      <c r="R5" s="10">
        <v>1.0</v>
      </c>
      <c r="S5" s="3">
        <f t="shared" si="4"/>
        <v>11.12</v>
      </c>
      <c r="T5" s="3">
        <f t="shared" si="8"/>
        <v>10.56</v>
      </c>
      <c r="U5" s="10">
        <v>31.69</v>
      </c>
      <c r="V5" s="10">
        <v>3.0</v>
      </c>
      <c r="W5" s="3">
        <f t="shared" si="5"/>
        <v>4.95</v>
      </c>
      <c r="X5" s="10">
        <v>9.9</v>
      </c>
      <c r="Y5" s="10">
        <v>2.0</v>
      </c>
      <c r="Z5" s="3">
        <f t="shared" si="6"/>
        <v>14.63</v>
      </c>
      <c r="AA5" s="10">
        <v>58.5</v>
      </c>
      <c r="AB5" s="10">
        <v>4.0</v>
      </c>
      <c r="AC5" s="10">
        <v>18.77</v>
      </c>
      <c r="AD5" s="10">
        <v>9.0</v>
      </c>
      <c r="AE5" s="54">
        <v>44.06</v>
      </c>
      <c r="AF5" s="10">
        <v>44.06</v>
      </c>
      <c r="AG5" s="10">
        <v>84.08</v>
      </c>
      <c r="AH5" s="10">
        <f t="array" ref="AH5">XLOOKUP(B5,'Event 2 Assist'!A:A,'Event 2 Assist'!B:B)</f>
        <v>4000</v>
      </c>
      <c r="AI5" s="10" t="str">
        <f t="shared" si="7"/>
        <v>Veteran</v>
      </c>
      <c r="AJ5" s="34">
        <v>5.0</v>
      </c>
    </row>
    <row r="6">
      <c r="A6" s="78">
        <v>1.0</v>
      </c>
      <c r="B6" s="3" t="s">
        <v>34</v>
      </c>
      <c r="D6" s="39" t="s">
        <v>247</v>
      </c>
      <c r="F6" s="10">
        <v>0.0</v>
      </c>
      <c r="G6" s="3">
        <f t="shared" si="1"/>
        <v>0.17</v>
      </c>
      <c r="H6" s="3">
        <f t="shared" si="2"/>
        <v>8</v>
      </c>
      <c r="I6" s="10">
        <v>0.0</v>
      </c>
      <c r="J6" s="10">
        <v>0.5</v>
      </c>
      <c r="L6" s="10">
        <v>0.0</v>
      </c>
      <c r="M6" s="3">
        <f t="shared" si="3"/>
        <v>1</v>
      </c>
      <c r="N6" s="3" t="s">
        <v>215</v>
      </c>
      <c r="O6" s="10">
        <v>25.0</v>
      </c>
      <c r="P6" s="10">
        <v>9.0</v>
      </c>
      <c r="Q6" s="10">
        <v>25.0</v>
      </c>
      <c r="R6" s="10">
        <v>0.0</v>
      </c>
      <c r="S6" s="3">
        <f t="shared" si="4"/>
        <v>10.4</v>
      </c>
      <c r="T6" s="3">
        <f t="shared" si="8"/>
        <v>10.17</v>
      </c>
      <c r="U6" s="10">
        <v>20.34</v>
      </c>
      <c r="V6" s="10">
        <v>2.0</v>
      </c>
      <c r="W6" s="3">
        <f t="shared" si="5"/>
        <v>8.21</v>
      </c>
      <c r="X6" s="10">
        <v>16.41</v>
      </c>
      <c r="Y6" s="10">
        <v>2.0</v>
      </c>
      <c r="Z6" s="3">
        <f t="shared" si="6"/>
        <v>11.61</v>
      </c>
      <c r="AA6" s="10">
        <v>46.43</v>
      </c>
      <c r="AB6" s="10">
        <v>4.0</v>
      </c>
      <c r="AC6" s="10">
        <v>15.6</v>
      </c>
      <c r="AD6" s="10">
        <v>2.0</v>
      </c>
      <c r="AE6" s="54">
        <v>90.24</v>
      </c>
      <c r="AF6" s="10">
        <v>90.24</v>
      </c>
      <c r="AG6" s="10">
        <v>14.94</v>
      </c>
      <c r="AH6" s="10">
        <f t="array" ref="AH6">XLOOKUP(B6,'Event 2 Assist'!A:A,'Event 2 Assist'!B:B)</f>
        <v>8000</v>
      </c>
      <c r="AI6" s="10" t="str">
        <f t="shared" si="7"/>
        <v>Veteran</v>
      </c>
      <c r="AJ6" s="34">
        <v>9.0</v>
      </c>
    </row>
    <row r="7">
      <c r="A7" s="78">
        <v>1.0</v>
      </c>
      <c r="B7" s="3" t="s">
        <v>27</v>
      </c>
      <c r="D7" s="39" t="s">
        <v>244</v>
      </c>
      <c r="F7" s="10">
        <v>0.75</v>
      </c>
      <c r="G7" s="3">
        <f t="shared" si="1"/>
        <v>0.62</v>
      </c>
      <c r="H7" s="3">
        <f t="shared" si="2"/>
        <v>15</v>
      </c>
      <c r="I7" s="10">
        <v>0.6</v>
      </c>
      <c r="J7" s="10">
        <v>0.5</v>
      </c>
      <c r="L7" s="10">
        <v>0.0</v>
      </c>
      <c r="M7" s="3">
        <f t="shared" si="3"/>
        <v>0</v>
      </c>
      <c r="N7" s="3" t="s">
        <v>216</v>
      </c>
      <c r="O7" s="10">
        <v>1.0</v>
      </c>
      <c r="P7" s="10">
        <v>13.0</v>
      </c>
      <c r="Q7" s="10">
        <v>5.0</v>
      </c>
      <c r="R7" s="10">
        <v>1.0</v>
      </c>
      <c r="S7" s="3">
        <f t="shared" si="4"/>
        <v>12.74</v>
      </c>
      <c r="T7" s="3">
        <f t="shared" si="8"/>
        <v>12.83</v>
      </c>
      <c r="U7" s="10">
        <v>102.61</v>
      </c>
      <c r="V7" s="10">
        <v>8.0</v>
      </c>
      <c r="W7" s="3">
        <f t="shared" si="5"/>
        <v>12.54</v>
      </c>
      <c r="X7" s="10">
        <v>62.69</v>
      </c>
      <c r="Y7" s="10">
        <v>5.0</v>
      </c>
      <c r="Z7" s="3">
        <f t="shared" si="6"/>
        <v>12.89</v>
      </c>
      <c r="AA7" s="10">
        <v>25.77</v>
      </c>
      <c r="AB7" s="10">
        <v>2.0</v>
      </c>
      <c r="AC7" s="10">
        <v>17.0</v>
      </c>
      <c r="AD7" s="10">
        <v>25.0</v>
      </c>
      <c r="AE7" s="54">
        <v>23.47</v>
      </c>
      <c r="AF7" s="10">
        <v>23.47</v>
      </c>
      <c r="AG7" s="10">
        <v>70.11</v>
      </c>
      <c r="AH7" s="10">
        <f t="array" ref="AH7">XLOOKUP(B7,'Event 2 Assist'!A:A,'Event 2 Assist'!B:B)</f>
        <v>500</v>
      </c>
      <c r="AI7" s="10" t="str">
        <f t="shared" si="7"/>
        <v>Veteran</v>
      </c>
      <c r="AJ7" s="34">
        <v>8.0</v>
      </c>
    </row>
    <row r="8">
      <c r="A8" s="78">
        <v>1.0</v>
      </c>
      <c r="B8" s="3" t="s">
        <v>37</v>
      </c>
      <c r="D8" s="39" t="s">
        <v>244</v>
      </c>
      <c r="F8" s="3">
        <f>4/6</f>
        <v>0.6666666667</v>
      </c>
      <c r="G8" s="3">
        <f t="shared" si="1"/>
        <v>0.47</v>
      </c>
      <c r="H8" s="3">
        <f t="shared" si="2"/>
        <v>12</v>
      </c>
      <c r="I8" s="10">
        <v>0.75</v>
      </c>
      <c r="J8" s="10">
        <v>0.0</v>
      </c>
      <c r="L8" s="10">
        <v>0.0</v>
      </c>
      <c r="M8" s="3">
        <f t="shared" si="3"/>
        <v>0</v>
      </c>
      <c r="N8" s="3" t="s">
        <v>214</v>
      </c>
      <c r="O8" s="10">
        <v>3.0</v>
      </c>
      <c r="P8" s="10">
        <v>25.0</v>
      </c>
      <c r="Q8" s="10">
        <v>5.0</v>
      </c>
      <c r="R8" s="10">
        <v>2.0</v>
      </c>
      <c r="S8" s="3">
        <f t="shared" si="4"/>
        <v>13.18</v>
      </c>
      <c r="T8" s="3">
        <f t="shared" si="8"/>
        <v>13.63</v>
      </c>
      <c r="U8" s="10">
        <v>81.79</v>
      </c>
      <c r="V8" s="10">
        <v>6.0</v>
      </c>
      <c r="W8" s="3">
        <f t="shared" si="5"/>
        <v>12.71</v>
      </c>
      <c r="X8" s="10">
        <v>50.83</v>
      </c>
      <c r="Y8" s="10">
        <v>4.0</v>
      </c>
      <c r="Z8" s="3">
        <f t="shared" si="6"/>
        <v>12.8</v>
      </c>
      <c r="AA8" s="10">
        <v>25.59</v>
      </c>
      <c r="AB8" s="10">
        <v>2.0</v>
      </c>
      <c r="AC8" s="10">
        <v>19.5</v>
      </c>
      <c r="AD8" s="10">
        <v>5.0</v>
      </c>
      <c r="AE8" s="54">
        <v>80.73</v>
      </c>
      <c r="AF8" s="10">
        <v>80.73</v>
      </c>
      <c r="AG8" s="10">
        <v>19.14</v>
      </c>
      <c r="AH8" s="10">
        <f t="array" ref="AH8">XLOOKUP(B8,'Event 2 Assist'!A:A,'Event 2 Assist'!B:B)</f>
        <v>5200</v>
      </c>
      <c r="AI8" s="10" t="str">
        <f t="shared" si="7"/>
        <v>Veteran</v>
      </c>
      <c r="AJ8" s="34">
        <v>27.0</v>
      </c>
    </row>
    <row r="9">
      <c r="A9" s="64">
        <v>1.0</v>
      </c>
      <c r="B9" s="3" t="s">
        <v>31</v>
      </c>
      <c r="D9" s="39" t="s">
        <v>244</v>
      </c>
      <c r="F9" s="10">
        <v>0.5</v>
      </c>
      <c r="G9" s="3">
        <f t="shared" si="1"/>
        <v>0.6</v>
      </c>
      <c r="H9" s="3">
        <f t="shared" si="2"/>
        <v>13</v>
      </c>
      <c r="I9" s="10">
        <v>0.6</v>
      </c>
      <c r="J9" s="3">
        <f>5/7</f>
        <v>0.7142857143</v>
      </c>
      <c r="L9" s="10">
        <v>0.0</v>
      </c>
      <c r="M9" s="3">
        <f t="shared" si="3"/>
        <v>1</v>
      </c>
      <c r="N9" s="3" t="s">
        <v>215</v>
      </c>
      <c r="O9" s="10">
        <v>13.0</v>
      </c>
      <c r="P9" s="10">
        <v>2.0</v>
      </c>
      <c r="Q9" s="10">
        <v>5.0</v>
      </c>
      <c r="R9" s="10">
        <v>6.0</v>
      </c>
      <c r="S9" s="3">
        <f t="shared" si="4"/>
        <v>15.95</v>
      </c>
      <c r="T9" s="3">
        <f t="shared" si="8"/>
        <v>14</v>
      </c>
      <c r="U9" s="10">
        <v>28.0</v>
      </c>
      <c r="V9" s="10">
        <v>2.0</v>
      </c>
      <c r="W9" s="3">
        <f t="shared" si="5"/>
        <v>13.45</v>
      </c>
      <c r="X9" s="10">
        <v>67.26</v>
      </c>
      <c r="Y9" s="10">
        <v>5.0</v>
      </c>
      <c r="Z9" s="3">
        <f t="shared" si="6"/>
        <v>18.67</v>
      </c>
      <c r="AA9" s="10">
        <v>112.04</v>
      </c>
      <c r="AB9" s="10">
        <v>6.0</v>
      </c>
      <c r="AC9" s="10">
        <v>19.06</v>
      </c>
      <c r="AD9" s="10">
        <v>13.0</v>
      </c>
      <c r="AE9" s="54">
        <v>31.5</v>
      </c>
      <c r="AF9" s="10">
        <v>31.5</v>
      </c>
      <c r="AG9" s="10">
        <v>47.4</v>
      </c>
      <c r="AH9" s="10">
        <f t="array" ref="AH9">XLOOKUP(B9,'Event 2 Assist'!A:A,'Event 2 Assist'!B:B)</f>
        <v>1750</v>
      </c>
      <c r="AI9" s="10" t="str">
        <f t="shared" si="7"/>
        <v>Veteran</v>
      </c>
      <c r="AJ9" s="34">
        <v>6.0</v>
      </c>
    </row>
    <row r="10">
      <c r="A10" s="64">
        <v>1.0</v>
      </c>
      <c r="B10" s="3" t="s">
        <v>39</v>
      </c>
      <c r="D10" s="39" t="s">
        <v>244</v>
      </c>
      <c r="F10" s="10">
        <v>0.5</v>
      </c>
      <c r="G10" s="3">
        <f t="shared" si="1"/>
        <v>0.6</v>
      </c>
      <c r="H10" s="3">
        <f t="shared" si="2"/>
        <v>13</v>
      </c>
      <c r="I10" s="10">
        <v>0.5</v>
      </c>
      <c r="J10" s="10">
        <v>0.8</v>
      </c>
      <c r="L10" s="10">
        <v>0.0</v>
      </c>
      <c r="M10" s="3">
        <f t="shared" si="3"/>
        <v>1</v>
      </c>
      <c r="N10" s="3" t="s">
        <v>215</v>
      </c>
      <c r="O10" s="10">
        <v>5.0</v>
      </c>
      <c r="P10" s="10">
        <v>3.0</v>
      </c>
      <c r="Q10" s="10">
        <v>13.0</v>
      </c>
      <c r="R10" s="10">
        <v>2.0</v>
      </c>
      <c r="S10" s="3">
        <f t="shared" si="4"/>
        <v>13.59</v>
      </c>
      <c r="T10" s="3">
        <f t="shared" si="8"/>
        <v>13.12</v>
      </c>
      <c r="U10" s="10">
        <v>78.74</v>
      </c>
      <c r="V10" s="10">
        <v>6.0</v>
      </c>
      <c r="W10" s="3">
        <f t="shared" si="5"/>
        <v>11.62</v>
      </c>
      <c r="X10" s="10">
        <v>23.23</v>
      </c>
      <c r="Y10" s="10">
        <v>2.0</v>
      </c>
      <c r="Z10" s="3">
        <f t="shared" si="6"/>
        <v>14.93</v>
      </c>
      <c r="AA10" s="10">
        <v>74.67</v>
      </c>
      <c r="AB10" s="10">
        <v>5.0</v>
      </c>
      <c r="AC10" s="10">
        <v>17.4</v>
      </c>
      <c r="AD10" s="10">
        <v>5.0</v>
      </c>
      <c r="AE10" s="54">
        <v>76.83</v>
      </c>
      <c r="AF10" s="10">
        <v>76.83</v>
      </c>
      <c r="AG10" s="10">
        <v>33.09</v>
      </c>
      <c r="AH10" s="10">
        <f t="array" ref="AH10">XLOOKUP(B10,'Event 2 Assist'!A:A,'Event 2 Assist'!B:B)</f>
        <v>5200</v>
      </c>
      <c r="AI10" s="10" t="str">
        <f t="shared" si="7"/>
        <v>Veteran</v>
      </c>
      <c r="AJ10" s="34">
        <v>16.0</v>
      </c>
    </row>
    <row r="11">
      <c r="A11" s="78">
        <v>1.0</v>
      </c>
      <c r="B11" s="3" t="s">
        <v>33</v>
      </c>
      <c r="D11" s="39" t="s">
        <v>244</v>
      </c>
      <c r="F11" s="10">
        <v>0.5</v>
      </c>
      <c r="G11" s="3">
        <f t="shared" si="1"/>
        <v>0.17</v>
      </c>
      <c r="H11" s="3">
        <f t="shared" si="2"/>
        <v>9</v>
      </c>
      <c r="I11" s="10">
        <v>0.0</v>
      </c>
      <c r="J11" s="10">
        <v>0.0</v>
      </c>
      <c r="L11" s="10">
        <v>0.0</v>
      </c>
      <c r="M11" s="3">
        <f t="shared" si="3"/>
        <v>0</v>
      </c>
      <c r="N11" s="3" t="s">
        <v>213</v>
      </c>
      <c r="O11" s="10">
        <v>9.0</v>
      </c>
      <c r="P11" s="10">
        <v>99.0</v>
      </c>
      <c r="Q11" s="10">
        <v>25.0</v>
      </c>
      <c r="R11" s="10">
        <v>0.0</v>
      </c>
      <c r="S11" s="3">
        <f t="shared" si="4"/>
        <v>12.23</v>
      </c>
      <c r="T11" s="3">
        <f t="shared" si="8"/>
        <v>12.73</v>
      </c>
      <c r="U11" s="10">
        <v>50.93</v>
      </c>
      <c r="V11" s="10">
        <v>4.0</v>
      </c>
      <c r="W11" s="3">
        <f t="shared" si="5"/>
        <v>10.72</v>
      </c>
      <c r="X11" s="10">
        <v>21.43</v>
      </c>
      <c r="Y11" s="10">
        <v>2.0</v>
      </c>
      <c r="Z11" s="10">
        <v>12.58</v>
      </c>
      <c r="AA11" s="10">
        <f>Z11*AB11</f>
        <v>37.74</v>
      </c>
      <c r="AB11" s="10">
        <v>3.0</v>
      </c>
      <c r="AC11" s="10">
        <v>14.07</v>
      </c>
      <c r="AD11" s="10">
        <v>25.0</v>
      </c>
      <c r="AE11" s="54">
        <v>26.87</v>
      </c>
      <c r="AF11" s="10">
        <v>26.87</v>
      </c>
      <c r="AG11" s="10">
        <v>85.42</v>
      </c>
      <c r="AH11" s="10">
        <f t="array" ref="AH11">XLOOKUP(B11,'Event 2 Assist'!A:A,'Event 2 Assist'!B:B)</f>
        <v>500</v>
      </c>
      <c r="AI11" s="10" t="str">
        <f t="shared" si="7"/>
        <v>Experienced</v>
      </c>
      <c r="AJ11" s="34">
        <v>4.0</v>
      </c>
    </row>
    <row r="12">
      <c r="A12" s="78">
        <v>1.0</v>
      </c>
      <c r="B12" s="3" t="s">
        <v>42</v>
      </c>
      <c r="D12" s="39" t="s">
        <v>244</v>
      </c>
      <c r="F12" s="10">
        <v>0.4</v>
      </c>
      <c r="G12" s="3">
        <f t="shared" si="1"/>
        <v>0.55</v>
      </c>
      <c r="H12" s="3">
        <f t="shared" si="2"/>
        <v>15</v>
      </c>
      <c r="I12" s="10">
        <v>0.75</v>
      </c>
      <c r="J12" s="10">
        <v>0.5</v>
      </c>
      <c r="L12" s="10">
        <v>0.0</v>
      </c>
      <c r="M12" s="3">
        <f t="shared" si="3"/>
        <v>0</v>
      </c>
      <c r="N12" s="3" t="s">
        <v>213</v>
      </c>
      <c r="O12" s="10">
        <v>5.0</v>
      </c>
      <c r="P12" s="10">
        <v>13.0</v>
      </c>
      <c r="Q12" s="10">
        <v>1.0</v>
      </c>
      <c r="R12" s="10">
        <v>1.0</v>
      </c>
      <c r="S12" s="3">
        <f t="shared" si="4"/>
        <v>13.2</v>
      </c>
      <c r="T12" s="3">
        <f t="shared" si="8"/>
        <v>11.68</v>
      </c>
      <c r="U12" s="10">
        <v>58.4</v>
      </c>
      <c r="V12" s="10">
        <v>5.0</v>
      </c>
      <c r="W12" s="3">
        <f t="shared" si="5"/>
        <v>13.88</v>
      </c>
      <c r="X12" s="10">
        <v>111.05</v>
      </c>
      <c r="Y12" s="10">
        <v>8.0</v>
      </c>
      <c r="Z12" s="3">
        <f t="shared" ref="Z12:Z17" si="9">ROUND(AA12/AB12,2)</f>
        <v>14.3</v>
      </c>
      <c r="AA12" s="10">
        <v>28.6</v>
      </c>
      <c r="AB12" s="10">
        <v>2.0</v>
      </c>
      <c r="AC12" s="10">
        <v>17.53</v>
      </c>
      <c r="AD12" s="10">
        <v>9.0</v>
      </c>
      <c r="AE12" s="54">
        <v>58.5</v>
      </c>
      <c r="AF12" s="10">
        <v>58.5</v>
      </c>
      <c r="AG12" s="10">
        <v>69.93</v>
      </c>
      <c r="AH12" s="10">
        <f t="array" ref="AH12">XLOOKUP(B12,'Event 2 Assist'!A:A,'Event 2 Assist'!B:B)</f>
        <v>4000</v>
      </c>
      <c r="AI12" s="10" t="str">
        <f t="shared" si="7"/>
        <v>Veteran</v>
      </c>
      <c r="AJ12" s="34">
        <v>11.0</v>
      </c>
    </row>
    <row r="13">
      <c r="A13" s="78">
        <v>1.0</v>
      </c>
      <c r="B13" s="3" t="s">
        <v>38</v>
      </c>
      <c r="D13" s="39" t="s">
        <v>244</v>
      </c>
      <c r="F13" s="3">
        <f>1/3</f>
        <v>0.3333333333</v>
      </c>
      <c r="G13" s="3">
        <f t="shared" si="1"/>
        <v>0.56</v>
      </c>
      <c r="H13" s="3">
        <f t="shared" si="2"/>
        <v>14</v>
      </c>
      <c r="I13" s="10">
        <v>0.5</v>
      </c>
      <c r="J13" s="3">
        <f>6/7</f>
        <v>0.8571428571</v>
      </c>
      <c r="L13" s="10">
        <v>0.0</v>
      </c>
      <c r="M13" s="3">
        <f t="shared" si="3"/>
        <v>0</v>
      </c>
      <c r="N13" s="3" t="s">
        <v>211</v>
      </c>
      <c r="O13" s="10">
        <v>13.0</v>
      </c>
      <c r="P13" s="10">
        <v>1.0</v>
      </c>
      <c r="Q13" s="10">
        <v>9.0</v>
      </c>
      <c r="R13" s="10">
        <v>3.0</v>
      </c>
      <c r="S13" s="3">
        <f t="shared" si="4"/>
        <v>13.49</v>
      </c>
      <c r="T13" s="3">
        <f t="shared" si="8"/>
        <v>11.11</v>
      </c>
      <c r="U13" s="10">
        <v>33.32</v>
      </c>
      <c r="V13" s="10">
        <v>3.0</v>
      </c>
      <c r="W13" s="3">
        <f t="shared" si="5"/>
        <v>12.23</v>
      </c>
      <c r="X13" s="10">
        <v>48.93</v>
      </c>
      <c r="Y13" s="10">
        <v>4.0</v>
      </c>
      <c r="Z13" s="3">
        <f t="shared" si="9"/>
        <v>15.24</v>
      </c>
      <c r="AA13" s="10">
        <v>106.67</v>
      </c>
      <c r="AB13" s="10">
        <v>7.0</v>
      </c>
      <c r="AC13" s="10">
        <v>17.73</v>
      </c>
      <c r="AD13" s="10">
        <v>13.0</v>
      </c>
      <c r="AE13" s="54">
        <v>42.8</v>
      </c>
      <c r="AF13" s="10">
        <v>42.8</v>
      </c>
      <c r="AG13" s="10">
        <v>57.9</v>
      </c>
      <c r="AH13" s="10">
        <f t="array" ref="AH13">XLOOKUP(B13,'Event 2 Assist'!A:A,'Event 2 Assist'!B:B)</f>
        <v>1750</v>
      </c>
      <c r="AI13" s="10" t="str">
        <f t="shared" si="7"/>
        <v>Veteran</v>
      </c>
      <c r="AJ13" s="34">
        <v>5.0</v>
      </c>
    </row>
    <row r="14">
      <c r="A14" s="78">
        <v>1.0</v>
      </c>
      <c r="B14" s="3" t="s">
        <v>45</v>
      </c>
      <c r="D14" s="39" t="s">
        <v>244</v>
      </c>
      <c r="F14" s="3">
        <f>5/7</f>
        <v>0.7142857143</v>
      </c>
      <c r="G14" s="3">
        <f t="shared" si="1"/>
        <v>0.54</v>
      </c>
      <c r="H14" s="3">
        <f t="shared" si="2"/>
        <v>14</v>
      </c>
      <c r="I14" s="10">
        <v>0.4</v>
      </c>
      <c r="J14" s="10">
        <v>0.5</v>
      </c>
      <c r="L14" s="10">
        <v>0.0</v>
      </c>
      <c r="M14" s="3">
        <f t="shared" si="3"/>
        <v>0</v>
      </c>
      <c r="N14" s="3" t="s">
        <v>214</v>
      </c>
      <c r="O14" s="10">
        <v>2.0</v>
      </c>
      <c r="P14" s="10">
        <v>13.0</v>
      </c>
      <c r="Q14" s="10">
        <v>9.0</v>
      </c>
      <c r="R14" s="10">
        <v>0.0</v>
      </c>
      <c r="S14" s="3">
        <f t="shared" si="4"/>
        <v>11.67</v>
      </c>
      <c r="T14" s="3">
        <f t="shared" si="8"/>
        <v>12.18</v>
      </c>
      <c r="U14" s="10">
        <v>85.24</v>
      </c>
      <c r="V14" s="10">
        <v>7.0</v>
      </c>
      <c r="W14" s="3">
        <f t="shared" si="5"/>
        <v>10.06</v>
      </c>
      <c r="X14" s="10">
        <v>50.32</v>
      </c>
      <c r="Y14" s="10">
        <v>5.0</v>
      </c>
      <c r="Z14" s="3">
        <f t="shared" si="9"/>
        <v>13.92</v>
      </c>
      <c r="AA14" s="10">
        <v>27.83</v>
      </c>
      <c r="AB14" s="10">
        <v>2.0</v>
      </c>
      <c r="AC14" s="10">
        <v>15.25</v>
      </c>
      <c r="AD14" s="10">
        <v>25.0</v>
      </c>
      <c r="AE14" s="54">
        <v>21.43</v>
      </c>
      <c r="AF14" s="10">
        <v>21.43</v>
      </c>
      <c r="AG14" s="10">
        <v>11.34</v>
      </c>
      <c r="AH14" s="10">
        <f t="array" ref="AH14">XLOOKUP(B14,'Event 2 Assist'!A:A,'Event 2 Assist'!B:B)</f>
        <v>500</v>
      </c>
      <c r="AI14" s="10" t="str">
        <f t="shared" si="7"/>
        <v>Veteran</v>
      </c>
      <c r="AJ14" s="34">
        <v>6.0</v>
      </c>
    </row>
    <row r="15">
      <c r="A15" s="78">
        <v>1.0</v>
      </c>
      <c r="B15" s="3" t="s">
        <v>47</v>
      </c>
      <c r="D15" s="39" t="s">
        <v>247</v>
      </c>
      <c r="F15" s="3">
        <f>1/3</f>
        <v>0.3333333333</v>
      </c>
      <c r="G15" s="3">
        <f t="shared" si="1"/>
        <v>0.48</v>
      </c>
      <c r="H15" s="3">
        <f t="shared" si="2"/>
        <v>10</v>
      </c>
      <c r="I15" s="10">
        <v>0.5</v>
      </c>
      <c r="J15" s="10">
        <v>0.6</v>
      </c>
      <c r="L15" s="10">
        <v>0.0</v>
      </c>
      <c r="M15" s="3">
        <f t="shared" si="3"/>
        <v>1</v>
      </c>
      <c r="N15" s="3" t="s">
        <v>215</v>
      </c>
      <c r="O15" s="10">
        <v>13.0</v>
      </c>
      <c r="P15" s="10">
        <v>9.0</v>
      </c>
      <c r="Q15" s="10">
        <v>13.0</v>
      </c>
      <c r="R15" s="10">
        <v>1.0</v>
      </c>
      <c r="S15" s="3">
        <f t="shared" si="4"/>
        <v>11.96</v>
      </c>
      <c r="T15" s="3">
        <f t="shared" si="8"/>
        <v>9.41</v>
      </c>
      <c r="U15" s="10">
        <v>28.23</v>
      </c>
      <c r="V15" s="10">
        <v>3.0</v>
      </c>
      <c r="W15" s="3">
        <f t="shared" si="5"/>
        <v>10.26</v>
      </c>
      <c r="X15" s="10">
        <v>20.51</v>
      </c>
      <c r="Y15" s="10">
        <v>2.0</v>
      </c>
      <c r="Z15" s="3">
        <f t="shared" si="9"/>
        <v>14.18</v>
      </c>
      <c r="AA15" s="10">
        <v>70.9</v>
      </c>
      <c r="AB15" s="10">
        <v>5.0</v>
      </c>
      <c r="AC15" s="10">
        <v>18.0</v>
      </c>
      <c r="AD15" s="10">
        <v>25.0</v>
      </c>
      <c r="AE15" s="54">
        <v>29.4</v>
      </c>
      <c r="AF15" s="10">
        <v>29.4</v>
      </c>
      <c r="AG15" s="10">
        <v>34.17</v>
      </c>
      <c r="AH15" s="10">
        <f t="array" ref="AH15">XLOOKUP(B15,'Event 2 Assist'!A:A,'Event 2 Assist'!B:B)</f>
        <v>500</v>
      </c>
      <c r="AI15" s="10" t="str">
        <f t="shared" si="7"/>
        <v>Veteran</v>
      </c>
      <c r="AJ15" s="34">
        <v>7.0</v>
      </c>
    </row>
    <row r="16">
      <c r="A16" s="64">
        <v>0.0</v>
      </c>
      <c r="B16" s="79" t="s">
        <v>17</v>
      </c>
      <c r="D16" s="39" t="s">
        <v>247</v>
      </c>
      <c r="F16" s="10">
        <v>0.0</v>
      </c>
      <c r="G16" s="3">
        <f t="shared" si="1"/>
        <v>0.33</v>
      </c>
      <c r="H16" s="3">
        <f t="shared" si="2"/>
        <v>11</v>
      </c>
      <c r="I16" s="3">
        <f>1/3</f>
        <v>0.3333333333</v>
      </c>
      <c r="J16" s="3">
        <f>4/6</f>
        <v>0.6666666667</v>
      </c>
      <c r="L16" s="10">
        <v>0.0</v>
      </c>
      <c r="M16" s="3">
        <f t="shared" si="3"/>
        <v>0</v>
      </c>
      <c r="N16" s="3" t="s">
        <v>213</v>
      </c>
      <c r="R16" s="10">
        <v>1.0</v>
      </c>
      <c r="S16" s="3">
        <f t="shared" si="4"/>
        <v>13.76</v>
      </c>
      <c r="T16" s="80">
        <v>13.86</v>
      </c>
      <c r="U16" s="10">
        <v>27.72</v>
      </c>
      <c r="V16" s="10">
        <v>2.0</v>
      </c>
      <c r="W16" s="3">
        <f t="shared" si="5"/>
        <v>11.94</v>
      </c>
      <c r="X16" s="10">
        <v>35.83</v>
      </c>
      <c r="Y16" s="10">
        <v>3.0</v>
      </c>
      <c r="Z16" s="3">
        <f t="shared" si="9"/>
        <v>14.64</v>
      </c>
      <c r="AA16" s="10">
        <v>87.81</v>
      </c>
      <c r="AB16" s="10">
        <v>6.0</v>
      </c>
      <c r="AC16" s="10">
        <v>17.96</v>
      </c>
      <c r="AD16" s="10">
        <v>5.0</v>
      </c>
      <c r="AE16" s="54">
        <v>82.32</v>
      </c>
      <c r="AF16" s="10">
        <v>82.32</v>
      </c>
      <c r="AG16" s="10">
        <v>0.0</v>
      </c>
      <c r="AH16" s="10">
        <f t="array" ref="AH16">XLOOKUP(B16,'Event 2 Assist'!A:A,'Event 2 Assist'!B:B)</f>
        <v>5200</v>
      </c>
      <c r="AI16" s="10" t="str">
        <f t="shared" si="7"/>
        <v>Experienced</v>
      </c>
      <c r="AJ16" s="34">
        <v>2.0</v>
      </c>
    </row>
    <row r="17">
      <c r="A17" s="78">
        <v>1.0</v>
      </c>
      <c r="B17" s="3" t="s">
        <v>40</v>
      </c>
      <c r="D17" s="39" t="s">
        <v>244</v>
      </c>
      <c r="F17" s="10">
        <v>0.0</v>
      </c>
      <c r="G17" s="3">
        <f t="shared" si="1"/>
        <v>0.17</v>
      </c>
      <c r="H17" s="3">
        <f t="shared" si="2"/>
        <v>10</v>
      </c>
      <c r="I17" s="10">
        <v>0.0</v>
      </c>
      <c r="J17" s="10">
        <v>0.5</v>
      </c>
      <c r="L17" s="10">
        <v>0.0</v>
      </c>
      <c r="M17" s="3">
        <f t="shared" si="3"/>
        <v>0</v>
      </c>
      <c r="N17" s="3" t="s">
        <v>213</v>
      </c>
      <c r="O17" s="10">
        <v>99.0</v>
      </c>
      <c r="P17" s="10">
        <v>5.0</v>
      </c>
      <c r="Q17" s="10">
        <v>99.0</v>
      </c>
      <c r="R17" s="10">
        <v>1.0</v>
      </c>
      <c r="S17" s="3">
        <f t="shared" si="4"/>
        <v>12.45</v>
      </c>
      <c r="T17" s="80">
        <v>13.86</v>
      </c>
      <c r="U17" s="10">
        <v>27.72</v>
      </c>
      <c r="V17" s="10">
        <v>2.0</v>
      </c>
      <c r="W17" s="10">
        <v>7.84</v>
      </c>
      <c r="X17" s="3">
        <f>W17*Y17</f>
        <v>15.68</v>
      </c>
      <c r="Y17" s="10">
        <v>2.0</v>
      </c>
      <c r="Z17" s="3">
        <f t="shared" si="9"/>
        <v>13.52</v>
      </c>
      <c r="AA17" s="10">
        <v>81.14</v>
      </c>
      <c r="AB17" s="10">
        <v>6.0</v>
      </c>
      <c r="AC17" s="10">
        <v>16.27</v>
      </c>
      <c r="AD17" s="10">
        <v>13.0</v>
      </c>
      <c r="AE17" s="54">
        <v>40.97</v>
      </c>
      <c r="AF17" s="10">
        <v>40.97</v>
      </c>
      <c r="AG17" s="10">
        <v>23.32</v>
      </c>
      <c r="AH17" s="10">
        <f t="array" ref="AH17">XLOOKUP(B17,'Event 2 Assist'!A:A,'Event 2 Assist'!B:B)</f>
        <v>1750</v>
      </c>
      <c r="AI17" s="10" t="str">
        <f t="shared" si="7"/>
        <v>Experienced</v>
      </c>
      <c r="AJ17" s="34">
        <v>2.0</v>
      </c>
    </row>
    <row r="18">
      <c r="A18" s="78">
        <v>1.0</v>
      </c>
      <c r="B18" s="3" t="s">
        <v>41</v>
      </c>
      <c r="D18" s="39" t="s">
        <v>244</v>
      </c>
      <c r="F18" s="10">
        <v>0.5</v>
      </c>
      <c r="G18" s="3">
        <f t="shared" si="1"/>
        <v>0.33</v>
      </c>
      <c r="H18" s="3">
        <f t="shared" si="2"/>
        <v>7</v>
      </c>
      <c r="I18" s="10">
        <v>0.5</v>
      </c>
      <c r="J18" s="10">
        <v>0.0</v>
      </c>
      <c r="L18" s="10">
        <v>0.0</v>
      </c>
      <c r="M18" s="3">
        <f t="shared" si="3"/>
        <v>1</v>
      </c>
      <c r="N18" s="3" t="s">
        <v>215</v>
      </c>
      <c r="O18" s="10">
        <v>13.0</v>
      </c>
      <c r="P18" s="10">
        <v>99.0</v>
      </c>
      <c r="Q18" s="10">
        <v>13.0</v>
      </c>
      <c r="R18" s="10">
        <v>0.0</v>
      </c>
      <c r="S18" s="3">
        <f t="shared" si="4"/>
        <v>12.66</v>
      </c>
      <c r="T18" s="3">
        <f>Round(U18/V18,2)</f>
        <v>11.5</v>
      </c>
      <c r="U18" s="10">
        <v>23.0</v>
      </c>
      <c r="V18" s="10">
        <v>2.0</v>
      </c>
      <c r="W18" s="3">
        <f>ROUND(X18/Y18,2)</f>
        <v>13.95</v>
      </c>
      <c r="X18" s="10">
        <v>27.9</v>
      </c>
      <c r="Y18" s="10">
        <v>2.0</v>
      </c>
      <c r="Z18" s="10">
        <v>12.58</v>
      </c>
      <c r="AA18" s="10">
        <f>Z18*AB18</f>
        <v>37.74</v>
      </c>
      <c r="AB18" s="10">
        <v>3.0</v>
      </c>
      <c r="AC18" s="10">
        <v>14.0</v>
      </c>
      <c r="AD18" s="10">
        <v>13.0</v>
      </c>
      <c r="AE18" s="54">
        <v>28.27</v>
      </c>
      <c r="AF18" s="10">
        <v>28.27</v>
      </c>
      <c r="AG18" s="10">
        <v>19.43</v>
      </c>
      <c r="AH18" s="10">
        <f t="array" ref="AH18">XLOOKUP(B18,'Event 2 Assist'!A:A,'Event 2 Assist'!B:B)</f>
        <v>1750</v>
      </c>
      <c r="AI18" s="10" t="str">
        <f t="shared" si="7"/>
        <v>Veteran</v>
      </c>
      <c r="AJ18" s="34">
        <v>15.0</v>
      </c>
    </row>
    <row r="19">
      <c r="A19" s="78">
        <v>1.0</v>
      </c>
      <c r="B19" s="3" t="s">
        <v>52</v>
      </c>
      <c r="D19" s="39" t="s">
        <v>244</v>
      </c>
      <c r="F19" s="10">
        <v>0.0</v>
      </c>
      <c r="G19" s="3">
        <f t="shared" si="1"/>
        <v>0</v>
      </c>
      <c r="H19" s="3">
        <f t="shared" si="2"/>
        <v>6</v>
      </c>
      <c r="I19" s="10">
        <v>0.0</v>
      </c>
      <c r="J19" s="10">
        <v>0.0</v>
      </c>
      <c r="L19" s="10">
        <v>0.0</v>
      </c>
      <c r="M19" s="3">
        <f t="shared" si="3"/>
        <v>0</v>
      </c>
      <c r="N19" s="3" t="s">
        <v>214</v>
      </c>
      <c r="O19" s="10">
        <v>99.0</v>
      </c>
      <c r="P19" s="10">
        <v>25.0</v>
      </c>
      <c r="Q19" s="10">
        <v>99.0</v>
      </c>
      <c r="R19" s="10">
        <v>0.0</v>
      </c>
      <c r="S19" s="3">
        <f t="shared" si="4"/>
        <v>11.22</v>
      </c>
      <c r="T19" s="80">
        <v>13.86</v>
      </c>
      <c r="U19" s="10">
        <v>27.72</v>
      </c>
      <c r="V19" s="10">
        <v>2.0</v>
      </c>
      <c r="W19" s="10">
        <v>7.84</v>
      </c>
      <c r="X19" s="3">
        <f t="shared" ref="X19:X21" si="10">W19*Y19</f>
        <v>15.68</v>
      </c>
      <c r="Y19" s="10">
        <v>2.0</v>
      </c>
      <c r="Z19" s="3">
        <f t="shared" ref="Z19:Z23" si="11">ROUND(AA19/AB19,2)</f>
        <v>11.95</v>
      </c>
      <c r="AA19" s="10">
        <v>23.89</v>
      </c>
      <c r="AB19" s="10">
        <v>2.0</v>
      </c>
      <c r="AC19" s="10">
        <v>12.63</v>
      </c>
      <c r="AD19" s="10">
        <v>9.0</v>
      </c>
      <c r="AE19" s="54">
        <v>63.3</v>
      </c>
      <c r="AF19" s="10">
        <v>63.3</v>
      </c>
      <c r="AG19" s="10">
        <v>51.83</v>
      </c>
      <c r="AH19" s="10">
        <f t="array" ref="AH19">XLOOKUP(B19,'Event 2 Assist'!A:A,'Event 2 Assist'!B:B)</f>
        <v>4000</v>
      </c>
      <c r="AI19" s="10" t="str">
        <f t="shared" si="7"/>
        <v>Experienced</v>
      </c>
      <c r="AJ19" s="34">
        <v>1.0</v>
      </c>
    </row>
    <row r="20">
      <c r="A20" s="78">
        <v>1.0</v>
      </c>
      <c r="B20" s="3" t="s">
        <v>36</v>
      </c>
      <c r="D20" s="39" t="s">
        <v>244</v>
      </c>
      <c r="F20" s="10">
        <v>0.0</v>
      </c>
      <c r="G20" s="3">
        <f t="shared" si="1"/>
        <v>0</v>
      </c>
      <c r="H20" s="3">
        <f t="shared" si="2"/>
        <v>6</v>
      </c>
      <c r="I20" s="10">
        <v>0.0</v>
      </c>
      <c r="J20" s="10">
        <v>0.0</v>
      </c>
      <c r="L20" s="10">
        <v>0.0</v>
      </c>
      <c r="M20" s="3">
        <f t="shared" si="3"/>
        <v>0</v>
      </c>
      <c r="N20" s="3" t="s">
        <v>214</v>
      </c>
      <c r="O20" s="10">
        <v>99.0</v>
      </c>
      <c r="P20" s="10">
        <v>25.0</v>
      </c>
      <c r="Q20" s="10">
        <v>99.0</v>
      </c>
      <c r="R20" s="10">
        <v>0.0</v>
      </c>
      <c r="S20" s="3">
        <f t="shared" si="4"/>
        <v>10.98</v>
      </c>
      <c r="T20" s="80">
        <v>13.86</v>
      </c>
      <c r="U20" s="10">
        <v>27.72</v>
      </c>
      <c r="V20" s="10">
        <v>2.0</v>
      </c>
      <c r="W20" s="10">
        <v>7.84</v>
      </c>
      <c r="X20" s="3">
        <f t="shared" si="10"/>
        <v>15.68</v>
      </c>
      <c r="Y20" s="10">
        <v>2.0</v>
      </c>
      <c r="Z20" s="3">
        <f t="shared" si="11"/>
        <v>11.24</v>
      </c>
      <c r="AA20" s="10">
        <v>22.47</v>
      </c>
      <c r="AB20" s="10">
        <v>2.0</v>
      </c>
      <c r="AC20" s="10">
        <v>13.3</v>
      </c>
      <c r="AD20" s="10">
        <v>13.0</v>
      </c>
      <c r="AE20" s="54">
        <v>37.17</v>
      </c>
      <c r="AF20" s="10">
        <v>37.17</v>
      </c>
      <c r="AG20" s="10">
        <v>10.37</v>
      </c>
      <c r="AH20" s="10">
        <f t="array" ref="AH20">XLOOKUP(B20,'Event 2 Assist'!A:A,'Event 2 Assist'!B:B)</f>
        <v>1750</v>
      </c>
      <c r="AI20" s="10" t="str">
        <f t="shared" si="7"/>
        <v>Experienced</v>
      </c>
      <c r="AJ20" s="34">
        <v>1.0</v>
      </c>
    </row>
    <row r="21">
      <c r="A21" s="64">
        <v>1.0</v>
      </c>
      <c r="B21" s="10" t="s">
        <v>53</v>
      </c>
      <c r="D21" s="39" t="s">
        <v>244</v>
      </c>
      <c r="F21" s="10">
        <v>0.0</v>
      </c>
      <c r="G21" s="3">
        <f t="shared" si="1"/>
        <v>0.11</v>
      </c>
      <c r="H21" s="3">
        <f t="shared" si="2"/>
        <v>7</v>
      </c>
      <c r="I21" s="10">
        <v>0.0</v>
      </c>
      <c r="J21" s="10">
        <f t="shared" ref="J21:J23" si="12">1/3</f>
        <v>0.3333333333</v>
      </c>
      <c r="L21" s="10">
        <v>0.0</v>
      </c>
      <c r="M21" s="3">
        <f t="shared" si="3"/>
        <v>0</v>
      </c>
      <c r="N21" s="3" t="s">
        <v>217</v>
      </c>
      <c r="O21" s="10">
        <v>99.0</v>
      </c>
      <c r="P21" s="10">
        <v>13.0</v>
      </c>
      <c r="Q21" s="10">
        <v>99.0</v>
      </c>
      <c r="R21" s="10">
        <v>0.0</v>
      </c>
      <c r="S21" s="3">
        <f t="shared" si="4"/>
        <v>12.33</v>
      </c>
      <c r="T21" s="80">
        <v>13.86</v>
      </c>
      <c r="U21" s="10">
        <v>27.72</v>
      </c>
      <c r="V21" s="10">
        <v>2.0</v>
      </c>
      <c r="W21" s="10">
        <v>7.84</v>
      </c>
      <c r="X21" s="3">
        <f t="shared" si="10"/>
        <v>15.68</v>
      </c>
      <c r="Y21" s="10">
        <v>2.0</v>
      </c>
      <c r="Z21" s="3">
        <f t="shared" si="11"/>
        <v>14.31</v>
      </c>
      <c r="AA21" s="10">
        <v>42.93</v>
      </c>
      <c r="AB21" s="10">
        <v>3.0</v>
      </c>
      <c r="AC21" s="10">
        <v>14.54</v>
      </c>
      <c r="AD21" s="10">
        <v>25.0</v>
      </c>
      <c r="AE21" s="54">
        <v>16.77</v>
      </c>
      <c r="AF21" s="10">
        <v>16.77</v>
      </c>
      <c r="AG21" s="10">
        <v>25.37</v>
      </c>
      <c r="AH21" s="10">
        <f t="array" ref="AH21">XLOOKUP(B21,'Event 2 Assist'!A:A,'Event 2 Assist'!B:B)</f>
        <v>500</v>
      </c>
      <c r="AI21" s="10" t="str">
        <f t="shared" si="7"/>
        <v>Experienced</v>
      </c>
      <c r="AJ21" s="34">
        <v>1.0</v>
      </c>
    </row>
    <row r="22">
      <c r="A22" s="78">
        <v>1.0</v>
      </c>
      <c r="B22" s="3" t="s">
        <v>54</v>
      </c>
      <c r="D22" s="39" t="s">
        <v>247</v>
      </c>
      <c r="F22" s="10">
        <v>0.0</v>
      </c>
      <c r="G22" s="3">
        <f t="shared" si="1"/>
        <v>0.11</v>
      </c>
      <c r="H22" s="3">
        <f t="shared" si="2"/>
        <v>7</v>
      </c>
      <c r="I22" s="10">
        <v>0.0</v>
      </c>
      <c r="J22" s="3">
        <f t="shared" si="12"/>
        <v>0.3333333333</v>
      </c>
      <c r="L22" s="10">
        <v>0.0</v>
      </c>
      <c r="M22" s="3">
        <f t="shared" si="3"/>
        <v>0</v>
      </c>
      <c r="N22" s="3" t="s">
        <v>213</v>
      </c>
      <c r="O22" s="10">
        <v>99.0</v>
      </c>
      <c r="P22" s="10">
        <v>13.0</v>
      </c>
      <c r="Q22" s="10">
        <v>25.0</v>
      </c>
      <c r="R22" s="10">
        <v>1.0</v>
      </c>
      <c r="S22" s="3">
        <f t="shared" si="4"/>
        <v>12.51</v>
      </c>
      <c r="T22" s="80">
        <v>13.86</v>
      </c>
      <c r="U22" s="10">
        <v>27.72</v>
      </c>
      <c r="V22" s="10">
        <v>2.0</v>
      </c>
      <c r="W22" s="3">
        <f t="shared" ref="W22:W25" si="13">ROUND(X22/Y22,2)</f>
        <v>8.06</v>
      </c>
      <c r="X22" s="10">
        <v>16.12</v>
      </c>
      <c r="Y22" s="10">
        <v>2.0</v>
      </c>
      <c r="Z22" s="3">
        <f t="shared" si="11"/>
        <v>14.59</v>
      </c>
      <c r="AA22" s="10">
        <v>43.76</v>
      </c>
      <c r="AB22" s="10">
        <v>3.0</v>
      </c>
      <c r="AC22" s="10">
        <v>18.06</v>
      </c>
      <c r="AD22" s="10">
        <v>25.0</v>
      </c>
      <c r="AE22" s="54">
        <v>24.0</v>
      </c>
      <c r="AF22" s="10">
        <v>24.0</v>
      </c>
      <c r="AG22" s="10">
        <v>14.24</v>
      </c>
      <c r="AH22" s="10">
        <f t="array" ref="AH22">XLOOKUP(B22,'Event 2 Assist'!A:A,'Event 2 Assist'!B:B)</f>
        <v>500</v>
      </c>
      <c r="AI22" s="10" t="str">
        <f t="shared" si="7"/>
        <v>Experienced</v>
      </c>
      <c r="AJ22" s="34">
        <v>2.0</v>
      </c>
    </row>
    <row r="23">
      <c r="A23" s="78">
        <v>1.0</v>
      </c>
      <c r="B23" s="3" t="s">
        <v>55</v>
      </c>
      <c r="D23" s="39" t="s">
        <v>247</v>
      </c>
      <c r="F23" s="10">
        <v>0.5</v>
      </c>
      <c r="G23" s="3">
        <f t="shared" si="1"/>
        <v>0.41</v>
      </c>
      <c r="H23" s="3">
        <f t="shared" si="2"/>
        <v>9</v>
      </c>
      <c r="I23" s="10">
        <v>0.4</v>
      </c>
      <c r="J23" s="3">
        <f t="shared" si="12"/>
        <v>0.3333333333</v>
      </c>
      <c r="L23" s="10">
        <v>0.0</v>
      </c>
      <c r="M23" s="3">
        <f t="shared" si="3"/>
        <v>0</v>
      </c>
      <c r="N23" s="3" t="s">
        <v>213</v>
      </c>
      <c r="O23" s="10">
        <v>9.0</v>
      </c>
      <c r="P23" s="10">
        <v>13.0</v>
      </c>
      <c r="Q23" s="10">
        <v>13.0</v>
      </c>
      <c r="R23" s="10">
        <v>0.0</v>
      </c>
      <c r="S23" s="3">
        <f t="shared" si="4"/>
        <v>10.53</v>
      </c>
      <c r="T23" s="3">
        <f t="shared" ref="T23:T25" si="14">Round(U23/V23,2)</f>
        <v>10.15</v>
      </c>
      <c r="U23" s="10">
        <v>40.58</v>
      </c>
      <c r="V23" s="10">
        <v>4.0</v>
      </c>
      <c r="W23" s="3">
        <f t="shared" si="13"/>
        <v>12.4</v>
      </c>
      <c r="X23" s="10">
        <v>24.8</v>
      </c>
      <c r="Y23" s="10">
        <v>2.0</v>
      </c>
      <c r="Z23" s="3">
        <f t="shared" si="11"/>
        <v>9.8</v>
      </c>
      <c r="AA23" s="10">
        <v>29.4</v>
      </c>
      <c r="AB23" s="10">
        <v>3.0</v>
      </c>
      <c r="AC23" s="10">
        <v>14.5</v>
      </c>
      <c r="AD23" s="10">
        <v>13.0</v>
      </c>
      <c r="AE23" s="54">
        <v>41.08</v>
      </c>
      <c r="AF23" s="10">
        <v>41.08</v>
      </c>
      <c r="AG23" s="10">
        <v>17.37</v>
      </c>
      <c r="AH23" s="10">
        <f t="array" ref="AH23">XLOOKUP(B23,'Event 2 Assist'!A:A,'Event 2 Assist'!B:B)</f>
        <v>1750</v>
      </c>
      <c r="AI23" s="10" t="str">
        <f t="shared" si="7"/>
        <v>Veteran</v>
      </c>
      <c r="AJ23" s="34">
        <v>6.0</v>
      </c>
    </row>
    <row r="24">
      <c r="A24" s="78">
        <v>1.0</v>
      </c>
      <c r="B24" s="3" t="s">
        <v>57</v>
      </c>
      <c r="D24" s="39" t="s">
        <v>247</v>
      </c>
      <c r="F24" s="3">
        <f>1/3</f>
        <v>0.3333333333</v>
      </c>
      <c r="G24" s="3">
        <f t="shared" si="1"/>
        <v>0.28</v>
      </c>
      <c r="H24" s="3">
        <f t="shared" si="2"/>
        <v>11</v>
      </c>
      <c r="I24" s="10">
        <v>0.5</v>
      </c>
      <c r="J24" s="10">
        <v>0.0</v>
      </c>
      <c r="L24" s="10">
        <v>0.0</v>
      </c>
      <c r="M24" s="3">
        <f t="shared" si="3"/>
        <v>1</v>
      </c>
      <c r="N24" s="3" t="s">
        <v>215</v>
      </c>
      <c r="O24" s="10">
        <v>13.0</v>
      </c>
      <c r="P24" s="10">
        <v>99.0</v>
      </c>
      <c r="Q24" s="10">
        <v>9.0</v>
      </c>
      <c r="R24" s="10">
        <v>2.0</v>
      </c>
      <c r="S24" s="3">
        <f t="shared" si="4"/>
        <v>12.07</v>
      </c>
      <c r="T24" s="3">
        <f t="shared" si="14"/>
        <v>11.95</v>
      </c>
      <c r="U24" s="10">
        <v>35.86</v>
      </c>
      <c r="V24" s="10">
        <v>3.0</v>
      </c>
      <c r="W24" s="3">
        <f t="shared" si="13"/>
        <v>11.83</v>
      </c>
      <c r="X24" s="10">
        <v>59.13</v>
      </c>
      <c r="Y24" s="10">
        <v>5.0</v>
      </c>
      <c r="Z24" s="10">
        <v>12.58</v>
      </c>
      <c r="AA24" s="10">
        <f t="shared" ref="AA24:AA29" si="15">Z24*AB24</f>
        <v>37.74</v>
      </c>
      <c r="AB24" s="10">
        <v>3.0</v>
      </c>
      <c r="AC24" s="10">
        <v>18.5</v>
      </c>
      <c r="AD24" s="10">
        <v>1.0</v>
      </c>
      <c r="AE24" s="54">
        <v>100.75</v>
      </c>
      <c r="AF24" s="10">
        <v>100.75</v>
      </c>
      <c r="AG24" s="10">
        <v>60.28</v>
      </c>
      <c r="AH24" s="10">
        <f t="array" ref="AH24">XLOOKUP(B24,'Event 2 Assist'!A:A,'Event 2 Assist'!B:B)</f>
        <v>10000</v>
      </c>
      <c r="AI24" s="10" t="str">
        <f t="shared" si="7"/>
        <v>Veteran</v>
      </c>
      <c r="AJ24" s="34">
        <v>8.0</v>
      </c>
    </row>
    <row r="25">
      <c r="A25" s="64">
        <v>1.0</v>
      </c>
      <c r="B25" s="3" t="s">
        <v>59</v>
      </c>
      <c r="D25" s="39" t="s">
        <v>244</v>
      </c>
      <c r="F25" s="3">
        <f>4/6</f>
        <v>0.6666666667</v>
      </c>
      <c r="G25" s="3">
        <f t="shared" si="1"/>
        <v>0.22</v>
      </c>
      <c r="H25" s="3">
        <f t="shared" si="2"/>
        <v>11</v>
      </c>
      <c r="I25" s="10">
        <v>0.0</v>
      </c>
      <c r="J25" s="10">
        <v>0.0</v>
      </c>
      <c r="L25" s="10">
        <v>0.0</v>
      </c>
      <c r="M25" s="3">
        <f t="shared" si="3"/>
        <v>1</v>
      </c>
      <c r="N25" s="3" t="s">
        <v>215</v>
      </c>
      <c r="O25" s="10">
        <v>3.0</v>
      </c>
      <c r="P25" s="10">
        <v>13.0</v>
      </c>
      <c r="Q25" s="10">
        <v>25.0</v>
      </c>
      <c r="R25" s="10">
        <v>0.0</v>
      </c>
      <c r="S25" s="3">
        <f t="shared" si="4"/>
        <v>12.18</v>
      </c>
      <c r="T25" s="3">
        <f t="shared" si="14"/>
        <v>13.74</v>
      </c>
      <c r="U25" s="10">
        <v>82.43</v>
      </c>
      <c r="V25" s="10">
        <v>6.0</v>
      </c>
      <c r="W25" s="3">
        <f t="shared" si="13"/>
        <v>6.9</v>
      </c>
      <c r="X25" s="10">
        <v>13.8</v>
      </c>
      <c r="Y25" s="10">
        <v>2.0</v>
      </c>
      <c r="Z25" s="10">
        <v>12.58</v>
      </c>
      <c r="AA25" s="10">
        <f t="shared" si="15"/>
        <v>37.74</v>
      </c>
      <c r="AB25" s="10">
        <v>3.0</v>
      </c>
      <c r="AC25" s="10">
        <v>14.87</v>
      </c>
      <c r="AD25" s="10">
        <v>25.0</v>
      </c>
      <c r="AE25" s="54">
        <v>28.17</v>
      </c>
      <c r="AF25" s="10">
        <v>28.17</v>
      </c>
      <c r="AG25" s="10">
        <v>30.82</v>
      </c>
      <c r="AH25" s="10">
        <f t="array" ref="AH25">XLOOKUP(B25,'Event 2 Assist'!A:A,'Event 2 Assist'!B:B)</f>
        <v>500</v>
      </c>
      <c r="AI25" s="10" t="str">
        <f t="shared" si="7"/>
        <v>Veteran</v>
      </c>
      <c r="AJ25" s="34">
        <v>12.0</v>
      </c>
    </row>
    <row r="26">
      <c r="A26" s="78">
        <v>1.0</v>
      </c>
      <c r="B26" s="3" t="s">
        <v>61</v>
      </c>
      <c r="D26" s="39" t="s">
        <v>247</v>
      </c>
      <c r="F26" s="10">
        <v>0.0</v>
      </c>
      <c r="G26" s="3">
        <f t="shared" si="1"/>
        <v>0</v>
      </c>
      <c r="H26" s="3">
        <f t="shared" si="2"/>
        <v>7</v>
      </c>
      <c r="I26" s="10">
        <v>0.0</v>
      </c>
      <c r="J26" s="10">
        <v>0.0</v>
      </c>
      <c r="L26" s="10">
        <v>0.0</v>
      </c>
      <c r="M26" s="3">
        <f t="shared" si="3"/>
        <v>0</v>
      </c>
      <c r="N26" s="3" t="s">
        <v>218</v>
      </c>
      <c r="O26" s="10">
        <v>99.0</v>
      </c>
      <c r="P26" s="10">
        <v>99.0</v>
      </c>
      <c r="Q26" s="10">
        <v>99.0</v>
      </c>
      <c r="R26" s="10">
        <v>0.0</v>
      </c>
      <c r="S26" s="10">
        <v>0.0</v>
      </c>
      <c r="T26" s="80">
        <v>13.86</v>
      </c>
      <c r="U26" s="10">
        <v>27.72</v>
      </c>
      <c r="V26" s="10">
        <v>2.0</v>
      </c>
      <c r="W26" s="10">
        <v>7.84</v>
      </c>
      <c r="X26" s="3">
        <f t="shared" ref="X26:X30" si="16">W26*Y26</f>
        <v>15.68</v>
      </c>
      <c r="Y26" s="10">
        <v>2.0</v>
      </c>
      <c r="Z26" s="10">
        <v>12.58</v>
      </c>
      <c r="AA26" s="10">
        <f t="shared" si="15"/>
        <v>37.74</v>
      </c>
      <c r="AB26" s="10">
        <v>3.0</v>
      </c>
      <c r="AC26" s="10">
        <v>0.0</v>
      </c>
      <c r="AD26" s="10">
        <v>5.0</v>
      </c>
      <c r="AE26" s="54">
        <v>60.69</v>
      </c>
      <c r="AF26" s="10">
        <v>60.69</v>
      </c>
      <c r="AG26" s="10">
        <v>35.67</v>
      </c>
      <c r="AH26" s="10">
        <f t="array" ref="AH26">XLOOKUP(B26,'Event 2 Assist'!A:A,'Event 2 Assist'!B:B)</f>
        <v>5200</v>
      </c>
      <c r="AI26" s="10" t="str">
        <f t="shared" si="7"/>
        <v>Rookie</v>
      </c>
      <c r="AJ26" s="34">
        <v>0.0</v>
      </c>
    </row>
    <row r="27">
      <c r="A27" s="64">
        <v>1.0</v>
      </c>
      <c r="B27" s="3" t="s">
        <v>63</v>
      </c>
      <c r="D27" s="39" t="s">
        <v>244</v>
      </c>
      <c r="F27" s="10">
        <v>0.0</v>
      </c>
      <c r="G27" s="3">
        <f t="shared" si="1"/>
        <v>0</v>
      </c>
      <c r="H27" s="3">
        <f t="shared" si="2"/>
        <v>7</v>
      </c>
      <c r="I27" s="10">
        <v>0.0</v>
      </c>
      <c r="J27" s="10">
        <v>0.0</v>
      </c>
      <c r="L27" s="10">
        <v>0.0</v>
      </c>
      <c r="M27" s="3">
        <f t="shared" si="3"/>
        <v>1</v>
      </c>
      <c r="N27" s="3" t="s">
        <v>215</v>
      </c>
      <c r="O27" s="10">
        <v>99.0</v>
      </c>
      <c r="P27" s="10">
        <v>99.0</v>
      </c>
      <c r="Q27" s="10">
        <v>99.0</v>
      </c>
      <c r="R27" s="10">
        <v>0.0</v>
      </c>
      <c r="S27" s="10">
        <v>0.0</v>
      </c>
      <c r="T27" s="80">
        <v>13.86</v>
      </c>
      <c r="U27" s="10">
        <v>27.72</v>
      </c>
      <c r="V27" s="10">
        <v>2.0</v>
      </c>
      <c r="W27" s="10">
        <v>7.84</v>
      </c>
      <c r="X27" s="3">
        <f t="shared" si="16"/>
        <v>15.68</v>
      </c>
      <c r="Y27" s="10">
        <v>2.0</v>
      </c>
      <c r="Z27" s="10">
        <v>12.58</v>
      </c>
      <c r="AA27" s="10">
        <f t="shared" si="15"/>
        <v>37.74</v>
      </c>
      <c r="AB27" s="10">
        <v>3.0</v>
      </c>
      <c r="AC27" s="10">
        <v>0.0</v>
      </c>
      <c r="AD27" s="10">
        <v>15.0</v>
      </c>
      <c r="AE27" s="54">
        <v>28.64</v>
      </c>
      <c r="AF27" s="10">
        <v>28.64</v>
      </c>
      <c r="AG27" s="10">
        <v>17.94</v>
      </c>
      <c r="AH27" s="10">
        <f t="array" ref="AH27">XLOOKUP(B27,'Event 2 Assist'!A:A,'Event 2 Assist'!B:B)</f>
        <v>500</v>
      </c>
      <c r="AI27" s="10" t="str">
        <f t="shared" si="7"/>
        <v>Rookie</v>
      </c>
      <c r="AJ27" s="34">
        <v>0.0</v>
      </c>
    </row>
    <row r="28">
      <c r="A28" s="51">
        <v>1.0</v>
      </c>
      <c r="B28" s="3" t="s">
        <v>64</v>
      </c>
      <c r="D28" s="39" t="s">
        <v>244</v>
      </c>
      <c r="F28" s="10">
        <v>0.0</v>
      </c>
      <c r="G28" s="3">
        <f t="shared" si="1"/>
        <v>0</v>
      </c>
      <c r="H28" s="3">
        <f t="shared" si="2"/>
        <v>7</v>
      </c>
      <c r="I28" s="10">
        <v>0.0</v>
      </c>
      <c r="J28" s="10">
        <v>0.0</v>
      </c>
      <c r="L28" s="10">
        <v>0.0</v>
      </c>
      <c r="M28" s="3">
        <f t="shared" si="3"/>
        <v>0</v>
      </c>
      <c r="N28" s="3" t="s">
        <v>219</v>
      </c>
      <c r="O28" s="10">
        <v>99.0</v>
      </c>
      <c r="P28" s="10">
        <v>99.0</v>
      </c>
      <c r="Q28" s="10">
        <v>99.0</v>
      </c>
      <c r="R28" s="10">
        <v>0.0</v>
      </c>
      <c r="S28" s="10">
        <v>0.0</v>
      </c>
      <c r="T28" s="80">
        <v>13.86</v>
      </c>
      <c r="U28" s="10">
        <v>27.72</v>
      </c>
      <c r="V28" s="10">
        <v>2.0</v>
      </c>
      <c r="W28" s="10">
        <v>7.84</v>
      </c>
      <c r="X28" s="3">
        <f t="shared" si="16"/>
        <v>15.68</v>
      </c>
      <c r="Y28" s="10">
        <v>2.0</v>
      </c>
      <c r="Z28" s="10">
        <v>12.58</v>
      </c>
      <c r="AA28" s="10">
        <f t="shared" si="15"/>
        <v>37.74</v>
      </c>
      <c r="AB28" s="10">
        <v>3.0</v>
      </c>
      <c r="AC28" s="10">
        <v>0.0</v>
      </c>
      <c r="AD28" s="10">
        <v>13.0</v>
      </c>
      <c r="AE28" s="54">
        <v>26.87</v>
      </c>
      <c r="AF28" s="10">
        <v>26.87</v>
      </c>
      <c r="AG28" s="10">
        <v>18.9</v>
      </c>
      <c r="AH28" s="10">
        <f t="array" ref="AH28">XLOOKUP(B28,'Event 2 Assist'!A:A,'Event 2 Assist'!B:B)</f>
        <v>1750</v>
      </c>
      <c r="AI28" s="10" t="str">
        <f t="shared" si="7"/>
        <v>Rookie</v>
      </c>
      <c r="AJ28" s="34">
        <v>0.0</v>
      </c>
    </row>
    <row r="29">
      <c r="A29" s="78">
        <v>1.0</v>
      </c>
      <c r="B29" s="3" t="s">
        <v>65</v>
      </c>
      <c r="D29" s="39" t="s">
        <v>247</v>
      </c>
      <c r="F29" s="10">
        <v>0.0</v>
      </c>
      <c r="G29" s="3">
        <f t="shared" si="1"/>
        <v>0</v>
      </c>
      <c r="H29" s="3">
        <f t="shared" si="2"/>
        <v>7</v>
      </c>
      <c r="I29" s="10">
        <v>0.0</v>
      </c>
      <c r="J29" s="10">
        <v>0.0</v>
      </c>
      <c r="L29" s="10">
        <v>0.0</v>
      </c>
      <c r="M29" s="3">
        <f t="shared" si="3"/>
        <v>0</v>
      </c>
      <c r="N29" s="3" t="s">
        <v>220</v>
      </c>
      <c r="O29" s="10">
        <v>99.0</v>
      </c>
      <c r="P29" s="10">
        <v>99.0</v>
      </c>
      <c r="Q29" s="10">
        <v>99.0</v>
      </c>
      <c r="R29" s="10">
        <v>0.0</v>
      </c>
      <c r="S29" s="10">
        <v>0.0</v>
      </c>
      <c r="T29" s="80">
        <v>13.86</v>
      </c>
      <c r="U29" s="10">
        <v>27.72</v>
      </c>
      <c r="V29" s="10">
        <v>2.0</v>
      </c>
      <c r="W29" s="10">
        <v>7.84</v>
      </c>
      <c r="X29" s="3">
        <f t="shared" si="16"/>
        <v>15.68</v>
      </c>
      <c r="Y29" s="10">
        <v>2.0</v>
      </c>
      <c r="Z29" s="10">
        <v>12.58</v>
      </c>
      <c r="AA29" s="10">
        <f t="shared" si="15"/>
        <v>37.74</v>
      </c>
      <c r="AB29" s="10">
        <v>3.0</v>
      </c>
      <c r="AC29" s="10">
        <v>0.0</v>
      </c>
      <c r="AD29" s="10">
        <v>25.0</v>
      </c>
      <c r="AE29" s="54">
        <v>26.93</v>
      </c>
      <c r="AF29" s="10">
        <v>26.93</v>
      </c>
      <c r="AG29" s="10">
        <v>16.53</v>
      </c>
      <c r="AH29" s="10">
        <f t="array" ref="AH29">XLOOKUP(B29,'Event 2 Assist'!A:A,'Event 2 Assist'!B:B)</f>
        <v>500</v>
      </c>
      <c r="AI29" s="10" t="str">
        <f t="shared" si="7"/>
        <v>Rookie</v>
      </c>
      <c r="AJ29" s="34">
        <v>0.0</v>
      </c>
    </row>
    <row r="30">
      <c r="A30" s="78">
        <v>1.0</v>
      </c>
      <c r="B30" s="10" t="s">
        <v>66</v>
      </c>
      <c r="D30" s="39" t="s">
        <v>244</v>
      </c>
      <c r="F30" s="10">
        <v>0.0</v>
      </c>
      <c r="G30" s="3">
        <f t="shared" si="1"/>
        <v>0.2</v>
      </c>
      <c r="H30" s="3">
        <f t="shared" si="2"/>
        <v>9</v>
      </c>
      <c r="I30" s="10">
        <v>0.0</v>
      </c>
      <c r="J30" s="10">
        <v>0.6</v>
      </c>
      <c r="L30" s="10">
        <v>0.0</v>
      </c>
      <c r="M30" s="3">
        <f t="shared" si="3"/>
        <v>0</v>
      </c>
      <c r="N30" s="3" t="s">
        <v>221</v>
      </c>
      <c r="O30" s="10">
        <v>99.0</v>
      </c>
      <c r="P30" s="10">
        <v>5.0</v>
      </c>
      <c r="Q30" s="10">
        <v>99.0</v>
      </c>
      <c r="R30" s="10">
        <v>1.0</v>
      </c>
      <c r="S30" s="3">
        <f t="shared" ref="S30:S32" si="17">ROUND((U30+X30+AA30)/H30,2)</f>
        <v>12.55</v>
      </c>
      <c r="T30" s="80">
        <v>13.86</v>
      </c>
      <c r="U30" s="10">
        <v>27.72</v>
      </c>
      <c r="V30" s="10">
        <v>2.0</v>
      </c>
      <c r="W30" s="10">
        <v>7.84</v>
      </c>
      <c r="X30" s="3">
        <f t="shared" si="16"/>
        <v>15.68</v>
      </c>
      <c r="Y30" s="10">
        <v>2.0</v>
      </c>
      <c r="Z30" s="3">
        <f t="shared" ref="Z30:Z31" si="18">ROUND(AA30/AB30,2)</f>
        <v>13.91</v>
      </c>
      <c r="AA30" s="10">
        <v>69.54</v>
      </c>
      <c r="AB30" s="10">
        <v>5.0</v>
      </c>
      <c r="AC30" s="10">
        <v>16.6</v>
      </c>
      <c r="AD30" s="10">
        <v>25.0</v>
      </c>
      <c r="AE30" s="54">
        <v>23.77</v>
      </c>
      <c r="AF30" s="10">
        <v>23.77</v>
      </c>
      <c r="AG30" s="10">
        <v>15.83</v>
      </c>
      <c r="AH30" s="10">
        <f t="array" ref="AH30">XLOOKUP(B30,'Event 2 Assist'!A:A,'Event 2 Assist'!B:B)</f>
        <v>500</v>
      </c>
      <c r="AI30" s="10" t="str">
        <f t="shared" si="7"/>
        <v>Rookie</v>
      </c>
      <c r="AJ30" s="34">
        <v>0.0</v>
      </c>
    </row>
    <row r="31">
      <c r="A31" s="78">
        <v>1.0</v>
      </c>
      <c r="B31" s="3" t="s">
        <v>50</v>
      </c>
      <c r="D31" s="39" t="s">
        <v>244</v>
      </c>
      <c r="F31" s="10">
        <v>0.0</v>
      </c>
      <c r="G31" s="3">
        <f t="shared" si="1"/>
        <v>0.28</v>
      </c>
      <c r="H31" s="3">
        <f t="shared" si="2"/>
        <v>9</v>
      </c>
      <c r="I31" s="10">
        <v>0.5</v>
      </c>
      <c r="J31" s="3">
        <f>1/3</f>
        <v>0.3333333333</v>
      </c>
      <c r="L31" s="10">
        <v>0.0</v>
      </c>
      <c r="M31" s="3">
        <f t="shared" si="3"/>
        <v>0</v>
      </c>
      <c r="N31" s="3" t="s">
        <v>220</v>
      </c>
      <c r="O31" s="10">
        <v>25.0</v>
      </c>
      <c r="P31" s="10">
        <v>13.0</v>
      </c>
      <c r="Q31" s="10">
        <v>9.0</v>
      </c>
      <c r="R31" s="10">
        <v>3.0</v>
      </c>
      <c r="S31" s="3">
        <f t="shared" si="17"/>
        <v>13.95</v>
      </c>
      <c r="T31" s="3">
        <f t="shared" ref="T31:T32" si="19">Round(U31/V31,2)</f>
        <v>11.85</v>
      </c>
      <c r="U31" s="10">
        <v>23.7</v>
      </c>
      <c r="V31" s="10">
        <v>2.0</v>
      </c>
      <c r="W31" s="3">
        <f t="shared" ref="W31:W32" si="20">ROUND(X31/Y31,2)</f>
        <v>13.68</v>
      </c>
      <c r="X31" s="10">
        <v>54.73</v>
      </c>
      <c r="Y31" s="10">
        <v>4.0</v>
      </c>
      <c r="Z31" s="3">
        <f t="shared" si="18"/>
        <v>15.7</v>
      </c>
      <c r="AA31" s="10">
        <v>47.1</v>
      </c>
      <c r="AB31" s="10">
        <v>3.0</v>
      </c>
      <c r="AC31" s="10">
        <v>16.2</v>
      </c>
      <c r="AD31" s="10">
        <v>13.0</v>
      </c>
      <c r="AE31" s="54">
        <v>43.73</v>
      </c>
      <c r="AF31" s="10">
        <v>43.73</v>
      </c>
      <c r="AG31" s="10">
        <v>57.06</v>
      </c>
      <c r="AH31" s="10">
        <f t="array" ref="AH31">XLOOKUP(B31,'Event 2 Assist'!A:A,'Event 2 Assist'!B:B)</f>
        <v>1750</v>
      </c>
      <c r="AI31" s="10" t="str">
        <f t="shared" si="7"/>
        <v>Veteran</v>
      </c>
      <c r="AJ31" s="34">
        <v>10.0</v>
      </c>
    </row>
    <row r="32">
      <c r="A32" s="64">
        <v>1.0</v>
      </c>
      <c r="B32" s="3" t="s">
        <v>35</v>
      </c>
      <c r="D32" s="39" t="s">
        <v>247</v>
      </c>
      <c r="F32" s="10">
        <v>0.5</v>
      </c>
      <c r="G32" s="3">
        <f t="shared" si="1"/>
        <v>0.28</v>
      </c>
      <c r="H32" s="3">
        <f t="shared" si="2"/>
        <v>8</v>
      </c>
      <c r="I32" s="3">
        <f>1/3</f>
        <v>0.3333333333</v>
      </c>
      <c r="J32" s="10">
        <v>0.0</v>
      </c>
      <c r="L32" s="10">
        <v>0.0</v>
      </c>
      <c r="M32" s="3">
        <f t="shared" si="3"/>
        <v>0</v>
      </c>
      <c r="N32" s="3" t="s">
        <v>213</v>
      </c>
      <c r="O32" s="10">
        <v>13.0</v>
      </c>
      <c r="P32" s="10">
        <v>99.0</v>
      </c>
      <c r="Q32" s="10">
        <v>13.0</v>
      </c>
      <c r="R32" s="10">
        <v>0.0</v>
      </c>
      <c r="S32" s="3">
        <f t="shared" si="17"/>
        <v>11.18</v>
      </c>
      <c r="T32" s="3">
        <f t="shared" si="19"/>
        <v>12.49</v>
      </c>
      <c r="U32" s="10">
        <v>24.97</v>
      </c>
      <c r="V32" s="10">
        <v>2.0</v>
      </c>
      <c r="W32" s="3">
        <f t="shared" si="20"/>
        <v>8.91</v>
      </c>
      <c r="X32" s="10">
        <v>26.73</v>
      </c>
      <c r="Y32" s="10">
        <v>3.0</v>
      </c>
      <c r="Z32" s="10">
        <v>12.58</v>
      </c>
      <c r="AA32" s="10">
        <f t="shared" ref="AA32:AA36" si="21">Z32*AB32</f>
        <v>37.74</v>
      </c>
      <c r="AB32" s="10">
        <v>3.0</v>
      </c>
      <c r="AC32" s="10">
        <v>12.5</v>
      </c>
      <c r="AD32" s="10">
        <v>13.0</v>
      </c>
      <c r="AE32" s="54">
        <v>24.3</v>
      </c>
      <c r="AF32" s="10">
        <v>24.3</v>
      </c>
      <c r="AG32" s="10">
        <v>15.64</v>
      </c>
      <c r="AH32" s="10">
        <f t="array" ref="AH32">XLOOKUP(B32,'Event 2 Assist'!A:A,'Event 2 Assist'!B:B)</f>
        <v>1750</v>
      </c>
      <c r="AI32" s="10" t="str">
        <f t="shared" si="7"/>
        <v>Veteran</v>
      </c>
      <c r="AJ32" s="34">
        <v>7.0</v>
      </c>
    </row>
    <row r="33">
      <c r="A33" s="78">
        <v>1.0</v>
      </c>
      <c r="B33" s="3" t="s">
        <v>67</v>
      </c>
      <c r="D33" s="39" t="s">
        <v>247</v>
      </c>
      <c r="F33" s="10">
        <v>0.0</v>
      </c>
      <c r="G33" s="3">
        <f t="shared" si="1"/>
        <v>0</v>
      </c>
      <c r="H33" s="3">
        <f t="shared" si="2"/>
        <v>7</v>
      </c>
      <c r="I33" s="10">
        <v>0.0</v>
      </c>
      <c r="J33" s="10">
        <v>0.0</v>
      </c>
      <c r="L33" s="10">
        <v>0.0</v>
      </c>
      <c r="M33" s="3">
        <f t="shared" si="3"/>
        <v>0</v>
      </c>
      <c r="N33" s="3" t="s">
        <v>213</v>
      </c>
      <c r="O33" s="10">
        <v>99.0</v>
      </c>
      <c r="P33" s="10">
        <v>99.0</v>
      </c>
      <c r="Q33" s="10">
        <v>99.0</v>
      </c>
      <c r="R33" s="10">
        <v>0.0</v>
      </c>
      <c r="S33" s="10">
        <v>0.0</v>
      </c>
      <c r="T33" s="80">
        <v>13.86</v>
      </c>
      <c r="U33" s="10">
        <v>27.72</v>
      </c>
      <c r="V33" s="10">
        <v>2.0</v>
      </c>
      <c r="W33" s="10">
        <v>7.84</v>
      </c>
      <c r="X33" s="3">
        <f t="shared" ref="X33:X37" si="22">W33*Y33</f>
        <v>15.68</v>
      </c>
      <c r="Y33" s="10">
        <v>2.0</v>
      </c>
      <c r="Z33" s="10">
        <v>12.58</v>
      </c>
      <c r="AA33" s="10">
        <f t="shared" si="21"/>
        <v>37.74</v>
      </c>
      <c r="AB33" s="10">
        <v>3.0</v>
      </c>
      <c r="AC33" s="10">
        <v>0.0</v>
      </c>
      <c r="AD33" s="10">
        <v>13.0</v>
      </c>
      <c r="AE33" s="54">
        <v>34.26</v>
      </c>
      <c r="AF33" s="10">
        <v>34.26</v>
      </c>
      <c r="AG33" s="10">
        <v>24.17</v>
      </c>
      <c r="AH33" s="10">
        <f t="array" ref="AH33">XLOOKUP(B33,'Event 2 Assist'!A:A,'Event 2 Assist'!B:B)</f>
        <v>1750</v>
      </c>
      <c r="AI33" s="10" t="str">
        <f t="shared" si="7"/>
        <v>Rookie</v>
      </c>
      <c r="AJ33" s="34">
        <v>0.0</v>
      </c>
    </row>
    <row r="34">
      <c r="A34" s="78">
        <v>1.0</v>
      </c>
      <c r="B34" s="3" t="s">
        <v>68</v>
      </c>
      <c r="D34" s="39" t="s">
        <v>244</v>
      </c>
      <c r="F34" s="10">
        <v>0.0</v>
      </c>
      <c r="G34" s="3">
        <f t="shared" si="1"/>
        <v>0</v>
      </c>
      <c r="H34" s="3">
        <f t="shared" si="2"/>
        <v>7</v>
      </c>
      <c r="I34" s="10">
        <v>0.0</v>
      </c>
      <c r="J34" s="10">
        <v>0.0</v>
      </c>
      <c r="L34" s="10">
        <v>0.0</v>
      </c>
      <c r="M34" s="3">
        <f t="shared" si="3"/>
        <v>1</v>
      </c>
      <c r="N34" s="3" t="s">
        <v>215</v>
      </c>
      <c r="O34" s="10">
        <v>99.0</v>
      </c>
      <c r="P34" s="10">
        <v>99.0</v>
      </c>
      <c r="Q34" s="10">
        <v>99.0</v>
      </c>
      <c r="R34" s="10">
        <v>0.0</v>
      </c>
      <c r="S34" s="10">
        <v>0.0</v>
      </c>
      <c r="T34" s="80">
        <v>13.86</v>
      </c>
      <c r="U34" s="10">
        <v>27.72</v>
      </c>
      <c r="V34" s="10">
        <v>2.0</v>
      </c>
      <c r="W34" s="10">
        <v>7.84</v>
      </c>
      <c r="X34" s="3">
        <f t="shared" si="22"/>
        <v>15.68</v>
      </c>
      <c r="Y34" s="10">
        <v>2.0</v>
      </c>
      <c r="Z34" s="10">
        <v>12.58</v>
      </c>
      <c r="AA34" s="10">
        <f t="shared" si="21"/>
        <v>37.74</v>
      </c>
      <c r="AB34" s="10">
        <v>3.0</v>
      </c>
      <c r="AC34" s="10">
        <v>0.0</v>
      </c>
      <c r="AD34" s="10">
        <v>25.0</v>
      </c>
      <c r="AE34" s="54">
        <v>24.67</v>
      </c>
      <c r="AF34" s="10">
        <v>24.67</v>
      </c>
      <c r="AG34" s="10">
        <v>71.8</v>
      </c>
      <c r="AH34" s="10">
        <f t="array" ref="AH34">XLOOKUP(B34,'Event 2 Assist'!A:A,'Event 2 Assist'!B:B)</f>
        <v>500</v>
      </c>
      <c r="AI34" s="10" t="str">
        <f t="shared" si="7"/>
        <v>Experienced</v>
      </c>
      <c r="AJ34" s="34">
        <v>1.0</v>
      </c>
    </row>
    <row r="35">
      <c r="A35" s="64">
        <v>1.0</v>
      </c>
      <c r="B35" s="3" t="s">
        <v>69</v>
      </c>
      <c r="D35" s="39" t="s">
        <v>244</v>
      </c>
      <c r="F35" s="10">
        <v>0.0</v>
      </c>
      <c r="G35" s="3">
        <f t="shared" si="1"/>
        <v>0</v>
      </c>
      <c r="H35" s="3">
        <f t="shared" si="2"/>
        <v>7</v>
      </c>
      <c r="I35" s="10">
        <v>0.0</v>
      </c>
      <c r="J35" s="10">
        <v>0.0</v>
      </c>
      <c r="L35" s="10">
        <v>0.0</v>
      </c>
      <c r="M35" s="3">
        <f t="shared" si="3"/>
        <v>0</v>
      </c>
      <c r="N35" s="3" t="s">
        <v>211</v>
      </c>
      <c r="O35" s="10">
        <v>99.0</v>
      </c>
      <c r="P35" s="10">
        <v>99.0</v>
      </c>
      <c r="Q35" s="10">
        <v>99.0</v>
      </c>
      <c r="R35" s="10">
        <v>0.0</v>
      </c>
      <c r="S35" s="10">
        <v>0.0</v>
      </c>
      <c r="T35" s="80">
        <v>13.86</v>
      </c>
      <c r="U35" s="10">
        <v>27.72</v>
      </c>
      <c r="V35" s="10">
        <v>2.0</v>
      </c>
      <c r="W35" s="10">
        <v>7.84</v>
      </c>
      <c r="X35" s="3">
        <f t="shared" si="22"/>
        <v>15.68</v>
      </c>
      <c r="Y35" s="10">
        <v>2.0</v>
      </c>
      <c r="Z35" s="10">
        <v>12.58</v>
      </c>
      <c r="AA35" s="10">
        <f t="shared" si="21"/>
        <v>37.74</v>
      </c>
      <c r="AB35" s="10">
        <v>3.0</v>
      </c>
      <c r="AC35" s="10">
        <v>0.0</v>
      </c>
      <c r="AD35" s="10">
        <v>13.0</v>
      </c>
      <c r="AE35" s="54">
        <v>40.03</v>
      </c>
      <c r="AF35" s="10">
        <v>40.03</v>
      </c>
      <c r="AG35" s="10">
        <v>20.0</v>
      </c>
      <c r="AH35" s="10">
        <f t="array" ref="AH35">XLOOKUP(B35,'Event 2 Assist'!A:A,'Event 2 Assist'!B:B)</f>
        <v>1750</v>
      </c>
      <c r="AI35" s="10" t="str">
        <f t="shared" si="7"/>
        <v>Rookie</v>
      </c>
      <c r="AJ35" s="34">
        <v>0.0</v>
      </c>
    </row>
    <row r="36">
      <c r="A36" s="51">
        <v>1.0</v>
      </c>
      <c r="B36" s="66" t="s">
        <v>142</v>
      </c>
      <c r="D36" s="39" t="s">
        <v>247</v>
      </c>
      <c r="F36" s="10">
        <v>0.0</v>
      </c>
      <c r="G36" s="3">
        <f t="shared" si="1"/>
        <v>0</v>
      </c>
      <c r="H36" s="3">
        <f t="shared" si="2"/>
        <v>7</v>
      </c>
      <c r="I36" s="10">
        <v>0.0</v>
      </c>
      <c r="J36" s="10">
        <v>0.0</v>
      </c>
      <c r="L36" s="10">
        <v>0.0</v>
      </c>
      <c r="M36" s="3">
        <f t="shared" si="3"/>
        <v>0</v>
      </c>
      <c r="N36" s="10" t="s">
        <v>213</v>
      </c>
      <c r="O36" s="10">
        <v>99.0</v>
      </c>
      <c r="P36" s="10">
        <v>99.0</v>
      </c>
      <c r="Q36" s="10">
        <v>99.0</v>
      </c>
      <c r="R36" s="10">
        <v>0.0</v>
      </c>
      <c r="S36" s="10">
        <v>0.0</v>
      </c>
      <c r="T36" s="80">
        <v>13.86</v>
      </c>
      <c r="U36" s="10">
        <v>27.72</v>
      </c>
      <c r="V36" s="10">
        <v>2.0</v>
      </c>
      <c r="W36" s="10">
        <v>7.84</v>
      </c>
      <c r="X36" s="3">
        <f t="shared" si="22"/>
        <v>15.68</v>
      </c>
      <c r="Y36" s="10">
        <v>2.0</v>
      </c>
      <c r="Z36" s="10">
        <v>12.58</v>
      </c>
      <c r="AA36" s="10">
        <f t="shared" si="21"/>
        <v>37.74</v>
      </c>
      <c r="AB36" s="10">
        <v>3.0</v>
      </c>
      <c r="AC36" s="10">
        <v>0.0</v>
      </c>
      <c r="AD36" s="10">
        <v>99.0</v>
      </c>
      <c r="AE36" s="54">
        <v>0.0</v>
      </c>
      <c r="AF36" s="10">
        <v>0.0</v>
      </c>
      <c r="AG36" s="10">
        <v>20.74</v>
      </c>
      <c r="AH36" s="10">
        <v>0.0</v>
      </c>
      <c r="AI36" s="10" t="str">
        <f t="shared" si="7"/>
        <v>Experienced</v>
      </c>
      <c r="AJ36" s="34">
        <v>4.0</v>
      </c>
    </row>
    <row r="37">
      <c r="A37" s="78">
        <v>1.0</v>
      </c>
      <c r="B37" s="66" t="s">
        <v>262</v>
      </c>
      <c r="D37" s="39" t="s">
        <v>247</v>
      </c>
      <c r="F37" s="10">
        <v>0.0</v>
      </c>
      <c r="G37" s="3">
        <f t="shared" si="1"/>
        <v>0</v>
      </c>
      <c r="H37" s="3">
        <f t="shared" si="2"/>
        <v>6</v>
      </c>
      <c r="I37" s="10">
        <v>0.0</v>
      </c>
      <c r="J37" s="10">
        <v>0.0</v>
      </c>
      <c r="L37" s="10">
        <v>1.0</v>
      </c>
      <c r="M37" s="3">
        <f t="shared" si="3"/>
        <v>1</v>
      </c>
      <c r="N37" s="3" t="s">
        <v>215</v>
      </c>
      <c r="O37" s="10">
        <v>99.0</v>
      </c>
      <c r="P37" s="10">
        <v>25.0</v>
      </c>
      <c r="Q37" s="10">
        <v>99.0</v>
      </c>
      <c r="R37" s="10">
        <v>0.0</v>
      </c>
      <c r="S37" s="3">
        <f>ROUND((U37+X37+AA37)/H37,2)</f>
        <v>11.59</v>
      </c>
      <c r="T37" s="80">
        <v>13.86</v>
      </c>
      <c r="U37" s="10">
        <v>27.72</v>
      </c>
      <c r="V37" s="10">
        <v>2.0</v>
      </c>
      <c r="W37" s="10">
        <v>7.84</v>
      </c>
      <c r="X37" s="3">
        <f t="shared" si="22"/>
        <v>15.68</v>
      </c>
      <c r="Y37" s="10">
        <v>2.0</v>
      </c>
      <c r="Z37" s="3">
        <f>ROUND(AA37/AB37,2)</f>
        <v>13.07</v>
      </c>
      <c r="AA37" s="10">
        <v>26.13</v>
      </c>
      <c r="AB37" s="10">
        <v>2.0</v>
      </c>
      <c r="AC37" s="10">
        <v>13.73</v>
      </c>
      <c r="AD37" s="10">
        <v>99.0</v>
      </c>
      <c r="AE37" s="54">
        <v>0.0</v>
      </c>
      <c r="AF37" s="10">
        <v>0.0</v>
      </c>
      <c r="AG37" s="10">
        <v>29.87</v>
      </c>
      <c r="AH37" s="10">
        <v>0.0</v>
      </c>
      <c r="AI37" s="10" t="str">
        <f t="shared" si="7"/>
        <v>Experienced</v>
      </c>
      <c r="AJ37" s="34">
        <v>1.0</v>
      </c>
    </row>
    <row r="38">
      <c r="A38" s="51">
        <v>1.0</v>
      </c>
      <c r="B38" s="10" t="s">
        <v>56</v>
      </c>
      <c r="D38" s="3" t="str">
        <f t="array" ref="D38">XLOOKUP(B38, 'Surfer Stats - Event 4'!B:B, 'Surfer Stats - Event 4'!D:D)</f>
        <v>Goofy</v>
      </c>
      <c r="H38" s="3">
        <f t="shared" si="2"/>
        <v>14</v>
      </c>
      <c r="L38" s="10">
        <v>0.0</v>
      </c>
      <c r="M38" s="10">
        <v>0.0</v>
      </c>
      <c r="N38" s="10" t="s">
        <v>214</v>
      </c>
      <c r="R38" s="3">
        <f>COUNTIFS( historical_events_FACT!J:J, "&gt;16", historical_events_FACT!G:G, B38,historical_events_FACT!C:C, "2" )</f>
        <v>1</v>
      </c>
      <c r="S38" s="3">
        <f>IF(M38=0,0, ROUND(SUM(X38,AA38,U38)/M38,2))</f>
        <v>0</v>
      </c>
      <c r="T38" s="3">
        <f t="shared" ref="T38:T40" si="23">IF(U38=0,0,ROUND(U38/V38,2))</f>
        <v>11.98</v>
      </c>
      <c r="U38" s="3">
        <f>SUMIFS( '2014Data'!I:I, '2014Data'!F:F, B38,'2014Data'!B:B, "2" )</f>
        <v>35.95</v>
      </c>
      <c r="V38" s="3">
        <f>COUNTIFS('2014Data'!F:F, B38,'2014Data'!B:B, "2" )</f>
        <v>3</v>
      </c>
      <c r="W38" s="3">
        <f t="shared" ref="W38:W44" si="24">IF(X38=0,0,ROUND(X38/Y38,2))</f>
        <v>13.97</v>
      </c>
      <c r="X38" s="3">
        <f>SUMIFS( historical_events_FACT!J:J, historical_events_FACT!G:G, B38,historical_events_FACT!B:B, "2015",historical_events_FACT!C:C, "2" )</f>
        <v>83.82</v>
      </c>
      <c r="Y38" s="3">
        <f>COUNTIFS(historical_events_FACT!G:G, B38,historical_events_FACT!B:B, "2015",historical_events_FACT!C:C, "2" )</f>
        <v>6</v>
      </c>
      <c r="Z38" s="3">
        <f>IF(AB38=0,0,ROUND(AA38/AB38,2))</f>
        <v>13.14</v>
      </c>
      <c r="AA38" s="3">
        <f>SUMIFS( historical_events_FACT!J:J, historical_events_FACT!G:G, B38,historical_events_FACT!B:B, "2016",historical_events_FACT!C:C, "2" )</f>
        <v>65.69</v>
      </c>
      <c r="AB38" s="3">
        <f>COUNTIFS(historical_events_FACT!G:G, B38,historical_events_FACT!B:B, "2016",historical_events_FACT!C:C, "2" )</f>
        <v>5</v>
      </c>
      <c r="AC38" s="3">
        <f>MAXIFS( historical_events_FACT!J:J, historical_events_FACT!G:G, B38,historical_events_FACT!C:C, "2" )</f>
        <v>16.83</v>
      </c>
      <c r="AD38" s="10">
        <v>25.0</v>
      </c>
      <c r="AE38" s="54">
        <v>23.6</v>
      </c>
      <c r="AF38" s="10">
        <v>23.6</v>
      </c>
      <c r="AG38" s="10">
        <v>37.43</v>
      </c>
      <c r="AH38" s="10">
        <f t="array" ref="AH38">XLOOKUP(B38,'Event 2 Assist'!A:A,'Event 2 Assist'!B:B)</f>
        <v>500</v>
      </c>
      <c r="AI38" s="81" t="s">
        <v>245</v>
      </c>
    </row>
    <row r="39">
      <c r="A39" s="78"/>
      <c r="B39" s="51" t="s">
        <v>124</v>
      </c>
      <c r="E39" s="10"/>
      <c r="F39" s="10"/>
      <c r="G39" s="10"/>
      <c r="H39" s="10"/>
      <c r="T39" s="3">
        <f t="shared" si="23"/>
        <v>12.3</v>
      </c>
      <c r="U39" s="10">
        <v>24.6</v>
      </c>
      <c r="V39" s="10">
        <v>2.0</v>
      </c>
      <c r="W39" s="75">
        <f t="shared" si="24"/>
        <v>0</v>
      </c>
      <c r="X39" s="75">
        <f>SUMIFS( historical_events_FACT!J:J, historical_events_FACT!G:G, B39,historical_events_FACT!B:B, "2015",historical_events_FACT!C:C, "3" )</f>
        <v>0</v>
      </c>
      <c r="Y39" s="75">
        <f>COUNTIFS(historical_events_FACT!G:G, B39,historical_events_FACT!B:B, "2015",historical_events_FACT!C:C, "3" )</f>
        <v>0</v>
      </c>
      <c r="Z39" s="3">
        <f>COUNTIFS(historical_events_FACT!F:F, B39,historical_events_FACT!A:A, "2015",historical_events_FACT!B:B, "2" )</f>
        <v>0</v>
      </c>
      <c r="AA39" s="3">
        <f t="shared" ref="AA39:AA44" si="25">IF(AB39=0,0,ROUND(AB39/AC39,2))</f>
        <v>0</v>
      </c>
      <c r="AB39" s="3">
        <f>SUMIFS( historical_events_FACT!J:J, historical_events_FACT!G:G, B39,historical_events_FACT!B:B, "2016",historical_events_FACT!C:C, "3" )</f>
        <v>0</v>
      </c>
      <c r="AC39" s="3">
        <f>COUNTIFS(historical_events_FACT!G:G, B39,historical_events_FACT!B:B, "2016",historical_events_FACT!C:C, "3" )</f>
        <v>0</v>
      </c>
      <c r="AE39" s="74"/>
    </row>
    <row r="40">
      <c r="A40" s="51"/>
      <c r="B40" s="62" t="s">
        <v>126</v>
      </c>
      <c r="T40" s="3">
        <f t="shared" si="23"/>
        <v>11.3</v>
      </c>
      <c r="U40" s="10">
        <v>22.6</v>
      </c>
      <c r="V40" s="10">
        <v>2.0</v>
      </c>
      <c r="W40" s="75">
        <f t="shared" si="24"/>
        <v>0</v>
      </c>
      <c r="X40" s="75">
        <f>SUMIFS( historical_events_FACT!J:J, historical_events_FACT!G:G, B40,historical_events_FACT!B:B, "2015",historical_events_FACT!C:C, "3" )</f>
        <v>0</v>
      </c>
      <c r="Y40" s="75">
        <f>COUNTIFS(historical_events_FACT!G:G, B40,historical_events_FACT!B:B, "2015",historical_events_FACT!C:C, "3" )</f>
        <v>0</v>
      </c>
      <c r="AA40" s="3">
        <f t="shared" si="25"/>
        <v>0</v>
      </c>
      <c r="AB40" s="3">
        <f>SUMIFS( historical_events_FACT!J:J, historical_events_FACT!G:G, B40,historical_events_FACT!B:B, "2016",historical_events_FACT!C:C, "3" )</f>
        <v>0</v>
      </c>
      <c r="AC40" s="3">
        <f>COUNTIFS(historical_events_FACT!G:G, B40,historical_events_FACT!B:B, "2016",historical_events_FACT!C:C, "3" )</f>
        <v>0</v>
      </c>
      <c r="AE40" s="74"/>
    </row>
    <row r="41">
      <c r="A41" s="51"/>
      <c r="B41" s="62" t="s">
        <v>107</v>
      </c>
      <c r="O41" s="75">
        <f>IF(I41=0,0, ROUND(SUM(T41,W41,Q41)/I41,2))</f>
        <v>0</v>
      </c>
      <c r="P41" s="75">
        <f>IF(Q41=0,0,ROUND(Q41/R41,2))</f>
        <v>0</v>
      </c>
      <c r="Q41" s="75">
        <f>SUMIFS( '2014Data'!N:N, '2014Data'!K:K, G41,'2014Data'!G:G, "6" )</f>
        <v>0</v>
      </c>
      <c r="R41" s="75">
        <f>COUNTIFS('2014Data'!K:K, G41,'2014Data'!G:G, "6" )</f>
        <v>0</v>
      </c>
      <c r="S41" s="75">
        <f t="shared" ref="S41:T41" si="26">IF(T41=0,0,ROUND(T41/U41,2))</f>
        <v>0.5</v>
      </c>
      <c r="T41" s="3">
        <f t="shared" si="26"/>
        <v>9.59</v>
      </c>
      <c r="U41" s="64">
        <v>19.17</v>
      </c>
      <c r="V41" s="64">
        <v>2.0</v>
      </c>
      <c r="W41" s="75">
        <f t="shared" si="24"/>
        <v>0</v>
      </c>
      <c r="X41" s="75">
        <f>SUMIFS( historical_events_FACT!J:J, historical_events_FACT!G:G, B41,historical_events_FACT!B:B, "2015",historical_events_FACT!C:C, "3" )</f>
        <v>0</v>
      </c>
      <c r="Y41" s="75">
        <f>COUNTIFS(historical_events_FACT!G:G, B41,historical_events_FACT!B:B, "2015",historical_events_FACT!C:C, "3" )</f>
        <v>0</v>
      </c>
      <c r="Z41" s="75" t="str">
        <f t="array" ref="Z41">ROUND(AVERAGEIF({ IFERROR(XLOOKUP(G41, 'Surfer Stats - Event 4'!G:G, 'Surfer Stats - Event 4'!AK:AK), ""), IFERROR(XLOOKUP(G41, 'Surfer Stats - Event 5'!G:G, 'Surfer Stats - Event 5'!AF:AF), ""), IFERROR(XLOOKUP(G41, 'Surfer Stats - Event 3'!G:G, 'Surfer Stats - Event 3'!AK:AK), "") }, "&lt;&gt;"),2)</f>
        <v>#DIV/0!</v>
      </c>
      <c r="AA41" s="3">
        <f t="shared" si="25"/>
        <v>0</v>
      </c>
      <c r="AB41" s="3">
        <f>SUMIFS( historical_events_FACT!J:J, historical_events_FACT!G:G, B41,historical_events_FACT!B:B, "2016",historical_events_FACT!C:C, "3" )</f>
        <v>0</v>
      </c>
      <c r="AC41" s="3">
        <f>COUNTIFS(historical_events_FACT!G:G, B41,historical_events_FACT!B:B, "2016",historical_events_FACT!C:C, "3" )</f>
        <v>0</v>
      </c>
      <c r="AE41" s="74"/>
    </row>
    <row r="42">
      <c r="A42" s="51"/>
      <c r="T42" s="3">
        <f>ROUND(U42/2,2)</f>
        <v>13.86</v>
      </c>
      <c r="U42" s="10">
        <f>ROUND(AVERAGE(U38:U40),2)</f>
        <v>27.72</v>
      </c>
      <c r="V42" s="10">
        <v>2.0</v>
      </c>
      <c r="W42" s="75">
        <f t="shared" si="24"/>
        <v>0</v>
      </c>
      <c r="X42" s="75">
        <f>SUMIFS( historical_events_FACT!J:J, historical_events_FACT!G:G, B42,historical_events_FACT!B:B, "2015",historical_events_FACT!C:C, "3" )</f>
        <v>0</v>
      </c>
      <c r="Y42" s="75">
        <f>COUNTIFS(historical_events_FACT!G:G, B42,historical_events_FACT!B:B, "2015",historical_events_FACT!C:C, "3" )</f>
        <v>0</v>
      </c>
      <c r="Z42" s="3">
        <f>COUNTIFS(historical_events_FACT!F:F, A42,historical_events_FACT!A:A, "2015",historical_events_FACT!B:B, "1" )</f>
        <v>0</v>
      </c>
      <c r="AA42" s="3">
        <f t="shared" si="25"/>
        <v>0</v>
      </c>
      <c r="AB42" s="3">
        <f>SUMIFS( historical_events_FACT!J:J, historical_events_FACT!G:G, B42,historical_events_FACT!B:B, "2016",historical_events_FACT!C:C, "3" )</f>
        <v>0</v>
      </c>
      <c r="AC42" s="3">
        <f>COUNTIFS(historical_events_FACT!G:G, B42,historical_events_FACT!B:B, "2016",historical_events_FACT!C:C, "3" )</f>
        <v>0</v>
      </c>
      <c r="AE42" s="74"/>
    </row>
    <row r="43">
      <c r="A43" s="51"/>
      <c r="W43" s="75">
        <f t="shared" si="24"/>
        <v>0</v>
      </c>
      <c r="X43" s="75">
        <f>SUMIFS( historical_events_FACT!J:J, historical_events_FACT!G:G, B43,historical_events_FACT!B:B, "2015",historical_events_FACT!C:C, "3" )</f>
        <v>0</v>
      </c>
      <c r="Y43" s="75">
        <f>COUNTIFS(historical_events_FACT!G:G, B43,historical_events_FACT!B:B, "2015",historical_events_FACT!C:C, "3" )</f>
        <v>0</v>
      </c>
      <c r="AA43" s="3">
        <f t="shared" si="25"/>
        <v>0</v>
      </c>
      <c r="AB43" s="3">
        <f>SUMIFS( historical_events_FACT!J:J, historical_events_FACT!G:G, B43,historical_events_FACT!B:B, "2016",historical_events_FACT!C:C, "3" )</f>
        <v>0</v>
      </c>
      <c r="AC43" s="3">
        <f>COUNTIFS(historical_events_FACT!G:G, B43,historical_events_FACT!B:B, "2016",historical_events_FACT!C:C, "3" )</f>
        <v>0</v>
      </c>
      <c r="AE43" s="74"/>
    </row>
    <row r="44">
      <c r="A44" s="51"/>
      <c r="W44" s="75">
        <f t="shared" si="24"/>
        <v>0</v>
      </c>
      <c r="X44" s="75">
        <f>SUMIFS( historical_events_FACT!J:J, historical_events_FACT!G:G, B44,historical_events_FACT!B:B, "2015",historical_events_FACT!C:C, "3" )</f>
        <v>0</v>
      </c>
      <c r="Y44" s="75">
        <f>COUNTIFS(historical_events_FACT!G:G, B44,historical_events_FACT!B:B, "2015",historical_events_FACT!C:C, "3" )</f>
        <v>0</v>
      </c>
      <c r="AA44" s="3">
        <f t="shared" si="25"/>
        <v>0</v>
      </c>
      <c r="AB44" s="3">
        <f>SUMIFS( historical_events_FACT!J:J, historical_events_FACT!G:G, B44,historical_events_FACT!B:B, "2016",historical_events_FACT!C:C, "3" )</f>
        <v>0</v>
      </c>
      <c r="AC44" s="3">
        <f>COUNTIFS(historical_events_FACT!G:G, B44,historical_events_FACT!B:B, "2016",historical_events_FACT!C:C, "3" )</f>
        <v>0</v>
      </c>
      <c r="AE44" s="74"/>
    </row>
    <row r="45">
      <c r="A45" s="51"/>
      <c r="AE45" s="74"/>
    </row>
    <row r="46">
      <c r="A46" s="51"/>
      <c r="W46" s="10">
        <v>7.84</v>
      </c>
      <c r="X46" s="3">
        <f>W46*Y46</f>
        <v>15.68</v>
      </c>
      <c r="Y46" s="10">
        <v>2.0</v>
      </c>
      <c r="AE46" s="74"/>
    </row>
    <row r="47">
      <c r="A47" s="51"/>
      <c r="AA47" s="10">
        <v>12.58</v>
      </c>
      <c r="AB47" s="10">
        <f>AA47*AC47</f>
        <v>37.74</v>
      </c>
      <c r="AC47" s="10">
        <v>3.0</v>
      </c>
      <c r="AE47" s="74"/>
    </row>
    <row r="48">
      <c r="A48" s="78"/>
      <c r="AE48" s="74"/>
    </row>
    <row r="49">
      <c r="A49" s="78"/>
      <c r="AE49" s="74"/>
    </row>
    <row r="50">
      <c r="A50" s="78"/>
      <c r="AE50" s="74"/>
    </row>
    <row r="51">
      <c r="A51" s="78"/>
      <c r="AE51" s="74"/>
    </row>
    <row r="52">
      <c r="A52" s="78"/>
      <c r="AE52" s="74"/>
    </row>
    <row r="53">
      <c r="A53" s="78"/>
      <c r="AE53" s="74"/>
    </row>
    <row r="54">
      <c r="A54" s="78"/>
      <c r="AE54" s="74"/>
    </row>
    <row r="55">
      <c r="A55" s="75"/>
      <c r="AE55" s="74"/>
    </row>
    <row r="56">
      <c r="A56" s="74"/>
      <c r="AE56" s="74"/>
    </row>
    <row r="57">
      <c r="A57" s="74"/>
      <c r="AE57" s="74"/>
    </row>
    <row r="58">
      <c r="A58" s="74"/>
      <c r="AE58" s="74"/>
    </row>
    <row r="59">
      <c r="A59" s="74"/>
      <c r="AE59" s="74"/>
    </row>
    <row r="60">
      <c r="A60" s="74"/>
      <c r="AE60" s="74"/>
    </row>
    <row r="61">
      <c r="A61" s="74"/>
      <c r="AE61" s="74"/>
    </row>
    <row r="62">
      <c r="A62" s="74"/>
      <c r="AE62" s="74"/>
    </row>
    <row r="63">
      <c r="A63" s="74"/>
      <c r="AE63" s="74"/>
    </row>
    <row r="64">
      <c r="A64" s="74"/>
      <c r="AE64" s="74"/>
    </row>
    <row r="65">
      <c r="A65" s="74"/>
      <c r="AE65" s="74"/>
    </row>
    <row r="66">
      <c r="A66" s="74"/>
      <c r="AE66" s="74"/>
    </row>
    <row r="67">
      <c r="A67" s="74"/>
      <c r="AE67" s="74"/>
    </row>
    <row r="68">
      <c r="A68" s="74"/>
      <c r="AE68" s="74"/>
    </row>
    <row r="69">
      <c r="A69" s="74"/>
      <c r="AE69" s="74"/>
    </row>
    <row r="70">
      <c r="A70" s="74"/>
      <c r="AE70" s="74"/>
    </row>
    <row r="71">
      <c r="A71" s="74"/>
      <c r="AE71" s="74"/>
    </row>
    <row r="72">
      <c r="A72" s="74"/>
      <c r="AE72" s="74"/>
    </row>
    <row r="73">
      <c r="A73" s="74"/>
      <c r="AE73" s="74"/>
    </row>
    <row r="74">
      <c r="A74" s="74"/>
      <c r="AE74" s="74"/>
    </row>
    <row r="75">
      <c r="A75" s="74"/>
      <c r="AE75" s="74"/>
    </row>
    <row r="76">
      <c r="A76" s="74"/>
      <c r="AE76" s="74"/>
    </row>
    <row r="77">
      <c r="A77" s="74"/>
      <c r="AE77" s="74"/>
    </row>
    <row r="78">
      <c r="A78" s="74"/>
      <c r="AE78" s="74"/>
    </row>
    <row r="79">
      <c r="A79" s="74"/>
      <c r="AE79" s="74"/>
    </row>
    <row r="80">
      <c r="A80" s="74"/>
      <c r="AE80" s="74"/>
    </row>
    <row r="81">
      <c r="A81" s="74"/>
      <c r="AE81" s="74"/>
    </row>
    <row r="82">
      <c r="A82" s="74"/>
      <c r="AE82" s="74"/>
    </row>
    <row r="83">
      <c r="A83" s="74"/>
      <c r="AE83" s="74"/>
    </row>
    <row r="84">
      <c r="A84" s="74"/>
      <c r="AE84" s="74"/>
    </row>
    <row r="85">
      <c r="A85" s="74"/>
      <c r="AE85" s="74"/>
    </row>
    <row r="86">
      <c r="A86" s="74"/>
      <c r="AE86" s="74"/>
    </row>
    <row r="87">
      <c r="A87" s="74"/>
      <c r="AE87" s="74"/>
    </row>
    <row r="88">
      <c r="A88" s="74"/>
      <c r="AE88" s="74"/>
    </row>
    <row r="89">
      <c r="A89" s="74"/>
      <c r="AE89" s="74"/>
    </row>
    <row r="90">
      <c r="A90" s="74"/>
      <c r="AE90" s="74"/>
    </row>
    <row r="91">
      <c r="A91" s="74"/>
      <c r="AE91" s="74"/>
    </row>
    <row r="92">
      <c r="A92" s="74"/>
      <c r="AE92" s="74"/>
    </row>
    <row r="93">
      <c r="A93" s="74"/>
      <c r="AE93" s="74"/>
    </row>
    <row r="94">
      <c r="A94" s="74"/>
      <c r="AE94" s="74"/>
    </row>
    <row r="95">
      <c r="A95" s="74"/>
      <c r="AE95" s="74"/>
    </row>
    <row r="96">
      <c r="A96" s="74"/>
      <c r="AE96" s="74"/>
    </row>
    <row r="97">
      <c r="A97" s="74"/>
      <c r="AE97" s="74"/>
    </row>
    <row r="98">
      <c r="A98" s="74"/>
      <c r="AE98" s="74"/>
    </row>
    <row r="99">
      <c r="A99" s="74"/>
      <c r="AE99" s="74"/>
    </row>
    <row r="100">
      <c r="A100" s="74"/>
      <c r="AE100" s="74"/>
    </row>
    <row r="101">
      <c r="A101" s="74"/>
      <c r="AE101" s="74"/>
    </row>
    <row r="102">
      <c r="A102" s="74"/>
      <c r="AE102" s="74"/>
    </row>
    <row r="103">
      <c r="A103" s="74"/>
      <c r="AE103" s="74"/>
    </row>
    <row r="104">
      <c r="A104" s="74"/>
      <c r="AE104" s="74"/>
    </row>
    <row r="105">
      <c r="A105" s="74"/>
      <c r="AE105" s="74"/>
    </row>
    <row r="106">
      <c r="A106" s="74"/>
      <c r="AE106" s="74"/>
    </row>
    <row r="107">
      <c r="A107" s="74"/>
      <c r="AE107" s="74"/>
    </row>
    <row r="108">
      <c r="A108" s="74"/>
      <c r="AE108" s="74"/>
    </row>
    <row r="109">
      <c r="A109" s="74"/>
      <c r="AE109" s="74"/>
    </row>
    <row r="110">
      <c r="A110" s="74"/>
      <c r="AE110" s="74"/>
    </row>
    <row r="111">
      <c r="A111" s="74"/>
      <c r="AE111" s="74"/>
    </row>
    <row r="112">
      <c r="A112" s="74"/>
      <c r="AE112" s="74"/>
    </row>
    <row r="113">
      <c r="A113" s="74"/>
      <c r="AE113" s="74"/>
    </row>
    <row r="114">
      <c r="A114" s="74"/>
      <c r="AE114" s="74"/>
    </row>
    <row r="115">
      <c r="A115" s="74"/>
      <c r="AE115" s="74"/>
    </row>
    <row r="116">
      <c r="A116" s="74"/>
      <c r="AE116" s="74"/>
    </row>
    <row r="117">
      <c r="A117" s="74"/>
      <c r="AE117" s="74"/>
    </row>
    <row r="118">
      <c r="A118" s="74"/>
      <c r="AE118" s="74"/>
    </row>
    <row r="119">
      <c r="A119" s="74"/>
      <c r="AE119" s="74"/>
    </row>
    <row r="120">
      <c r="A120" s="74"/>
      <c r="AE120" s="74"/>
    </row>
    <row r="121">
      <c r="A121" s="74"/>
      <c r="AE121" s="74"/>
    </row>
    <row r="122">
      <c r="A122" s="74"/>
      <c r="AE122" s="74"/>
    </row>
    <row r="123">
      <c r="A123" s="74"/>
      <c r="AE123" s="74"/>
    </row>
    <row r="124">
      <c r="A124" s="74"/>
      <c r="AE124" s="74"/>
    </row>
    <row r="125">
      <c r="A125" s="74"/>
      <c r="AE125" s="74"/>
    </row>
    <row r="126">
      <c r="A126" s="74"/>
      <c r="AE126" s="74"/>
    </row>
    <row r="127">
      <c r="A127" s="74"/>
      <c r="AE127" s="74"/>
    </row>
    <row r="128">
      <c r="A128" s="74"/>
      <c r="AE128" s="74"/>
    </row>
    <row r="129">
      <c r="A129" s="74"/>
      <c r="AE129" s="74"/>
    </row>
    <row r="130">
      <c r="A130" s="74"/>
      <c r="AE130" s="74"/>
    </row>
    <row r="131">
      <c r="A131" s="74"/>
      <c r="AE131" s="74"/>
    </row>
    <row r="132">
      <c r="A132" s="74"/>
      <c r="AE132" s="74"/>
    </row>
    <row r="133">
      <c r="A133" s="74"/>
      <c r="AE133" s="74"/>
    </row>
    <row r="134">
      <c r="A134" s="74"/>
      <c r="AE134" s="74"/>
    </row>
    <row r="135">
      <c r="A135" s="74"/>
      <c r="AE135" s="74"/>
    </row>
    <row r="136">
      <c r="A136" s="74"/>
      <c r="AE136" s="74"/>
    </row>
    <row r="137">
      <c r="A137" s="74"/>
      <c r="AE137" s="74"/>
    </row>
    <row r="138">
      <c r="A138" s="74"/>
      <c r="AE138" s="74"/>
    </row>
    <row r="139">
      <c r="A139" s="74"/>
      <c r="AE139" s="74"/>
    </row>
    <row r="140">
      <c r="A140" s="74"/>
      <c r="AE140" s="74"/>
    </row>
    <row r="141">
      <c r="A141" s="74"/>
      <c r="AE141" s="74"/>
    </row>
    <row r="142">
      <c r="A142" s="74"/>
      <c r="AE142" s="74"/>
    </row>
    <row r="143">
      <c r="A143" s="74"/>
      <c r="AE143" s="74"/>
    </row>
    <row r="144">
      <c r="A144" s="74"/>
      <c r="AE144" s="74"/>
    </row>
    <row r="145">
      <c r="A145" s="74"/>
      <c r="AE145" s="74"/>
    </row>
    <row r="146">
      <c r="A146" s="74"/>
      <c r="AE146" s="74"/>
    </row>
    <row r="147">
      <c r="A147" s="74"/>
      <c r="AE147" s="74"/>
    </row>
    <row r="148">
      <c r="A148" s="74"/>
      <c r="AE148" s="74"/>
    </row>
    <row r="149">
      <c r="A149" s="74"/>
      <c r="AE149" s="74"/>
    </row>
    <row r="150">
      <c r="A150" s="74"/>
      <c r="AE150" s="74"/>
    </row>
    <row r="151">
      <c r="A151" s="74"/>
      <c r="AE151" s="74"/>
    </row>
    <row r="152">
      <c r="A152" s="74"/>
      <c r="AE152" s="74"/>
    </row>
    <row r="153">
      <c r="A153" s="74"/>
      <c r="AE153" s="74"/>
    </row>
    <row r="154">
      <c r="A154" s="74"/>
      <c r="AE154" s="74"/>
    </row>
    <row r="155">
      <c r="A155" s="74"/>
      <c r="AE155" s="74"/>
    </row>
    <row r="156">
      <c r="A156" s="74"/>
      <c r="AE156" s="74"/>
    </row>
    <row r="157">
      <c r="A157" s="74"/>
      <c r="AE157" s="74"/>
    </row>
    <row r="158">
      <c r="A158" s="74"/>
      <c r="AE158" s="74"/>
    </row>
    <row r="159">
      <c r="A159" s="74"/>
      <c r="AE159" s="74"/>
    </row>
    <row r="160">
      <c r="A160" s="74"/>
      <c r="AE160" s="74"/>
    </row>
    <row r="161">
      <c r="A161" s="74"/>
      <c r="AE161" s="74"/>
    </row>
    <row r="162">
      <c r="A162" s="74"/>
      <c r="AE162" s="74"/>
    </row>
    <row r="163">
      <c r="A163" s="74"/>
      <c r="AE163" s="74"/>
    </row>
    <row r="164">
      <c r="A164" s="74"/>
      <c r="AE164" s="74"/>
    </row>
    <row r="165">
      <c r="A165" s="74"/>
      <c r="AE165" s="74"/>
    </row>
    <row r="166">
      <c r="A166" s="74"/>
      <c r="AE166" s="74"/>
    </row>
    <row r="167">
      <c r="A167" s="74"/>
      <c r="AE167" s="74"/>
    </row>
    <row r="168">
      <c r="A168" s="74"/>
      <c r="AE168" s="74"/>
    </row>
    <row r="169">
      <c r="A169" s="74"/>
      <c r="AE169" s="74"/>
    </row>
    <row r="170">
      <c r="A170" s="74"/>
      <c r="AE170" s="74"/>
    </row>
    <row r="171">
      <c r="A171" s="74"/>
      <c r="AE171" s="74"/>
    </row>
    <row r="172">
      <c r="A172" s="74"/>
      <c r="AE172" s="74"/>
    </row>
    <row r="173">
      <c r="A173" s="74"/>
      <c r="AE173" s="74"/>
    </row>
    <row r="174">
      <c r="A174" s="74"/>
      <c r="AE174" s="74"/>
    </row>
    <row r="175">
      <c r="A175" s="74"/>
      <c r="AE175" s="74"/>
    </row>
    <row r="176">
      <c r="A176" s="74"/>
      <c r="AE176" s="74"/>
    </row>
    <row r="177">
      <c r="A177" s="74"/>
      <c r="AE177" s="74"/>
    </row>
    <row r="178">
      <c r="A178" s="74"/>
      <c r="AE178" s="74"/>
    </row>
    <row r="179">
      <c r="A179" s="74"/>
      <c r="AE179" s="74"/>
    </row>
    <row r="180">
      <c r="A180" s="74"/>
      <c r="AE180" s="74"/>
    </row>
    <row r="181">
      <c r="A181" s="74"/>
      <c r="AE181" s="74"/>
    </row>
    <row r="182">
      <c r="A182" s="74"/>
      <c r="AE182" s="74"/>
    </row>
    <row r="183">
      <c r="A183" s="74"/>
      <c r="AE183" s="74"/>
    </row>
    <row r="184">
      <c r="A184" s="74"/>
      <c r="AE184" s="74"/>
    </row>
    <row r="185">
      <c r="A185" s="74"/>
      <c r="AE185" s="74"/>
    </row>
    <row r="186">
      <c r="A186" s="74"/>
      <c r="AE186" s="74"/>
    </row>
    <row r="187">
      <c r="A187" s="74"/>
      <c r="AE187" s="74"/>
    </row>
    <row r="188">
      <c r="A188" s="74"/>
      <c r="AE188" s="74"/>
    </row>
    <row r="189">
      <c r="A189" s="74"/>
      <c r="AE189" s="74"/>
    </row>
    <row r="190">
      <c r="A190" s="74"/>
      <c r="AE190" s="74"/>
    </row>
    <row r="191">
      <c r="A191" s="74"/>
      <c r="AE191" s="74"/>
    </row>
    <row r="192">
      <c r="A192" s="74"/>
      <c r="AE192" s="74"/>
    </row>
    <row r="193">
      <c r="A193" s="74"/>
      <c r="AE193" s="74"/>
    </row>
    <row r="194">
      <c r="A194" s="74"/>
      <c r="AE194" s="74"/>
    </row>
    <row r="195">
      <c r="A195" s="74"/>
      <c r="AE195" s="74"/>
    </row>
    <row r="196">
      <c r="A196" s="74"/>
      <c r="AE196" s="74"/>
    </row>
    <row r="197">
      <c r="A197" s="74"/>
      <c r="AE197" s="74"/>
    </row>
    <row r="198">
      <c r="A198" s="74"/>
      <c r="AE198" s="74"/>
    </row>
    <row r="199">
      <c r="A199" s="74"/>
      <c r="AE199" s="74"/>
    </row>
    <row r="200">
      <c r="A200" s="74"/>
      <c r="AE200" s="74"/>
    </row>
    <row r="201">
      <c r="A201" s="74"/>
      <c r="AE201" s="74"/>
    </row>
    <row r="202">
      <c r="A202" s="74"/>
      <c r="AE202" s="74"/>
    </row>
    <row r="203">
      <c r="A203" s="74"/>
      <c r="AE203" s="74"/>
    </row>
    <row r="204">
      <c r="A204" s="74"/>
      <c r="AE204" s="74"/>
    </row>
    <row r="205">
      <c r="A205" s="74"/>
      <c r="AE205" s="74"/>
    </row>
    <row r="206">
      <c r="A206" s="74"/>
      <c r="AE206" s="74"/>
    </row>
    <row r="207">
      <c r="A207" s="74"/>
      <c r="AE207" s="74"/>
    </row>
    <row r="208">
      <c r="A208" s="74"/>
      <c r="AE208" s="74"/>
    </row>
    <row r="209">
      <c r="A209" s="74"/>
      <c r="AE209" s="74"/>
    </row>
    <row r="210">
      <c r="A210" s="74"/>
      <c r="AE210" s="74"/>
    </row>
    <row r="211">
      <c r="A211" s="74"/>
      <c r="AE211" s="74"/>
    </row>
    <row r="212">
      <c r="A212" s="74"/>
      <c r="AE212" s="74"/>
    </row>
    <row r="213">
      <c r="A213" s="74"/>
      <c r="AE213" s="74"/>
    </row>
    <row r="214">
      <c r="A214" s="74"/>
      <c r="AE214" s="74"/>
    </row>
    <row r="215">
      <c r="A215" s="74"/>
      <c r="AE215" s="74"/>
    </row>
    <row r="216">
      <c r="A216" s="74"/>
      <c r="AE216" s="74"/>
    </row>
    <row r="217">
      <c r="A217" s="74"/>
      <c r="AE217" s="74"/>
    </row>
    <row r="218">
      <c r="A218" s="74"/>
      <c r="AE218" s="74"/>
    </row>
    <row r="219">
      <c r="A219" s="74"/>
      <c r="AE219" s="74"/>
    </row>
    <row r="220">
      <c r="A220" s="74"/>
      <c r="AE220" s="74"/>
    </row>
    <row r="221">
      <c r="A221" s="74"/>
      <c r="AE221" s="74"/>
    </row>
    <row r="222">
      <c r="A222" s="74"/>
      <c r="AE222" s="74"/>
    </row>
    <row r="223">
      <c r="A223" s="74"/>
      <c r="AE223" s="74"/>
    </row>
    <row r="224">
      <c r="A224" s="74"/>
      <c r="AE224" s="74"/>
    </row>
    <row r="225">
      <c r="A225" s="74"/>
      <c r="AE225" s="74"/>
    </row>
    <row r="226">
      <c r="A226" s="74"/>
      <c r="AE226" s="74"/>
    </row>
    <row r="227">
      <c r="A227" s="74"/>
      <c r="AE227" s="74"/>
    </row>
    <row r="228">
      <c r="A228" s="74"/>
      <c r="AE228" s="74"/>
    </row>
    <row r="229">
      <c r="A229" s="74"/>
      <c r="AE229" s="74"/>
    </row>
    <row r="230">
      <c r="A230" s="74"/>
      <c r="AE230" s="74"/>
    </row>
    <row r="231">
      <c r="A231" s="74"/>
      <c r="AE231" s="74"/>
    </row>
    <row r="232">
      <c r="A232" s="74"/>
      <c r="AE232" s="74"/>
    </row>
    <row r="233">
      <c r="A233" s="74"/>
      <c r="AE233" s="74"/>
    </row>
    <row r="234">
      <c r="A234" s="74"/>
      <c r="AE234" s="74"/>
    </row>
    <row r="235">
      <c r="A235" s="74"/>
      <c r="AE235" s="74"/>
    </row>
    <row r="236">
      <c r="A236" s="74"/>
      <c r="AE236" s="74"/>
    </row>
    <row r="237">
      <c r="A237" s="74"/>
      <c r="AE237" s="74"/>
    </row>
    <row r="238">
      <c r="A238" s="74"/>
      <c r="AE238" s="74"/>
    </row>
    <row r="239">
      <c r="A239" s="74"/>
      <c r="AE239" s="74"/>
    </row>
    <row r="240">
      <c r="A240" s="74"/>
      <c r="AE240" s="74"/>
    </row>
    <row r="241">
      <c r="A241" s="74"/>
      <c r="AE241" s="74"/>
    </row>
    <row r="242">
      <c r="A242" s="74"/>
      <c r="AE242" s="74"/>
    </row>
    <row r="243">
      <c r="A243" s="74"/>
      <c r="AE243" s="74"/>
    </row>
    <row r="244">
      <c r="A244" s="74"/>
      <c r="AE244" s="74"/>
    </row>
    <row r="245">
      <c r="A245" s="74"/>
      <c r="AE245" s="74"/>
    </row>
    <row r="246">
      <c r="A246" s="74"/>
      <c r="AE246" s="74"/>
    </row>
    <row r="247">
      <c r="A247" s="74"/>
      <c r="AE247" s="74"/>
    </row>
    <row r="248">
      <c r="A248" s="74"/>
      <c r="AE248" s="74"/>
    </row>
    <row r="249">
      <c r="A249" s="74"/>
      <c r="AE249" s="74"/>
    </row>
    <row r="250">
      <c r="A250" s="74"/>
      <c r="AE250" s="74"/>
    </row>
    <row r="251">
      <c r="A251" s="74"/>
      <c r="AE251" s="74"/>
    </row>
    <row r="252">
      <c r="A252" s="74"/>
      <c r="AE252" s="74"/>
    </row>
    <row r="253">
      <c r="A253" s="74"/>
      <c r="AE253" s="74"/>
    </row>
    <row r="254">
      <c r="A254" s="74"/>
      <c r="AE254" s="74"/>
    </row>
    <row r="255">
      <c r="A255" s="74"/>
      <c r="AE255" s="74"/>
    </row>
    <row r="256">
      <c r="A256" s="74"/>
      <c r="AE256" s="74"/>
    </row>
    <row r="257">
      <c r="A257" s="74"/>
      <c r="AE257" s="74"/>
    </row>
    <row r="258">
      <c r="A258" s="74"/>
      <c r="AE258" s="74"/>
    </row>
    <row r="259">
      <c r="A259" s="74"/>
      <c r="AE259" s="74"/>
    </row>
    <row r="260">
      <c r="A260" s="74"/>
      <c r="AE260" s="74"/>
    </row>
    <row r="261">
      <c r="A261" s="74"/>
      <c r="AE261" s="74"/>
    </row>
    <row r="262">
      <c r="A262" s="74"/>
      <c r="AE262" s="74"/>
    </row>
    <row r="263">
      <c r="A263" s="74"/>
      <c r="AE263" s="74"/>
    </row>
    <row r="264">
      <c r="A264" s="74"/>
      <c r="AE264" s="74"/>
    </row>
    <row r="265">
      <c r="A265" s="74"/>
      <c r="AE265" s="74"/>
    </row>
    <row r="266">
      <c r="A266" s="74"/>
      <c r="AE266" s="74"/>
    </row>
    <row r="267">
      <c r="A267" s="74"/>
      <c r="AE267" s="74"/>
    </row>
    <row r="268">
      <c r="A268" s="74"/>
      <c r="AE268" s="74"/>
    </row>
    <row r="269">
      <c r="A269" s="74"/>
      <c r="AE269" s="74"/>
    </row>
    <row r="270">
      <c r="A270" s="74"/>
      <c r="AE270" s="74"/>
    </row>
    <row r="271">
      <c r="A271" s="74"/>
      <c r="AE271" s="74"/>
    </row>
    <row r="272">
      <c r="A272" s="74"/>
      <c r="AE272" s="74"/>
    </row>
    <row r="273">
      <c r="A273" s="74"/>
      <c r="AE273" s="74"/>
    </row>
    <row r="274">
      <c r="A274" s="74"/>
      <c r="AE274" s="74"/>
    </row>
    <row r="275">
      <c r="A275" s="74"/>
      <c r="AE275" s="74"/>
    </row>
    <row r="276">
      <c r="A276" s="74"/>
      <c r="AE276" s="74"/>
    </row>
    <row r="277">
      <c r="A277" s="74"/>
      <c r="AE277" s="74"/>
    </row>
    <row r="278">
      <c r="A278" s="74"/>
      <c r="AE278" s="74"/>
    </row>
    <row r="279">
      <c r="A279" s="74"/>
      <c r="AE279" s="74"/>
    </row>
    <row r="280">
      <c r="A280" s="74"/>
      <c r="AE280" s="74"/>
    </row>
    <row r="281">
      <c r="A281" s="74"/>
      <c r="AE281" s="74"/>
    </row>
    <row r="282">
      <c r="A282" s="74"/>
      <c r="AE282" s="74"/>
    </row>
    <row r="283">
      <c r="A283" s="74"/>
      <c r="AE283" s="74"/>
    </row>
    <row r="284">
      <c r="A284" s="74"/>
      <c r="AE284" s="74"/>
    </row>
    <row r="285">
      <c r="A285" s="74"/>
      <c r="AE285" s="74"/>
    </row>
    <row r="286">
      <c r="A286" s="74"/>
      <c r="AE286" s="74"/>
    </row>
    <row r="287">
      <c r="A287" s="74"/>
      <c r="AE287" s="74"/>
    </row>
    <row r="288">
      <c r="A288" s="74"/>
      <c r="AE288" s="74"/>
    </row>
    <row r="289">
      <c r="A289" s="74"/>
      <c r="AE289" s="74"/>
    </row>
    <row r="290">
      <c r="A290" s="74"/>
      <c r="AE290" s="74"/>
    </row>
    <row r="291">
      <c r="A291" s="74"/>
      <c r="AE291" s="74"/>
    </row>
    <row r="292">
      <c r="A292" s="74"/>
      <c r="AE292" s="74"/>
    </row>
    <row r="293">
      <c r="A293" s="74"/>
      <c r="AE293" s="74"/>
    </row>
    <row r="294">
      <c r="A294" s="74"/>
      <c r="AE294" s="74"/>
    </row>
    <row r="295">
      <c r="A295" s="74"/>
      <c r="AE295" s="74"/>
    </row>
    <row r="296">
      <c r="A296" s="74"/>
      <c r="AE296" s="74"/>
    </row>
    <row r="297">
      <c r="A297" s="74"/>
      <c r="AE297" s="74"/>
    </row>
    <row r="298">
      <c r="A298" s="74"/>
      <c r="AE298" s="74"/>
    </row>
    <row r="299">
      <c r="A299" s="74"/>
      <c r="AE299" s="74"/>
    </row>
    <row r="300">
      <c r="A300" s="74"/>
      <c r="AE300" s="74"/>
    </row>
    <row r="301">
      <c r="A301" s="74"/>
      <c r="AE301" s="74"/>
    </row>
    <row r="302">
      <c r="A302" s="74"/>
      <c r="AE302" s="74"/>
    </row>
    <row r="303">
      <c r="A303" s="74"/>
      <c r="AE303" s="74"/>
    </row>
    <row r="304">
      <c r="A304" s="74"/>
      <c r="AE304" s="74"/>
    </row>
    <row r="305">
      <c r="A305" s="74"/>
      <c r="AE305" s="74"/>
    </row>
    <row r="306">
      <c r="A306" s="74"/>
      <c r="AE306" s="74"/>
    </row>
    <row r="307">
      <c r="A307" s="74"/>
      <c r="AE307" s="74"/>
    </row>
    <row r="308">
      <c r="A308" s="74"/>
      <c r="AE308" s="74"/>
    </row>
    <row r="309">
      <c r="A309" s="74"/>
      <c r="AE309" s="74"/>
    </row>
    <row r="310">
      <c r="A310" s="74"/>
      <c r="AE310" s="74"/>
    </row>
    <row r="311">
      <c r="A311" s="74"/>
      <c r="AE311" s="74"/>
    </row>
    <row r="312">
      <c r="A312" s="74"/>
      <c r="AE312" s="74"/>
    </row>
    <row r="313">
      <c r="A313" s="74"/>
      <c r="AE313" s="74"/>
    </row>
    <row r="314">
      <c r="A314" s="74"/>
      <c r="AE314" s="74"/>
    </row>
    <row r="315">
      <c r="A315" s="74"/>
      <c r="AE315" s="74"/>
    </row>
    <row r="316">
      <c r="A316" s="74"/>
      <c r="AE316" s="74"/>
    </row>
    <row r="317">
      <c r="A317" s="74"/>
      <c r="AE317" s="74"/>
    </row>
    <row r="318">
      <c r="A318" s="74"/>
      <c r="AE318" s="74"/>
    </row>
    <row r="319">
      <c r="A319" s="74"/>
      <c r="AE319" s="74"/>
    </row>
    <row r="320">
      <c r="A320" s="74"/>
      <c r="AE320" s="74"/>
    </row>
    <row r="321">
      <c r="A321" s="74"/>
      <c r="AE321" s="74"/>
    </row>
    <row r="322">
      <c r="A322" s="74"/>
      <c r="AE322" s="74"/>
    </row>
    <row r="323">
      <c r="A323" s="74"/>
      <c r="AE323" s="74"/>
    </row>
    <row r="324">
      <c r="A324" s="74"/>
      <c r="AE324" s="74"/>
    </row>
    <row r="325">
      <c r="A325" s="74"/>
      <c r="AE325" s="74"/>
    </row>
    <row r="326">
      <c r="A326" s="74"/>
      <c r="AE326" s="74"/>
    </row>
    <row r="327">
      <c r="A327" s="74"/>
      <c r="AE327" s="74"/>
    </row>
    <row r="328">
      <c r="A328" s="74"/>
      <c r="AE328" s="74"/>
    </row>
    <row r="329">
      <c r="A329" s="74"/>
      <c r="AE329" s="74"/>
    </row>
    <row r="330">
      <c r="A330" s="74"/>
      <c r="AE330" s="74"/>
    </row>
    <row r="331">
      <c r="A331" s="74"/>
      <c r="AE331" s="74"/>
    </row>
    <row r="332">
      <c r="A332" s="74"/>
      <c r="AE332" s="74"/>
    </row>
    <row r="333">
      <c r="A333" s="74"/>
      <c r="AE333" s="74"/>
    </row>
    <row r="334">
      <c r="A334" s="74"/>
      <c r="AE334" s="74"/>
    </row>
    <row r="335">
      <c r="A335" s="74"/>
      <c r="AE335" s="74"/>
    </row>
    <row r="336">
      <c r="A336" s="74"/>
      <c r="AE336" s="74"/>
    </row>
    <row r="337">
      <c r="A337" s="74"/>
      <c r="AE337" s="74"/>
    </row>
    <row r="338">
      <c r="A338" s="74"/>
      <c r="AE338" s="74"/>
    </row>
    <row r="339">
      <c r="A339" s="74"/>
      <c r="AE339" s="74"/>
    </row>
    <row r="340">
      <c r="A340" s="74"/>
      <c r="AE340" s="74"/>
    </row>
    <row r="341">
      <c r="A341" s="74"/>
      <c r="AE341" s="74"/>
    </row>
    <row r="342">
      <c r="A342" s="74"/>
      <c r="AE342" s="74"/>
    </row>
    <row r="343">
      <c r="A343" s="74"/>
      <c r="AE343" s="74"/>
    </row>
    <row r="344">
      <c r="A344" s="74"/>
      <c r="AE344" s="74"/>
    </row>
    <row r="345">
      <c r="A345" s="74"/>
      <c r="AE345" s="74"/>
    </row>
    <row r="346">
      <c r="A346" s="74"/>
      <c r="AE346" s="74"/>
    </row>
    <row r="347">
      <c r="A347" s="74"/>
      <c r="AE347" s="74"/>
    </row>
    <row r="348">
      <c r="A348" s="74"/>
      <c r="AE348" s="74"/>
    </row>
    <row r="349">
      <c r="A349" s="74"/>
      <c r="AE349" s="74"/>
    </row>
    <row r="350">
      <c r="A350" s="74"/>
      <c r="AE350" s="74"/>
    </row>
    <row r="351">
      <c r="A351" s="74"/>
      <c r="AE351" s="74"/>
    </row>
    <row r="352">
      <c r="A352" s="74"/>
      <c r="AE352" s="74"/>
    </row>
    <row r="353">
      <c r="A353" s="74"/>
      <c r="AE353" s="74"/>
    </row>
    <row r="354">
      <c r="A354" s="74"/>
      <c r="AE354" s="74"/>
    </row>
    <row r="355">
      <c r="A355" s="74"/>
      <c r="AE355" s="74"/>
    </row>
    <row r="356">
      <c r="A356" s="74"/>
      <c r="AE356" s="74"/>
    </row>
    <row r="357">
      <c r="A357" s="74"/>
      <c r="AE357" s="74"/>
    </row>
    <row r="358">
      <c r="A358" s="74"/>
      <c r="AE358" s="74"/>
    </row>
    <row r="359">
      <c r="A359" s="74"/>
      <c r="AE359" s="74"/>
    </row>
    <row r="360">
      <c r="A360" s="74"/>
      <c r="AE360" s="74"/>
    </row>
    <row r="361">
      <c r="A361" s="74"/>
      <c r="AE361" s="74"/>
    </row>
    <row r="362">
      <c r="A362" s="74"/>
      <c r="AE362" s="74"/>
    </row>
    <row r="363">
      <c r="A363" s="74"/>
      <c r="AE363" s="74"/>
    </row>
    <row r="364">
      <c r="A364" s="74"/>
      <c r="AE364" s="74"/>
    </row>
    <row r="365">
      <c r="A365" s="74"/>
      <c r="AE365" s="74"/>
    </row>
    <row r="366">
      <c r="A366" s="74"/>
      <c r="AE366" s="74"/>
    </row>
    <row r="367">
      <c r="A367" s="74"/>
      <c r="AE367" s="74"/>
    </row>
    <row r="368">
      <c r="A368" s="74"/>
      <c r="AE368" s="74"/>
    </row>
    <row r="369">
      <c r="A369" s="74"/>
      <c r="AE369" s="74"/>
    </row>
    <row r="370">
      <c r="A370" s="74"/>
      <c r="AE370" s="74"/>
    </row>
    <row r="371">
      <c r="A371" s="74"/>
      <c r="AE371" s="74"/>
    </row>
    <row r="372">
      <c r="A372" s="74"/>
      <c r="AE372" s="74"/>
    </row>
    <row r="373">
      <c r="A373" s="74"/>
      <c r="AE373" s="74"/>
    </row>
    <row r="374">
      <c r="A374" s="74"/>
      <c r="AE374" s="74"/>
    </row>
    <row r="375">
      <c r="A375" s="74"/>
      <c r="AE375" s="74"/>
    </row>
    <row r="376">
      <c r="A376" s="74"/>
      <c r="AE376" s="74"/>
    </row>
    <row r="377">
      <c r="A377" s="74"/>
      <c r="AE377" s="74"/>
    </row>
    <row r="378">
      <c r="A378" s="74"/>
      <c r="AE378" s="74"/>
    </row>
    <row r="379">
      <c r="A379" s="74"/>
      <c r="AE379" s="74"/>
    </row>
    <row r="380">
      <c r="A380" s="74"/>
      <c r="AE380" s="74"/>
    </row>
    <row r="381">
      <c r="A381" s="74"/>
      <c r="AE381" s="74"/>
    </row>
    <row r="382">
      <c r="A382" s="74"/>
      <c r="AE382" s="74"/>
    </row>
    <row r="383">
      <c r="A383" s="74"/>
      <c r="AE383" s="74"/>
    </row>
    <row r="384">
      <c r="A384" s="74"/>
      <c r="AE384" s="74"/>
    </row>
    <row r="385">
      <c r="A385" s="74"/>
      <c r="AE385" s="74"/>
    </row>
    <row r="386">
      <c r="A386" s="74"/>
      <c r="AE386" s="74"/>
    </row>
    <row r="387">
      <c r="A387" s="74"/>
      <c r="AE387" s="74"/>
    </row>
    <row r="388">
      <c r="A388" s="74"/>
      <c r="AE388" s="74"/>
    </row>
    <row r="389">
      <c r="A389" s="74"/>
      <c r="AE389" s="74"/>
    </row>
    <row r="390">
      <c r="A390" s="74"/>
      <c r="AE390" s="74"/>
    </row>
    <row r="391">
      <c r="A391" s="74"/>
      <c r="AE391" s="74"/>
    </row>
    <row r="392">
      <c r="A392" s="74"/>
      <c r="AE392" s="74"/>
    </row>
    <row r="393">
      <c r="A393" s="74"/>
      <c r="AE393" s="74"/>
    </row>
    <row r="394">
      <c r="A394" s="74"/>
      <c r="AE394" s="74"/>
    </row>
    <row r="395">
      <c r="A395" s="74"/>
      <c r="AE395" s="74"/>
    </row>
    <row r="396">
      <c r="A396" s="74"/>
      <c r="AE396" s="74"/>
    </row>
    <row r="397">
      <c r="A397" s="74"/>
      <c r="AE397" s="74"/>
    </row>
    <row r="398">
      <c r="A398" s="74"/>
      <c r="AE398" s="74"/>
    </row>
    <row r="399">
      <c r="A399" s="74"/>
      <c r="AE399" s="74"/>
    </row>
    <row r="400">
      <c r="A400" s="74"/>
      <c r="AE400" s="74"/>
    </row>
    <row r="401">
      <c r="A401" s="74"/>
      <c r="AE401" s="74"/>
    </row>
    <row r="402">
      <c r="A402" s="74"/>
      <c r="AE402" s="74"/>
    </row>
    <row r="403">
      <c r="A403" s="74"/>
      <c r="AE403" s="74"/>
    </row>
    <row r="404">
      <c r="A404" s="74"/>
      <c r="AE404" s="74"/>
    </row>
    <row r="405">
      <c r="A405" s="74"/>
      <c r="AE405" s="74"/>
    </row>
    <row r="406">
      <c r="A406" s="74"/>
      <c r="AE406" s="74"/>
    </row>
    <row r="407">
      <c r="A407" s="74"/>
      <c r="AE407" s="74"/>
    </row>
    <row r="408">
      <c r="A408" s="74"/>
      <c r="AE408" s="74"/>
    </row>
    <row r="409">
      <c r="A409" s="74"/>
      <c r="AE409" s="74"/>
    </row>
    <row r="410">
      <c r="A410" s="74"/>
      <c r="AE410" s="74"/>
    </row>
    <row r="411">
      <c r="A411" s="74"/>
      <c r="AE411" s="74"/>
    </row>
    <row r="412">
      <c r="A412" s="74"/>
      <c r="AE412" s="74"/>
    </row>
    <row r="413">
      <c r="A413" s="74"/>
      <c r="AE413" s="74"/>
    </row>
    <row r="414">
      <c r="A414" s="74"/>
      <c r="AE414" s="74"/>
    </row>
    <row r="415">
      <c r="A415" s="74"/>
      <c r="AE415" s="74"/>
    </row>
    <row r="416">
      <c r="A416" s="74"/>
      <c r="AE416" s="74"/>
    </row>
    <row r="417">
      <c r="A417" s="74"/>
      <c r="AE417" s="74"/>
    </row>
    <row r="418">
      <c r="A418" s="74"/>
      <c r="AE418" s="74"/>
    </row>
    <row r="419">
      <c r="A419" s="74"/>
      <c r="AE419" s="74"/>
    </row>
    <row r="420">
      <c r="A420" s="74"/>
      <c r="AE420" s="74"/>
    </row>
    <row r="421">
      <c r="A421" s="74"/>
      <c r="AE421" s="74"/>
    </row>
    <row r="422">
      <c r="A422" s="74"/>
      <c r="AE422" s="74"/>
    </row>
    <row r="423">
      <c r="A423" s="74"/>
      <c r="AE423" s="74"/>
    </row>
    <row r="424">
      <c r="A424" s="74"/>
      <c r="AE424" s="74"/>
    </row>
    <row r="425">
      <c r="A425" s="74"/>
      <c r="AE425" s="74"/>
    </row>
    <row r="426">
      <c r="A426" s="74"/>
      <c r="AE426" s="74"/>
    </row>
    <row r="427">
      <c r="A427" s="74"/>
      <c r="AE427" s="74"/>
    </row>
    <row r="428">
      <c r="A428" s="74"/>
      <c r="AE428" s="74"/>
    </row>
    <row r="429">
      <c r="A429" s="74"/>
      <c r="AE429" s="74"/>
    </row>
    <row r="430">
      <c r="A430" s="74"/>
      <c r="AE430" s="74"/>
    </row>
    <row r="431">
      <c r="A431" s="74"/>
      <c r="AE431" s="74"/>
    </row>
    <row r="432">
      <c r="A432" s="74"/>
      <c r="AE432" s="74"/>
    </row>
    <row r="433">
      <c r="A433" s="74"/>
      <c r="AE433" s="74"/>
    </row>
    <row r="434">
      <c r="A434" s="74"/>
      <c r="AE434" s="74"/>
    </row>
    <row r="435">
      <c r="A435" s="74"/>
      <c r="AE435" s="74"/>
    </row>
    <row r="436">
      <c r="A436" s="74"/>
      <c r="AE436" s="74"/>
    </row>
    <row r="437">
      <c r="A437" s="74"/>
      <c r="AE437" s="74"/>
    </row>
    <row r="438">
      <c r="A438" s="74"/>
      <c r="AE438" s="74"/>
    </row>
    <row r="439">
      <c r="A439" s="74"/>
      <c r="AE439" s="74"/>
    </row>
    <row r="440">
      <c r="A440" s="74"/>
      <c r="AE440" s="74"/>
    </row>
    <row r="441">
      <c r="A441" s="74"/>
      <c r="AE441" s="74"/>
    </row>
    <row r="442">
      <c r="A442" s="74"/>
      <c r="AE442" s="74"/>
    </row>
    <row r="443">
      <c r="A443" s="74"/>
      <c r="AE443" s="74"/>
    </row>
    <row r="444">
      <c r="A444" s="74"/>
      <c r="AE444" s="74"/>
    </row>
    <row r="445">
      <c r="A445" s="74"/>
      <c r="AE445" s="74"/>
    </row>
    <row r="446">
      <c r="A446" s="74"/>
      <c r="AE446" s="74"/>
    </row>
    <row r="447">
      <c r="A447" s="74"/>
      <c r="AE447" s="74"/>
    </row>
    <row r="448">
      <c r="A448" s="74"/>
      <c r="AE448" s="74"/>
    </row>
    <row r="449">
      <c r="A449" s="74"/>
      <c r="AE449" s="74"/>
    </row>
    <row r="450">
      <c r="A450" s="74"/>
      <c r="AE450" s="74"/>
    </row>
    <row r="451">
      <c r="A451" s="74"/>
      <c r="AE451" s="74"/>
    </row>
    <row r="452">
      <c r="A452" s="74"/>
      <c r="AE452" s="74"/>
    </row>
    <row r="453">
      <c r="A453" s="74"/>
      <c r="AE453" s="74"/>
    </row>
    <row r="454">
      <c r="A454" s="74"/>
      <c r="AE454" s="74"/>
    </row>
    <row r="455">
      <c r="A455" s="74"/>
      <c r="AE455" s="74"/>
    </row>
    <row r="456">
      <c r="A456" s="74"/>
      <c r="AE456" s="74"/>
    </row>
    <row r="457">
      <c r="A457" s="74"/>
      <c r="AE457" s="74"/>
    </row>
    <row r="458">
      <c r="A458" s="74"/>
      <c r="AE458" s="74"/>
    </row>
    <row r="459">
      <c r="A459" s="74"/>
      <c r="AE459" s="74"/>
    </row>
    <row r="460">
      <c r="A460" s="74"/>
      <c r="AE460" s="74"/>
    </row>
    <row r="461">
      <c r="A461" s="74"/>
      <c r="AE461" s="74"/>
    </row>
    <row r="462">
      <c r="A462" s="74"/>
      <c r="AE462" s="74"/>
    </row>
    <row r="463">
      <c r="A463" s="74"/>
      <c r="AE463" s="74"/>
    </row>
    <row r="464">
      <c r="A464" s="74"/>
      <c r="AE464" s="74"/>
    </row>
    <row r="465">
      <c r="A465" s="74"/>
      <c r="AE465" s="74"/>
    </row>
    <row r="466">
      <c r="A466" s="74"/>
      <c r="AE466" s="74"/>
    </row>
    <row r="467">
      <c r="A467" s="74"/>
      <c r="AE467" s="74"/>
    </row>
    <row r="468">
      <c r="A468" s="74"/>
      <c r="AE468" s="74"/>
    </row>
    <row r="469">
      <c r="A469" s="74"/>
      <c r="AE469" s="74"/>
    </row>
    <row r="470">
      <c r="A470" s="74"/>
      <c r="AE470" s="74"/>
    </row>
    <row r="471">
      <c r="A471" s="74"/>
      <c r="AE471" s="74"/>
    </row>
    <row r="472">
      <c r="A472" s="74"/>
      <c r="AE472" s="74"/>
    </row>
    <row r="473">
      <c r="A473" s="74"/>
      <c r="AE473" s="74"/>
    </row>
    <row r="474">
      <c r="A474" s="74"/>
      <c r="AE474" s="74"/>
    </row>
    <row r="475">
      <c r="A475" s="74"/>
      <c r="AE475" s="74"/>
    </row>
    <row r="476">
      <c r="A476" s="74"/>
      <c r="AE476" s="74"/>
    </row>
    <row r="477">
      <c r="A477" s="74"/>
      <c r="AE477" s="74"/>
    </row>
    <row r="478">
      <c r="A478" s="74"/>
      <c r="AE478" s="74"/>
    </row>
    <row r="479">
      <c r="A479" s="74"/>
      <c r="AE479" s="74"/>
    </row>
    <row r="480">
      <c r="A480" s="74"/>
      <c r="AE480" s="74"/>
    </row>
    <row r="481">
      <c r="A481" s="74"/>
      <c r="AE481" s="74"/>
    </row>
    <row r="482">
      <c r="A482" s="74"/>
      <c r="AE482" s="74"/>
    </row>
    <row r="483">
      <c r="A483" s="74"/>
      <c r="AE483" s="74"/>
    </row>
    <row r="484">
      <c r="A484" s="74"/>
      <c r="AE484" s="74"/>
    </row>
    <row r="485">
      <c r="A485" s="74"/>
      <c r="AE485" s="74"/>
    </row>
    <row r="486">
      <c r="A486" s="74"/>
      <c r="AE486" s="74"/>
    </row>
    <row r="487">
      <c r="A487" s="74"/>
      <c r="AE487" s="74"/>
    </row>
    <row r="488">
      <c r="A488" s="74"/>
      <c r="AE488" s="74"/>
    </row>
    <row r="489">
      <c r="A489" s="74"/>
      <c r="AE489" s="74"/>
    </row>
    <row r="490">
      <c r="A490" s="74"/>
      <c r="AE490" s="74"/>
    </row>
    <row r="491">
      <c r="A491" s="74"/>
      <c r="AE491" s="74"/>
    </row>
    <row r="492">
      <c r="A492" s="74"/>
      <c r="AE492" s="74"/>
    </row>
    <row r="493">
      <c r="A493" s="74"/>
      <c r="AE493" s="74"/>
    </row>
    <row r="494">
      <c r="A494" s="74"/>
      <c r="AE494" s="74"/>
    </row>
    <row r="495">
      <c r="A495" s="74"/>
      <c r="AE495" s="74"/>
    </row>
    <row r="496">
      <c r="A496" s="74"/>
      <c r="AE496" s="74"/>
    </row>
    <row r="497">
      <c r="A497" s="74"/>
      <c r="AE497" s="74"/>
    </row>
    <row r="498">
      <c r="A498" s="74"/>
      <c r="AE498" s="74"/>
    </row>
    <row r="499">
      <c r="A499" s="74"/>
      <c r="AE499" s="74"/>
    </row>
    <row r="500">
      <c r="A500" s="74"/>
      <c r="AE500" s="74"/>
    </row>
    <row r="501">
      <c r="A501" s="74"/>
      <c r="AE501" s="74"/>
    </row>
    <row r="502">
      <c r="A502" s="74"/>
      <c r="AE502" s="74"/>
    </row>
    <row r="503">
      <c r="A503" s="74"/>
      <c r="AE503" s="74"/>
    </row>
    <row r="504">
      <c r="A504" s="74"/>
      <c r="AE504" s="74"/>
    </row>
    <row r="505">
      <c r="A505" s="74"/>
      <c r="AE505" s="74"/>
    </row>
    <row r="506">
      <c r="A506" s="74"/>
      <c r="AE506" s="74"/>
    </row>
    <row r="507">
      <c r="A507" s="74"/>
      <c r="AE507" s="74"/>
    </row>
    <row r="508">
      <c r="A508" s="74"/>
      <c r="AE508" s="74"/>
    </row>
    <row r="509">
      <c r="A509" s="74"/>
      <c r="AE509" s="74"/>
    </row>
    <row r="510">
      <c r="A510" s="74"/>
      <c r="AE510" s="74"/>
    </row>
    <row r="511">
      <c r="A511" s="74"/>
      <c r="AE511" s="74"/>
    </row>
    <row r="512">
      <c r="A512" s="74"/>
      <c r="AE512" s="74"/>
    </row>
    <row r="513">
      <c r="A513" s="74"/>
      <c r="AE513" s="74"/>
    </row>
    <row r="514">
      <c r="A514" s="74"/>
      <c r="AE514" s="74"/>
    </row>
    <row r="515">
      <c r="A515" s="74"/>
      <c r="AE515" s="74"/>
    </row>
    <row r="516">
      <c r="A516" s="74"/>
      <c r="AE516" s="74"/>
    </row>
    <row r="517">
      <c r="A517" s="74"/>
      <c r="AE517" s="74"/>
    </row>
    <row r="518">
      <c r="A518" s="74"/>
      <c r="AE518" s="74"/>
    </row>
    <row r="519">
      <c r="A519" s="74"/>
      <c r="AE519" s="74"/>
    </row>
    <row r="520">
      <c r="A520" s="74"/>
      <c r="AE520" s="74"/>
    </row>
    <row r="521">
      <c r="A521" s="74"/>
      <c r="AE521" s="74"/>
    </row>
    <row r="522">
      <c r="A522" s="74"/>
      <c r="AE522" s="74"/>
    </row>
    <row r="523">
      <c r="A523" s="74"/>
      <c r="AE523" s="74"/>
    </row>
    <row r="524">
      <c r="A524" s="74"/>
      <c r="AE524" s="74"/>
    </row>
    <row r="525">
      <c r="A525" s="74"/>
      <c r="AE525" s="74"/>
    </row>
    <row r="526">
      <c r="A526" s="74"/>
      <c r="AE526" s="74"/>
    </row>
    <row r="527">
      <c r="A527" s="74"/>
      <c r="AE527" s="74"/>
    </row>
    <row r="528">
      <c r="A528" s="74"/>
      <c r="AE528" s="74"/>
    </row>
    <row r="529">
      <c r="A529" s="74"/>
      <c r="AE529" s="74"/>
    </row>
    <row r="530">
      <c r="A530" s="74"/>
      <c r="AE530" s="74"/>
    </row>
    <row r="531">
      <c r="A531" s="74"/>
      <c r="AE531" s="74"/>
    </row>
    <row r="532">
      <c r="A532" s="74"/>
      <c r="AE532" s="74"/>
    </row>
    <row r="533">
      <c r="A533" s="74"/>
      <c r="AE533" s="74"/>
    </row>
    <row r="534">
      <c r="A534" s="74"/>
      <c r="AE534" s="74"/>
    </row>
    <row r="535">
      <c r="A535" s="74"/>
      <c r="AE535" s="74"/>
    </row>
    <row r="536">
      <c r="A536" s="74"/>
      <c r="AE536" s="74"/>
    </row>
    <row r="537">
      <c r="A537" s="74"/>
      <c r="AE537" s="74"/>
    </row>
    <row r="538">
      <c r="A538" s="74"/>
      <c r="AE538" s="74"/>
    </row>
    <row r="539">
      <c r="A539" s="74"/>
      <c r="AE539" s="74"/>
    </row>
    <row r="540">
      <c r="A540" s="74"/>
      <c r="AE540" s="74"/>
    </row>
    <row r="541">
      <c r="A541" s="74"/>
      <c r="AE541" s="74"/>
    </row>
    <row r="542">
      <c r="A542" s="74"/>
      <c r="AE542" s="74"/>
    </row>
    <row r="543">
      <c r="A543" s="74"/>
      <c r="AE543" s="74"/>
    </row>
    <row r="544">
      <c r="A544" s="74"/>
      <c r="AE544" s="74"/>
    </row>
    <row r="545">
      <c r="A545" s="74"/>
      <c r="AE545" s="74"/>
    </row>
    <row r="546">
      <c r="A546" s="74"/>
      <c r="AE546" s="74"/>
    </row>
    <row r="547">
      <c r="A547" s="74"/>
      <c r="AE547" s="74"/>
    </row>
    <row r="548">
      <c r="A548" s="74"/>
      <c r="AE548" s="74"/>
    </row>
    <row r="549">
      <c r="A549" s="74"/>
      <c r="AE549" s="74"/>
    </row>
    <row r="550">
      <c r="A550" s="74"/>
      <c r="AE550" s="74"/>
    </row>
    <row r="551">
      <c r="A551" s="74"/>
      <c r="AE551" s="74"/>
    </row>
    <row r="552">
      <c r="A552" s="74"/>
      <c r="AE552" s="74"/>
    </row>
    <row r="553">
      <c r="A553" s="74"/>
      <c r="AE553" s="74"/>
    </row>
    <row r="554">
      <c r="A554" s="74"/>
      <c r="AE554" s="74"/>
    </row>
    <row r="555">
      <c r="A555" s="74"/>
      <c r="AE555" s="74"/>
    </row>
    <row r="556">
      <c r="A556" s="74"/>
      <c r="AE556" s="74"/>
    </row>
    <row r="557">
      <c r="A557" s="74"/>
      <c r="AE557" s="74"/>
    </row>
    <row r="558">
      <c r="A558" s="74"/>
      <c r="AE558" s="74"/>
    </row>
    <row r="559">
      <c r="A559" s="74"/>
      <c r="AE559" s="74"/>
    </row>
    <row r="560">
      <c r="A560" s="74"/>
      <c r="AE560" s="74"/>
    </row>
    <row r="561">
      <c r="A561" s="74"/>
      <c r="AE561" s="74"/>
    </row>
    <row r="562">
      <c r="A562" s="74"/>
      <c r="AE562" s="74"/>
    </row>
    <row r="563">
      <c r="A563" s="74"/>
      <c r="AE563" s="74"/>
    </row>
    <row r="564">
      <c r="A564" s="74"/>
      <c r="AE564" s="74"/>
    </row>
    <row r="565">
      <c r="A565" s="74"/>
      <c r="AE565" s="74"/>
    </row>
    <row r="566">
      <c r="A566" s="74"/>
      <c r="AE566" s="74"/>
    </row>
    <row r="567">
      <c r="A567" s="74"/>
      <c r="AE567" s="74"/>
    </row>
    <row r="568">
      <c r="A568" s="74"/>
      <c r="AE568" s="74"/>
    </row>
    <row r="569">
      <c r="A569" s="74"/>
      <c r="AE569" s="74"/>
    </row>
    <row r="570">
      <c r="A570" s="74"/>
      <c r="AE570" s="74"/>
    </row>
    <row r="571">
      <c r="A571" s="74"/>
      <c r="AE571" s="74"/>
    </row>
    <row r="572">
      <c r="A572" s="74"/>
      <c r="AE572" s="74"/>
    </row>
    <row r="573">
      <c r="A573" s="74"/>
      <c r="AE573" s="74"/>
    </row>
    <row r="574">
      <c r="A574" s="74"/>
      <c r="AE574" s="74"/>
    </row>
    <row r="575">
      <c r="A575" s="74"/>
      <c r="AE575" s="74"/>
    </row>
    <row r="576">
      <c r="A576" s="74"/>
      <c r="AE576" s="74"/>
    </row>
    <row r="577">
      <c r="A577" s="74"/>
      <c r="AE577" s="74"/>
    </row>
    <row r="578">
      <c r="A578" s="74"/>
      <c r="AE578" s="74"/>
    </row>
    <row r="579">
      <c r="A579" s="74"/>
      <c r="AE579" s="74"/>
    </row>
    <row r="580">
      <c r="A580" s="74"/>
      <c r="AE580" s="74"/>
    </row>
    <row r="581">
      <c r="A581" s="74"/>
      <c r="AE581" s="74"/>
    </row>
    <row r="582">
      <c r="A582" s="74"/>
      <c r="AE582" s="74"/>
    </row>
    <row r="583">
      <c r="A583" s="74"/>
      <c r="AE583" s="74"/>
    </row>
    <row r="584">
      <c r="A584" s="74"/>
      <c r="AE584" s="74"/>
    </row>
    <row r="585">
      <c r="A585" s="74"/>
      <c r="AE585" s="74"/>
    </row>
    <row r="586">
      <c r="A586" s="74"/>
      <c r="AE586" s="74"/>
    </row>
    <row r="587">
      <c r="A587" s="74"/>
      <c r="AE587" s="74"/>
    </row>
    <row r="588">
      <c r="A588" s="74"/>
      <c r="AE588" s="74"/>
    </row>
    <row r="589">
      <c r="A589" s="74"/>
      <c r="AE589" s="74"/>
    </row>
    <row r="590">
      <c r="A590" s="74"/>
      <c r="AE590" s="74"/>
    </row>
    <row r="591">
      <c r="A591" s="74"/>
      <c r="AE591" s="74"/>
    </row>
    <row r="592">
      <c r="A592" s="74"/>
      <c r="AE592" s="74"/>
    </row>
    <row r="593">
      <c r="A593" s="74"/>
      <c r="AE593" s="74"/>
    </row>
    <row r="594">
      <c r="A594" s="74"/>
      <c r="AE594" s="74"/>
    </row>
    <row r="595">
      <c r="A595" s="74"/>
      <c r="AE595" s="74"/>
    </row>
    <row r="596">
      <c r="A596" s="74"/>
      <c r="AE596" s="74"/>
    </row>
    <row r="597">
      <c r="A597" s="74"/>
      <c r="AE597" s="74"/>
    </row>
    <row r="598">
      <c r="A598" s="74"/>
      <c r="AE598" s="74"/>
    </row>
    <row r="599">
      <c r="A599" s="74"/>
      <c r="AE599" s="74"/>
    </row>
    <row r="600">
      <c r="A600" s="74"/>
      <c r="AE600" s="74"/>
    </row>
    <row r="601">
      <c r="A601" s="74"/>
      <c r="AE601" s="74"/>
    </row>
    <row r="602">
      <c r="A602" s="74"/>
      <c r="AE602" s="74"/>
    </row>
    <row r="603">
      <c r="A603" s="74"/>
      <c r="AE603" s="74"/>
    </row>
    <row r="604">
      <c r="A604" s="74"/>
      <c r="AE604" s="74"/>
    </row>
    <row r="605">
      <c r="A605" s="74"/>
      <c r="AE605" s="74"/>
    </row>
    <row r="606">
      <c r="A606" s="74"/>
      <c r="AE606" s="74"/>
    </row>
    <row r="607">
      <c r="A607" s="74"/>
      <c r="AE607" s="74"/>
    </row>
    <row r="608">
      <c r="A608" s="74"/>
      <c r="AE608" s="74"/>
    </row>
    <row r="609">
      <c r="A609" s="74"/>
      <c r="AE609" s="74"/>
    </row>
    <row r="610">
      <c r="A610" s="74"/>
      <c r="AE610" s="74"/>
    </row>
    <row r="611">
      <c r="A611" s="74"/>
      <c r="AE611" s="74"/>
    </row>
    <row r="612">
      <c r="A612" s="74"/>
      <c r="AE612" s="74"/>
    </row>
    <row r="613">
      <c r="A613" s="74"/>
      <c r="AE613" s="74"/>
    </row>
    <row r="614">
      <c r="A614" s="74"/>
      <c r="AE614" s="74"/>
    </row>
    <row r="615">
      <c r="A615" s="74"/>
      <c r="AE615" s="74"/>
    </row>
    <row r="616">
      <c r="A616" s="74"/>
      <c r="AE616" s="74"/>
    </row>
    <row r="617">
      <c r="A617" s="74"/>
      <c r="AE617" s="74"/>
    </row>
    <row r="618">
      <c r="A618" s="74"/>
      <c r="AE618" s="74"/>
    </row>
    <row r="619">
      <c r="A619" s="74"/>
      <c r="AE619" s="74"/>
    </row>
    <row r="620">
      <c r="A620" s="74"/>
      <c r="AE620" s="74"/>
    </row>
    <row r="621">
      <c r="A621" s="74"/>
      <c r="AE621" s="74"/>
    </row>
    <row r="622">
      <c r="A622" s="74"/>
      <c r="AE622" s="74"/>
    </row>
    <row r="623">
      <c r="A623" s="74"/>
      <c r="AE623" s="74"/>
    </row>
    <row r="624">
      <c r="A624" s="74"/>
      <c r="AE624" s="74"/>
    </row>
    <row r="625">
      <c r="A625" s="74"/>
      <c r="AE625" s="74"/>
    </row>
    <row r="626">
      <c r="A626" s="74"/>
      <c r="AE626" s="74"/>
    </row>
    <row r="627">
      <c r="A627" s="74"/>
      <c r="AE627" s="74"/>
    </row>
    <row r="628">
      <c r="A628" s="74"/>
      <c r="AE628" s="74"/>
    </row>
    <row r="629">
      <c r="A629" s="74"/>
      <c r="AE629" s="74"/>
    </row>
    <row r="630">
      <c r="A630" s="74"/>
      <c r="AE630" s="74"/>
    </row>
    <row r="631">
      <c r="A631" s="74"/>
      <c r="AE631" s="74"/>
    </row>
    <row r="632">
      <c r="A632" s="74"/>
      <c r="AE632" s="74"/>
    </row>
    <row r="633">
      <c r="A633" s="74"/>
      <c r="AE633" s="74"/>
    </row>
    <row r="634">
      <c r="A634" s="74"/>
      <c r="AE634" s="74"/>
    </row>
    <row r="635">
      <c r="A635" s="74"/>
      <c r="AE635" s="74"/>
    </row>
    <row r="636">
      <c r="A636" s="74"/>
      <c r="AE636" s="74"/>
    </row>
    <row r="637">
      <c r="A637" s="74"/>
      <c r="AE637" s="74"/>
    </row>
    <row r="638">
      <c r="A638" s="74"/>
      <c r="AE638" s="74"/>
    </row>
    <row r="639">
      <c r="A639" s="74"/>
      <c r="AE639" s="74"/>
    </row>
    <row r="640">
      <c r="A640" s="74"/>
      <c r="AE640" s="74"/>
    </row>
    <row r="641">
      <c r="A641" s="74"/>
      <c r="AE641" s="74"/>
    </row>
    <row r="642">
      <c r="A642" s="74"/>
      <c r="AE642" s="74"/>
    </row>
    <row r="643">
      <c r="A643" s="74"/>
      <c r="AE643" s="74"/>
    </row>
    <row r="644">
      <c r="A644" s="74"/>
      <c r="AE644" s="74"/>
    </row>
    <row r="645">
      <c r="A645" s="74"/>
      <c r="AE645" s="74"/>
    </row>
    <row r="646">
      <c r="A646" s="74"/>
      <c r="AE646" s="74"/>
    </row>
    <row r="647">
      <c r="A647" s="74"/>
      <c r="AE647" s="74"/>
    </row>
    <row r="648">
      <c r="A648" s="74"/>
      <c r="AE648" s="74"/>
    </row>
    <row r="649">
      <c r="A649" s="74"/>
      <c r="AE649" s="74"/>
    </row>
    <row r="650">
      <c r="A650" s="74"/>
      <c r="AE650" s="74"/>
    </row>
    <row r="651">
      <c r="A651" s="74"/>
      <c r="AE651" s="74"/>
    </row>
    <row r="652">
      <c r="A652" s="74"/>
      <c r="AE652" s="74"/>
    </row>
    <row r="653">
      <c r="A653" s="74"/>
      <c r="AE653" s="74"/>
    </row>
    <row r="654">
      <c r="A654" s="74"/>
      <c r="AE654" s="74"/>
    </row>
    <row r="655">
      <c r="A655" s="74"/>
      <c r="AE655" s="74"/>
    </row>
    <row r="656">
      <c r="A656" s="74"/>
      <c r="AE656" s="74"/>
    </row>
    <row r="657">
      <c r="A657" s="74"/>
      <c r="AE657" s="74"/>
    </row>
    <row r="658">
      <c r="A658" s="74"/>
      <c r="AE658" s="74"/>
    </row>
    <row r="659">
      <c r="A659" s="74"/>
      <c r="AE659" s="74"/>
    </row>
    <row r="660">
      <c r="A660" s="74"/>
      <c r="AE660" s="74"/>
    </row>
    <row r="661">
      <c r="A661" s="74"/>
      <c r="AE661" s="74"/>
    </row>
    <row r="662">
      <c r="A662" s="74"/>
      <c r="AE662" s="74"/>
    </row>
    <row r="663">
      <c r="A663" s="74"/>
      <c r="AE663" s="74"/>
    </row>
    <row r="664">
      <c r="A664" s="74"/>
      <c r="AE664" s="74"/>
    </row>
    <row r="665">
      <c r="A665" s="74"/>
      <c r="AE665" s="74"/>
    </row>
    <row r="666">
      <c r="A666" s="74"/>
      <c r="AE666" s="74"/>
    </row>
    <row r="667">
      <c r="A667" s="74"/>
      <c r="AE667" s="74"/>
    </row>
    <row r="668">
      <c r="A668" s="74"/>
      <c r="AE668" s="74"/>
    </row>
    <row r="669">
      <c r="A669" s="74"/>
      <c r="AE669" s="74"/>
    </row>
    <row r="670">
      <c r="A670" s="74"/>
      <c r="AE670" s="74"/>
    </row>
    <row r="671">
      <c r="A671" s="74"/>
      <c r="AE671" s="74"/>
    </row>
    <row r="672">
      <c r="A672" s="74"/>
      <c r="AE672" s="74"/>
    </row>
    <row r="673">
      <c r="A673" s="74"/>
      <c r="AE673" s="74"/>
    </row>
    <row r="674">
      <c r="A674" s="74"/>
      <c r="AE674" s="74"/>
    </row>
    <row r="675">
      <c r="A675" s="74"/>
      <c r="AE675" s="74"/>
    </row>
    <row r="676">
      <c r="A676" s="74"/>
      <c r="AE676" s="74"/>
    </row>
    <row r="677">
      <c r="A677" s="74"/>
      <c r="AE677" s="74"/>
    </row>
    <row r="678">
      <c r="A678" s="74"/>
      <c r="AE678" s="74"/>
    </row>
    <row r="679">
      <c r="A679" s="74"/>
      <c r="AE679" s="74"/>
    </row>
    <row r="680">
      <c r="A680" s="74"/>
      <c r="AE680" s="74"/>
    </row>
    <row r="681">
      <c r="A681" s="74"/>
      <c r="AE681" s="74"/>
    </row>
    <row r="682">
      <c r="A682" s="74"/>
      <c r="AE682" s="74"/>
    </row>
    <row r="683">
      <c r="A683" s="74"/>
      <c r="AE683" s="74"/>
    </row>
    <row r="684">
      <c r="A684" s="74"/>
      <c r="AE684" s="74"/>
    </row>
    <row r="685">
      <c r="A685" s="74"/>
      <c r="AE685" s="74"/>
    </row>
    <row r="686">
      <c r="A686" s="74"/>
      <c r="AE686" s="74"/>
    </row>
    <row r="687">
      <c r="A687" s="74"/>
      <c r="AE687" s="74"/>
    </row>
    <row r="688">
      <c r="A688" s="74"/>
      <c r="AE688" s="74"/>
    </row>
    <row r="689">
      <c r="A689" s="74"/>
      <c r="AE689" s="74"/>
    </row>
    <row r="690">
      <c r="A690" s="74"/>
      <c r="AE690" s="74"/>
    </row>
    <row r="691">
      <c r="A691" s="74"/>
      <c r="AE691" s="74"/>
    </row>
    <row r="692">
      <c r="A692" s="74"/>
      <c r="AE692" s="74"/>
    </row>
    <row r="693">
      <c r="A693" s="74"/>
      <c r="AE693" s="74"/>
    </row>
    <row r="694">
      <c r="A694" s="74"/>
      <c r="AE694" s="74"/>
    </row>
    <row r="695">
      <c r="A695" s="74"/>
      <c r="AE695" s="74"/>
    </row>
    <row r="696">
      <c r="A696" s="74"/>
      <c r="AE696" s="74"/>
    </row>
    <row r="697">
      <c r="A697" s="74"/>
      <c r="AE697" s="74"/>
    </row>
    <row r="698">
      <c r="A698" s="74"/>
      <c r="AE698" s="74"/>
    </row>
    <row r="699">
      <c r="A699" s="74"/>
      <c r="AE699" s="74"/>
    </row>
    <row r="700">
      <c r="A700" s="74"/>
      <c r="AE700" s="74"/>
    </row>
    <row r="701">
      <c r="A701" s="74"/>
      <c r="AE701" s="74"/>
    </row>
    <row r="702">
      <c r="A702" s="74"/>
      <c r="AE702" s="74"/>
    </row>
    <row r="703">
      <c r="A703" s="74"/>
      <c r="AE703" s="74"/>
    </row>
    <row r="704">
      <c r="A704" s="74"/>
      <c r="AE704" s="74"/>
    </row>
    <row r="705">
      <c r="A705" s="74"/>
      <c r="AE705" s="74"/>
    </row>
    <row r="706">
      <c r="A706" s="74"/>
      <c r="AE706" s="74"/>
    </row>
    <row r="707">
      <c r="A707" s="74"/>
      <c r="AE707" s="74"/>
    </row>
    <row r="708">
      <c r="A708" s="74"/>
      <c r="AE708" s="74"/>
    </row>
    <row r="709">
      <c r="A709" s="74"/>
      <c r="AE709" s="74"/>
    </row>
    <row r="710">
      <c r="A710" s="74"/>
      <c r="AE710" s="74"/>
    </row>
    <row r="711">
      <c r="A711" s="74"/>
      <c r="AE711" s="74"/>
    </row>
    <row r="712">
      <c r="A712" s="74"/>
      <c r="AE712" s="74"/>
    </row>
    <row r="713">
      <c r="A713" s="74"/>
      <c r="AE713" s="74"/>
    </row>
    <row r="714">
      <c r="A714" s="74"/>
      <c r="AE714" s="74"/>
    </row>
    <row r="715">
      <c r="A715" s="74"/>
      <c r="AE715" s="74"/>
    </row>
    <row r="716">
      <c r="A716" s="74"/>
      <c r="AE716" s="74"/>
    </row>
    <row r="717">
      <c r="A717" s="74"/>
      <c r="AE717" s="74"/>
    </row>
    <row r="718">
      <c r="A718" s="74"/>
      <c r="AE718" s="74"/>
    </row>
    <row r="719">
      <c r="A719" s="74"/>
      <c r="AE719" s="74"/>
    </row>
    <row r="720">
      <c r="A720" s="74"/>
      <c r="AE720" s="74"/>
    </row>
    <row r="721">
      <c r="A721" s="74"/>
      <c r="AE721" s="74"/>
    </row>
    <row r="722">
      <c r="A722" s="74"/>
      <c r="AE722" s="74"/>
    </row>
    <row r="723">
      <c r="A723" s="74"/>
      <c r="AE723" s="74"/>
    </row>
    <row r="724">
      <c r="A724" s="74"/>
      <c r="AE724" s="74"/>
    </row>
    <row r="725">
      <c r="A725" s="74"/>
      <c r="AE725" s="74"/>
    </row>
    <row r="726">
      <c r="A726" s="74"/>
      <c r="AE726" s="74"/>
    </row>
    <row r="727">
      <c r="A727" s="74"/>
      <c r="AE727" s="74"/>
    </row>
    <row r="728">
      <c r="A728" s="74"/>
      <c r="AE728" s="74"/>
    </row>
    <row r="729">
      <c r="A729" s="74"/>
      <c r="AE729" s="74"/>
    </row>
    <row r="730">
      <c r="A730" s="74"/>
      <c r="AE730" s="74"/>
    </row>
    <row r="731">
      <c r="A731" s="74"/>
      <c r="AE731" s="74"/>
    </row>
    <row r="732">
      <c r="A732" s="74"/>
      <c r="AE732" s="74"/>
    </row>
    <row r="733">
      <c r="A733" s="74"/>
      <c r="AE733" s="74"/>
    </row>
    <row r="734">
      <c r="A734" s="74"/>
      <c r="AE734" s="74"/>
    </row>
    <row r="735">
      <c r="A735" s="74"/>
      <c r="AE735" s="74"/>
    </row>
    <row r="736">
      <c r="A736" s="74"/>
      <c r="AE736" s="74"/>
    </row>
    <row r="737">
      <c r="A737" s="74"/>
      <c r="AE737" s="74"/>
    </row>
    <row r="738">
      <c r="A738" s="74"/>
      <c r="AE738" s="74"/>
    </row>
    <row r="739">
      <c r="A739" s="74"/>
      <c r="AE739" s="74"/>
    </row>
    <row r="740">
      <c r="A740" s="74"/>
      <c r="AE740" s="74"/>
    </row>
    <row r="741">
      <c r="A741" s="74"/>
      <c r="AE741" s="74"/>
    </row>
    <row r="742">
      <c r="A742" s="74"/>
      <c r="AE742" s="74"/>
    </row>
    <row r="743">
      <c r="A743" s="74"/>
      <c r="AE743" s="74"/>
    </row>
    <row r="744">
      <c r="A744" s="74"/>
      <c r="AE744" s="74"/>
    </row>
    <row r="745">
      <c r="A745" s="74"/>
      <c r="AE745" s="74"/>
    </row>
    <row r="746">
      <c r="A746" s="74"/>
      <c r="AE746" s="74"/>
    </row>
    <row r="747">
      <c r="A747" s="74"/>
      <c r="AE747" s="74"/>
    </row>
    <row r="748">
      <c r="A748" s="74"/>
      <c r="AE748" s="74"/>
    </row>
    <row r="749">
      <c r="A749" s="74"/>
      <c r="AE749" s="74"/>
    </row>
    <row r="750">
      <c r="A750" s="74"/>
      <c r="AE750" s="74"/>
    </row>
    <row r="751">
      <c r="A751" s="74"/>
      <c r="AE751" s="74"/>
    </row>
    <row r="752">
      <c r="A752" s="74"/>
      <c r="AE752" s="74"/>
    </row>
    <row r="753">
      <c r="A753" s="74"/>
      <c r="AE753" s="74"/>
    </row>
    <row r="754">
      <c r="A754" s="74"/>
      <c r="AE754" s="74"/>
    </row>
    <row r="755">
      <c r="A755" s="74"/>
      <c r="AE755" s="74"/>
    </row>
    <row r="756">
      <c r="A756" s="74"/>
      <c r="AE756" s="74"/>
    </row>
    <row r="757">
      <c r="A757" s="74"/>
      <c r="AE757" s="74"/>
    </row>
    <row r="758">
      <c r="A758" s="74"/>
      <c r="AE758" s="74"/>
    </row>
    <row r="759">
      <c r="A759" s="74"/>
      <c r="AE759" s="74"/>
    </row>
    <row r="760">
      <c r="A760" s="74"/>
      <c r="AE760" s="74"/>
    </row>
    <row r="761">
      <c r="A761" s="74"/>
      <c r="AE761" s="74"/>
    </row>
    <row r="762">
      <c r="A762" s="74"/>
      <c r="AE762" s="74"/>
    </row>
    <row r="763">
      <c r="A763" s="74"/>
      <c r="AE763" s="74"/>
    </row>
    <row r="764">
      <c r="A764" s="74"/>
      <c r="AE764" s="74"/>
    </row>
    <row r="765">
      <c r="A765" s="74"/>
      <c r="AE765" s="74"/>
    </row>
    <row r="766">
      <c r="A766" s="74"/>
      <c r="AE766" s="74"/>
    </row>
    <row r="767">
      <c r="A767" s="74"/>
      <c r="AE767" s="74"/>
    </row>
    <row r="768">
      <c r="A768" s="74"/>
      <c r="AE768" s="74"/>
    </row>
    <row r="769">
      <c r="A769" s="74"/>
      <c r="AE769" s="74"/>
    </row>
    <row r="770">
      <c r="A770" s="74"/>
      <c r="AE770" s="74"/>
    </row>
    <row r="771">
      <c r="A771" s="74"/>
      <c r="AE771" s="74"/>
    </row>
    <row r="772">
      <c r="A772" s="74"/>
      <c r="AE772" s="74"/>
    </row>
    <row r="773">
      <c r="A773" s="74"/>
      <c r="AE773" s="74"/>
    </row>
    <row r="774">
      <c r="A774" s="74"/>
      <c r="AE774" s="74"/>
    </row>
    <row r="775">
      <c r="A775" s="74"/>
      <c r="AE775" s="74"/>
    </row>
    <row r="776">
      <c r="A776" s="74"/>
      <c r="AE776" s="74"/>
    </row>
    <row r="777">
      <c r="A777" s="74"/>
      <c r="AE777" s="74"/>
    </row>
    <row r="778">
      <c r="A778" s="74"/>
      <c r="AE778" s="74"/>
    </row>
    <row r="779">
      <c r="A779" s="74"/>
      <c r="AE779" s="74"/>
    </row>
    <row r="780">
      <c r="A780" s="74"/>
      <c r="AE780" s="74"/>
    </row>
    <row r="781">
      <c r="A781" s="74"/>
      <c r="AE781" s="74"/>
    </row>
    <row r="782">
      <c r="A782" s="74"/>
      <c r="AE782" s="74"/>
    </row>
    <row r="783">
      <c r="A783" s="74"/>
      <c r="AE783" s="74"/>
    </row>
    <row r="784">
      <c r="A784" s="74"/>
      <c r="AE784" s="74"/>
    </row>
    <row r="785">
      <c r="A785" s="74"/>
      <c r="AE785" s="74"/>
    </row>
    <row r="786">
      <c r="A786" s="74"/>
      <c r="AE786" s="74"/>
    </row>
    <row r="787">
      <c r="A787" s="74"/>
      <c r="AE787" s="74"/>
    </row>
    <row r="788">
      <c r="A788" s="74"/>
      <c r="AE788" s="74"/>
    </row>
    <row r="789">
      <c r="A789" s="74"/>
      <c r="AE789" s="74"/>
    </row>
    <row r="790">
      <c r="A790" s="74"/>
      <c r="AE790" s="74"/>
    </row>
    <row r="791">
      <c r="A791" s="74"/>
      <c r="AE791" s="74"/>
    </row>
    <row r="792">
      <c r="A792" s="74"/>
      <c r="AE792" s="74"/>
    </row>
    <row r="793">
      <c r="A793" s="74"/>
      <c r="AE793" s="74"/>
    </row>
    <row r="794">
      <c r="A794" s="74"/>
      <c r="AE794" s="74"/>
    </row>
    <row r="795">
      <c r="A795" s="74"/>
      <c r="AE795" s="74"/>
    </row>
    <row r="796">
      <c r="A796" s="74"/>
      <c r="AE796" s="74"/>
    </row>
    <row r="797">
      <c r="A797" s="74"/>
      <c r="AE797" s="74"/>
    </row>
    <row r="798">
      <c r="A798" s="74"/>
      <c r="AE798" s="74"/>
    </row>
    <row r="799">
      <c r="A799" s="74"/>
      <c r="AE799" s="74"/>
    </row>
    <row r="800">
      <c r="A800" s="74"/>
      <c r="AE800" s="74"/>
    </row>
    <row r="801">
      <c r="A801" s="74"/>
      <c r="AE801" s="74"/>
    </row>
    <row r="802">
      <c r="A802" s="74"/>
      <c r="AE802" s="74"/>
    </row>
    <row r="803">
      <c r="A803" s="74"/>
      <c r="AE803" s="74"/>
    </row>
    <row r="804">
      <c r="A804" s="74"/>
      <c r="AE804" s="74"/>
    </row>
    <row r="805">
      <c r="A805" s="74"/>
      <c r="AE805" s="74"/>
    </row>
    <row r="806">
      <c r="A806" s="74"/>
      <c r="AE806" s="74"/>
    </row>
    <row r="807">
      <c r="A807" s="74"/>
      <c r="AE807" s="74"/>
    </row>
    <row r="808">
      <c r="A808" s="74"/>
      <c r="AE808" s="74"/>
    </row>
    <row r="809">
      <c r="A809" s="74"/>
      <c r="AE809" s="74"/>
    </row>
    <row r="810">
      <c r="A810" s="74"/>
      <c r="AE810" s="74"/>
    </row>
    <row r="811">
      <c r="A811" s="74"/>
      <c r="AE811" s="74"/>
    </row>
    <row r="812">
      <c r="A812" s="74"/>
      <c r="AE812" s="74"/>
    </row>
    <row r="813">
      <c r="A813" s="74"/>
      <c r="AE813" s="74"/>
    </row>
    <row r="814">
      <c r="A814" s="74"/>
      <c r="AE814" s="74"/>
    </row>
    <row r="815">
      <c r="A815" s="74"/>
      <c r="AE815" s="74"/>
    </row>
    <row r="816">
      <c r="A816" s="74"/>
      <c r="AE816" s="74"/>
    </row>
    <row r="817">
      <c r="A817" s="74"/>
      <c r="AE817" s="74"/>
    </row>
    <row r="818">
      <c r="A818" s="74"/>
      <c r="AE818" s="74"/>
    </row>
    <row r="819">
      <c r="A819" s="74"/>
      <c r="AE819" s="74"/>
    </row>
    <row r="820">
      <c r="A820" s="74"/>
      <c r="AE820" s="74"/>
    </row>
    <row r="821">
      <c r="A821" s="74"/>
      <c r="AE821" s="74"/>
    </row>
    <row r="822">
      <c r="A822" s="74"/>
      <c r="AE822" s="74"/>
    </row>
    <row r="823">
      <c r="A823" s="74"/>
      <c r="AE823" s="74"/>
    </row>
    <row r="824">
      <c r="A824" s="74"/>
      <c r="AE824" s="74"/>
    </row>
    <row r="825">
      <c r="A825" s="74"/>
      <c r="AE825" s="74"/>
    </row>
    <row r="826">
      <c r="A826" s="74"/>
      <c r="AE826" s="74"/>
    </row>
    <row r="827">
      <c r="A827" s="74"/>
      <c r="AE827" s="74"/>
    </row>
    <row r="828">
      <c r="A828" s="74"/>
      <c r="AE828" s="74"/>
    </row>
    <row r="829">
      <c r="A829" s="74"/>
      <c r="AE829" s="74"/>
    </row>
    <row r="830">
      <c r="A830" s="74"/>
      <c r="AE830" s="74"/>
    </row>
    <row r="831">
      <c r="A831" s="74"/>
      <c r="AE831" s="74"/>
    </row>
    <row r="832">
      <c r="A832" s="74"/>
      <c r="AE832" s="74"/>
    </row>
    <row r="833">
      <c r="A833" s="74"/>
      <c r="AE833" s="74"/>
    </row>
    <row r="834">
      <c r="A834" s="74"/>
      <c r="AE834" s="74"/>
    </row>
    <row r="835">
      <c r="A835" s="74"/>
      <c r="AE835" s="74"/>
    </row>
    <row r="836">
      <c r="A836" s="74"/>
      <c r="AE836" s="74"/>
    </row>
    <row r="837">
      <c r="A837" s="74"/>
      <c r="AE837" s="74"/>
    </row>
    <row r="838">
      <c r="A838" s="74"/>
      <c r="AE838" s="74"/>
    </row>
    <row r="839">
      <c r="A839" s="74"/>
      <c r="AE839" s="74"/>
    </row>
    <row r="840">
      <c r="A840" s="74"/>
      <c r="AE840" s="74"/>
    </row>
    <row r="841">
      <c r="A841" s="74"/>
      <c r="AE841" s="74"/>
    </row>
    <row r="842">
      <c r="A842" s="74"/>
      <c r="AE842" s="74"/>
    </row>
    <row r="843">
      <c r="A843" s="74"/>
      <c r="AE843" s="74"/>
    </row>
    <row r="844">
      <c r="A844" s="74"/>
      <c r="AE844" s="74"/>
    </row>
    <row r="845">
      <c r="A845" s="74"/>
      <c r="AE845" s="74"/>
    </row>
    <row r="846">
      <c r="A846" s="74"/>
      <c r="AE846" s="74"/>
    </row>
    <row r="847">
      <c r="A847" s="74"/>
      <c r="AE847" s="74"/>
    </row>
    <row r="848">
      <c r="A848" s="74"/>
      <c r="AE848" s="74"/>
    </row>
    <row r="849">
      <c r="A849" s="74"/>
      <c r="AE849" s="74"/>
    </row>
    <row r="850">
      <c r="A850" s="74"/>
      <c r="AE850" s="74"/>
    </row>
    <row r="851">
      <c r="A851" s="74"/>
      <c r="AE851" s="74"/>
    </row>
    <row r="852">
      <c r="A852" s="74"/>
      <c r="AE852" s="74"/>
    </row>
    <row r="853">
      <c r="A853" s="74"/>
      <c r="AE853" s="74"/>
    </row>
    <row r="854">
      <c r="A854" s="74"/>
      <c r="AE854" s="74"/>
    </row>
    <row r="855">
      <c r="A855" s="74"/>
      <c r="AE855" s="74"/>
    </row>
    <row r="856">
      <c r="A856" s="74"/>
      <c r="AE856" s="74"/>
    </row>
    <row r="857">
      <c r="A857" s="74"/>
      <c r="AE857" s="74"/>
    </row>
    <row r="858">
      <c r="A858" s="74"/>
      <c r="AE858" s="74"/>
    </row>
    <row r="859">
      <c r="A859" s="74"/>
      <c r="AE859" s="74"/>
    </row>
    <row r="860">
      <c r="A860" s="74"/>
      <c r="AE860" s="74"/>
    </row>
    <row r="861">
      <c r="A861" s="74"/>
      <c r="AE861" s="74"/>
    </row>
    <row r="862">
      <c r="A862" s="74"/>
      <c r="AE862" s="74"/>
    </row>
    <row r="863">
      <c r="A863" s="74"/>
      <c r="AE863" s="74"/>
    </row>
    <row r="864">
      <c r="A864" s="74"/>
      <c r="AE864" s="74"/>
    </row>
    <row r="865">
      <c r="A865" s="74"/>
      <c r="AE865" s="74"/>
    </row>
    <row r="866">
      <c r="A866" s="74"/>
      <c r="AE866" s="74"/>
    </row>
    <row r="867">
      <c r="A867" s="74"/>
      <c r="AE867" s="74"/>
    </row>
    <row r="868">
      <c r="A868" s="74"/>
      <c r="AE868" s="74"/>
    </row>
    <row r="869">
      <c r="A869" s="74"/>
      <c r="AE869" s="74"/>
    </row>
    <row r="870">
      <c r="A870" s="74"/>
      <c r="AE870" s="74"/>
    </row>
    <row r="871">
      <c r="A871" s="74"/>
      <c r="AE871" s="74"/>
    </row>
    <row r="872">
      <c r="A872" s="74"/>
      <c r="AE872" s="74"/>
    </row>
    <row r="873">
      <c r="A873" s="74"/>
      <c r="AE873" s="74"/>
    </row>
    <row r="874">
      <c r="A874" s="74"/>
      <c r="AE874" s="74"/>
    </row>
    <row r="875">
      <c r="A875" s="74"/>
      <c r="AE875" s="74"/>
    </row>
    <row r="876">
      <c r="A876" s="74"/>
      <c r="AE876" s="74"/>
    </row>
    <row r="877">
      <c r="A877" s="74"/>
      <c r="AE877" s="74"/>
    </row>
    <row r="878">
      <c r="A878" s="74"/>
      <c r="AE878" s="74"/>
    </row>
    <row r="879">
      <c r="A879" s="74"/>
      <c r="AE879" s="74"/>
    </row>
    <row r="880">
      <c r="A880" s="74"/>
      <c r="AE880" s="74"/>
    </row>
    <row r="881">
      <c r="A881" s="74"/>
      <c r="AE881" s="74"/>
    </row>
    <row r="882">
      <c r="A882" s="74"/>
      <c r="AE882" s="74"/>
    </row>
    <row r="883">
      <c r="A883" s="74"/>
      <c r="AE883" s="74"/>
    </row>
    <row r="884">
      <c r="A884" s="74"/>
      <c r="AE884" s="74"/>
    </row>
    <row r="885">
      <c r="A885" s="74"/>
      <c r="AE885" s="74"/>
    </row>
    <row r="886">
      <c r="A886" s="74"/>
      <c r="AE886" s="74"/>
    </row>
    <row r="887">
      <c r="A887" s="74"/>
      <c r="AE887" s="74"/>
    </row>
    <row r="888">
      <c r="A888" s="74"/>
      <c r="AE888" s="74"/>
    </row>
    <row r="889">
      <c r="A889" s="74"/>
      <c r="AE889" s="74"/>
    </row>
    <row r="890">
      <c r="A890" s="74"/>
      <c r="AE890" s="74"/>
    </row>
    <row r="891">
      <c r="A891" s="74"/>
      <c r="AE891" s="74"/>
    </row>
    <row r="892">
      <c r="A892" s="74"/>
      <c r="AE892" s="74"/>
    </row>
    <row r="893">
      <c r="A893" s="74"/>
      <c r="AE893" s="74"/>
    </row>
    <row r="894">
      <c r="A894" s="74"/>
      <c r="AE894" s="74"/>
    </row>
    <row r="895">
      <c r="A895" s="74"/>
      <c r="AE895" s="74"/>
    </row>
    <row r="896">
      <c r="A896" s="74"/>
      <c r="AE896" s="74"/>
    </row>
    <row r="897">
      <c r="A897" s="74"/>
      <c r="AE897" s="74"/>
    </row>
    <row r="898">
      <c r="A898" s="74"/>
      <c r="AE898" s="74"/>
    </row>
    <row r="899">
      <c r="A899" s="74"/>
      <c r="AE899" s="74"/>
    </row>
    <row r="900">
      <c r="A900" s="74"/>
      <c r="AE900" s="74"/>
    </row>
    <row r="901">
      <c r="A901" s="74"/>
      <c r="AE901" s="74"/>
    </row>
    <row r="902">
      <c r="A902" s="74"/>
      <c r="AE902" s="74"/>
    </row>
    <row r="903">
      <c r="A903" s="74"/>
      <c r="AE903" s="74"/>
    </row>
    <row r="904">
      <c r="A904" s="74"/>
      <c r="AE904" s="74"/>
    </row>
    <row r="905">
      <c r="A905" s="74"/>
      <c r="AE905" s="74"/>
    </row>
    <row r="906">
      <c r="A906" s="74"/>
      <c r="AE906" s="74"/>
    </row>
    <row r="907">
      <c r="A907" s="74"/>
      <c r="AE907" s="74"/>
    </row>
    <row r="908">
      <c r="A908" s="74"/>
      <c r="AE908" s="74"/>
    </row>
    <row r="909">
      <c r="A909" s="74"/>
      <c r="AE909" s="74"/>
    </row>
    <row r="910">
      <c r="A910" s="74"/>
      <c r="AE910" s="74"/>
    </row>
    <row r="911">
      <c r="A911" s="74"/>
      <c r="AE911" s="74"/>
    </row>
    <row r="912">
      <c r="A912" s="74"/>
      <c r="AE912" s="74"/>
    </row>
    <row r="913">
      <c r="A913" s="74"/>
      <c r="AE913" s="74"/>
    </row>
    <row r="914">
      <c r="A914" s="74"/>
      <c r="AE914" s="74"/>
    </row>
    <row r="915">
      <c r="A915" s="74"/>
      <c r="AE915" s="74"/>
    </row>
    <row r="916">
      <c r="A916" s="74"/>
      <c r="AE916" s="74"/>
    </row>
    <row r="917">
      <c r="A917" s="74"/>
      <c r="AE917" s="74"/>
    </row>
    <row r="918">
      <c r="A918" s="74"/>
      <c r="AE918" s="74"/>
    </row>
    <row r="919">
      <c r="A919" s="74"/>
      <c r="AE919" s="74"/>
    </row>
    <row r="920">
      <c r="A920" s="74"/>
      <c r="AE920" s="74"/>
    </row>
    <row r="921">
      <c r="A921" s="74"/>
      <c r="AE921" s="74"/>
    </row>
    <row r="922">
      <c r="A922" s="74"/>
      <c r="AE922" s="74"/>
    </row>
    <row r="923">
      <c r="A923" s="74"/>
      <c r="AE923" s="74"/>
    </row>
    <row r="924">
      <c r="A924" s="74"/>
      <c r="AE924" s="74"/>
    </row>
    <row r="925">
      <c r="A925" s="74"/>
      <c r="AE925" s="74"/>
    </row>
    <row r="926">
      <c r="A926" s="74"/>
      <c r="AE926" s="74"/>
    </row>
    <row r="927">
      <c r="A927" s="74"/>
      <c r="AE927" s="74"/>
    </row>
    <row r="928">
      <c r="A928" s="74"/>
      <c r="AE928" s="74"/>
    </row>
    <row r="929">
      <c r="A929" s="74"/>
      <c r="AE929" s="74"/>
    </row>
    <row r="930">
      <c r="A930" s="74"/>
      <c r="AE930" s="74"/>
    </row>
    <row r="931">
      <c r="A931" s="74"/>
      <c r="AE931" s="74"/>
    </row>
    <row r="932">
      <c r="A932" s="74"/>
      <c r="AE932" s="74"/>
    </row>
    <row r="933">
      <c r="A933" s="74"/>
      <c r="AE933" s="74"/>
    </row>
    <row r="934">
      <c r="A934" s="74"/>
      <c r="AE934" s="74"/>
    </row>
    <row r="935">
      <c r="A935" s="74"/>
      <c r="AE935" s="74"/>
    </row>
    <row r="936">
      <c r="A936" s="74"/>
      <c r="AE936" s="74"/>
    </row>
    <row r="937">
      <c r="A937" s="74"/>
      <c r="AE937" s="74"/>
    </row>
    <row r="938">
      <c r="A938" s="74"/>
      <c r="AE938" s="74"/>
    </row>
    <row r="939">
      <c r="A939" s="74"/>
      <c r="AE939" s="74"/>
    </row>
    <row r="940">
      <c r="A940" s="74"/>
      <c r="AE940" s="74"/>
    </row>
    <row r="941">
      <c r="A941" s="74"/>
      <c r="AE941" s="74"/>
    </row>
    <row r="942">
      <c r="A942" s="74"/>
      <c r="AE942" s="74"/>
    </row>
    <row r="943">
      <c r="A943" s="74"/>
      <c r="AE943" s="74"/>
    </row>
    <row r="944">
      <c r="A944" s="74"/>
      <c r="AE944" s="74"/>
    </row>
    <row r="945">
      <c r="A945" s="74"/>
      <c r="AE945" s="74"/>
    </row>
    <row r="946">
      <c r="A946" s="74"/>
      <c r="AE946" s="74"/>
    </row>
    <row r="947">
      <c r="A947" s="74"/>
      <c r="AE947" s="74"/>
    </row>
    <row r="948">
      <c r="A948" s="74"/>
      <c r="AE948" s="74"/>
    </row>
    <row r="949">
      <c r="A949" s="74"/>
      <c r="AE949" s="74"/>
    </row>
    <row r="950">
      <c r="A950" s="74"/>
      <c r="AE950" s="74"/>
    </row>
    <row r="951">
      <c r="A951" s="74"/>
      <c r="AE951" s="74"/>
    </row>
    <row r="952">
      <c r="A952" s="74"/>
      <c r="AE952" s="74"/>
    </row>
    <row r="953">
      <c r="A953" s="74"/>
      <c r="AE953" s="74"/>
    </row>
    <row r="954">
      <c r="A954" s="74"/>
      <c r="AE954" s="74"/>
    </row>
    <row r="955">
      <c r="A955" s="74"/>
      <c r="AE955" s="74"/>
    </row>
    <row r="956">
      <c r="A956" s="74"/>
      <c r="AE956" s="74"/>
    </row>
    <row r="957">
      <c r="A957" s="74"/>
      <c r="AE957" s="74"/>
    </row>
    <row r="958">
      <c r="A958" s="74"/>
      <c r="AE958" s="74"/>
    </row>
    <row r="959">
      <c r="A959" s="74"/>
      <c r="AE959" s="74"/>
    </row>
    <row r="960">
      <c r="A960" s="74"/>
      <c r="AE960" s="74"/>
    </row>
    <row r="961">
      <c r="A961" s="74"/>
      <c r="AE961" s="74"/>
    </row>
    <row r="962">
      <c r="A962" s="74"/>
      <c r="AE962" s="74"/>
    </row>
    <row r="963">
      <c r="A963" s="74"/>
      <c r="AE963" s="74"/>
    </row>
    <row r="964">
      <c r="A964" s="74"/>
      <c r="AE964" s="74"/>
    </row>
    <row r="965">
      <c r="A965" s="74"/>
      <c r="AE965" s="74"/>
    </row>
    <row r="966">
      <c r="A966" s="74"/>
      <c r="AE966" s="74"/>
    </row>
    <row r="967">
      <c r="A967" s="74"/>
      <c r="AE967" s="74"/>
    </row>
    <row r="968">
      <c r="A968" s="74"/>
      <c r="AE968" s="74"/>
    </row>
    <row r="969">
      <c r="A969" s="74"/>
      <c r="AE969" s="74"/>
    </row>
    <row r="970">
      <c r="A970" s="74"/>
      <c r="AE970" s="74"/>
    </row>
    <row r="971">
      <c r="A971" s="74"/>
      <c r="AE971" s="74"/>
    </row>
    <row r="972">
      <c r="A972" s="74"/>
      <c r="AE972" s="74"/>
    </row>
    <row r="973">
      <c r="A973" s="74"/>
      <c r="AE973" s="74"/>
    </row>
    <row r="974">
      <c r="A974" s="74"/>
      <c r="AE974" s="74"/>
    </row>
    <row r="975">
      <c r="A975" s="74"/>
      <c r="AE975" s="74"/>
    </row>
    <row r="976">
      <c r="A976" s="74"/>
      <c r="AE976" s="74"/>
    </row>
    <row r="977">
      <c r="A977" s="74"/>
      <c r="AE977" s="74"/>
    </row>
    <row r="978">
      <c r="A978" s="74"/>
      <c r="AE978" s="74"/>
    </row>
    <row r="979">
      <c r="A979" s="74"/>
      <c r="AE979" s="74"/>
    </row>
    <row r="980">
      <c r="A980" s="74"/>
      <c r="AE980" s="74"/>
    </row>
    <row r="981">
      <c r="A981" s="74"/>
      <c r="AE981" s="74"/>
    </row>
    <row r="982">
      <c r="A982" s="74"/>
      <c r="AE982" s="74"/>
    </row>
    <row r="983">
      <c r="A983" s="74"/>
      <c r="AE983" s="74"/>
    </row>
    <row r="984">
      <c r="A984" s="74"/>
      <c r="AE984" s="74"/>
    </row>
    <row r="985">
      <c r="A985" s="74"/>
      <c r="AE985" s="74"/>
    </row>
    <row r="986">
      <c r="A986" s="74"/>
      <c r="AE986" s="74"/>
    </row>
    <row r="987">
      <c r="A987" s="74"/>
      <c r="AE987" s="74"/>
    </row>
    <row r="988">
      <c r="A988" s="74"/>
      <c r="AE988" s="74"/>
    </row>
    <row r="989">
      <c r="A989" s="74"/>
      <c r="AE989" s="74"/>
    </row>
    <row r="990">
      <c r="A990" s="74"/>
      <c r="AE990" s="74"/>
    </row>
    <row r="991">
      <c r="A991" s="74"/>
      <c r="AE991" s="74"/>
    </row>
    <row r="992">
      <c r="A992" s="74"/>
      <c r="AE992" s="74"/>
    </row>
    <row r="993">
      <c r="A993" s="74"/>
      <c r="AE993" s="74"/>
    </row>
    <row r="994">
      <c r="A994" s="74"/>
      <c r="AE994" s="74"/>
    </row>
    <row r="995">
      <c r="A995" s="74"/>
      <c r="AE995" s="74"/>
    </row>
    <row r="996">
      <c r="A996" s="74"/>
      <c r="AE996" s="74"/>
    </row>
    <row r="997">
      <c r="A997" s="74"/>
      <c r="AE997" s="74"/>
    </row>
    <row r="998">
      <c r="A998" s="74"/>
      <c r="AE998" s="74"/>
    </row>
    <row r="999">
      <c r="A999" s="74"/>
      <c r="AE999" s="74"/>
    </row>
    <row r="1000">
      <c r="A1000" s="74"/>
      <c r="AE1000" s="7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57</v>
      </c>
      <c r="B1" s="75">
        <v>10000.0</v>
      </c>
    </row>
    <row r="2">
      <c r="A2" s="74" t="s">
        <v>34</v>
      </c>
      <c r="B2" s="75">
        <v>8000.0</v>
      </c>
    </row>
    <row r="3">
      <c r="A3" s="66" t="s">
        <v>30</v>
      </c>
      <c r="B3" s="75">
        <v>6500.0</v>
      </c>
    </row>
    <row r="4">
      <c r="A4" s="66" t="s">
        <v>26</v>
      </c>
      <c r="B4" s="75">
        <v>6500.0</v>
      </c>
    </row>
    <row r="5">
      <c r="A5" s="82" t="s">
        <v>17</v>
      </c>
      <c r="B5" s="83">
        <v>5200.0</v>
      </c>
    </row>
    <row r="6">
      <c r="A6" s="66" t="s">
        <v>61</v>
      </c>
      <c r="B6" s="75">
        <v>5200.0</v>
      </c>
    </row>
    <row r="7">
      <c r="A7" s="66" t="s">
        <v>37</v>
      </c>
      <c r="B7" s="75">
        <v>5200.0</v>
      </c>
    </row>
    <row r="8">
      <c r="A8" s="66" t="s">
        <v>39</v>
      </c>
      <c r="B8" s="75">
        <v>5200.0</v>
      </c>
    </row>
    <row r="9">
      <c r="A9" s="66" t="s">
        <v>32</v>
      </c>
      <c r="B9" s="75">
        <v>4000.0</v>
      </c>
    </row>
    <row r="10">
      <c r="A10" s="66" t="s">
        <v>52</v>
      </c>
      <c r="B10" s="75">
        <v>4000.0</v>
      </c>
    </row>
    <row r="11">
      <c r="A11" s="66" t="s">
        <v>42</v>
      </c>
      <c r="B11" s="75">
        <v>4000.0</v>
      </c>
    </row>
    <row r="12">
      <c r="A12" s="66" t="s">
        <v>28</v>
      </c>
      <c r="B12" s="75">
        <v>4000.0</v>
      </c>
    </row>
    <row r="13">
      <c r="A13" s="66" t="s">
        <v>55</v>
      </c>
      <c r="B13" s="75">
        <v>1750.0</v>
      </c>
    </row>
    <row r="14">
      <c r="A14" s="66" t="s">
        <v>31</v>
      </c>
      <c r="B14" s="75">
        <v>1750.0</v>
      </c>
    </row>
    <row r="15">
      <c r="A15" s="66" t="s">
        <v>67</v>
      </c>
      <c r="B15" s="75">
        <v>1750.0</v>
      </c>
    </row>
    <row r="16">
      <c r="A16" s="66" t="s">
        <v>40</v>
      </c>
      <c r="B16" s="75">
        <v>1750.0</v>
      </c>
    </row>
    <row r="17">
      <c r="A17" s="66" t="s">
        <v>64</v>
      </c>
      <c r="B17" s="75">
        <v>1750.0</v>
      </c>
    </row>
    <row r="18">
      <c r="A18" s="66" t="s">
        <v>69</v>
      </c>
      <c r="B18" s="75">
        <v>1750.0</v>
      </c>
    </row>
    <row r="19">
      <c r="A19" s="82" t="s">
        <v>46</v>
      </c>
      <c r="B19" s="83">
        <v>1750.0</v>
      </c>
    </row>
    <row r="20">
      <c r="A20" s="66" t="s">
        <v>38</v>
      </c>
      <c r="B20" s="75">
        <v>1750.0</v>
      </c>
    </row>
    <row r="21">
      <c r="A21" s="66" t="s">
        <v>36</v>
      </c>
      <c r="B21" s="75">
        <v>1750.0</v>
      </c>
    </row>
    <row r="22">
      <c r="A22" s="74" t="s">
        <v>35</v>
      </c>
      <c r="B22" s="75">
        <v>1750.0</v>
      </c>
    </row>
    <row r="23">
      <c r="A23" s="66" t="s">
        <v>41</v>
      </c>
      <c r="B23" s="75">
        <v>1750.0</v>
      </c>
    </row>
    <row r="24">
      <c r="A24" s="66" t="s">
        <v>50</v>
      </c>
      <c r="B24" s="75">
        <v>1750.0</v>
      </c>
    </row>
    <row r="25">
      <c r="A25" s="66" t="s">
        <v>33</v>
      </c>
      <c r="B25" s="75">
        <v>500.0</v>
      </c>
    </row>
    <row r="26">
      <c r="A26" s="66" t="s">
        <v>65</v>
      </c>
      <c r="B26" s="75">
        <v>500.0</v>
      </c>
    </row>
    <row r="27">
      <c r="A27" s="66" t="s">
        <v>68</v>
      </c>
      <c r="B27" s="75">
        <v>500.0</v>
      </c>
    </row>
    <row r="28">
      <c r="A28" s="66" t="s">
        <v>66</v>
      </c>
      <c r="B28" s="75">
        <v>500.0</v>
      </c>
    </row>
    <row r="29">
      <c r="A29" s="66" t="s">
        <v>53</v>
      </c>
      <c r="B29" s="75">
        <v>500.0</v>
      </c>
    </row>
    <row r="30">
      <c r="A30" s="66" t="s">
        <v>63</v>
      </c>
      <c r="B30" s="75">
        <v>500.0</v>
      </c>
    </row>
    <row r="31">
      <c r="A31" s="66" t="s">
        <v>56</v>
      </c>
      <c r="B31" s="75">
        <v>500.0</v>
      </c>
    </row>
    <row r="32">
      <c r="A32" s="66" t="s">
        <v>54</v>
      </c>
      <c r="B32" s="75">
        <v>500.0</v>
      </c>
    </row>
    <row r="33">
      <c r="A33" s="66" t="s">
        <v>59</v>
      </c>
      <c r="B33" s="75">
        <v>500.0</v>
      </c>
    </row>
    <row r="34">
      <c r="A34" s="66" t="s">
        <v>47</v>
      </c>
      <c r="B34" s="75">
        <v>500.0</v>
      </c>
    </row>
    <row r="35">
      <c r="A35" s="66" t="s">
        <v>27</v>
      </c>
      <c r="B35" s="75">
        <v>500.0</v>
      </c>
    </row>
    <row r="36">
      <c r="A36" s="66" t="s">
        <v>45</v>
      </c>
      <c r="B36" s="75">
        <v>500.0</v>
      </c>
    </row>
    <row r="37">
      <c r="A37" s="66" t="s">
        <v>142</v>
      </c>
      <c r="B37" s="66" t="s">
        <v>251</v>
      </c>
    </row>
    <row r="38">
      <c r="A38" s="66" t="s">
        <v>262</v>
      </c>
      <c r="B38" s="66" t="s">
        <v>251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9" max="29" width="22.0"/>
    <col customWidth="1" min="30" max="31" width="19.5"/>
  </cols>
  <sheetData>
    <row r="1">
      <c r="A1" s="76" t="s">
        <v>252</v>
      </c>
      <c r="B1" s="32" t="s">
        <v>6</v>
      </c>
      <c r="C1" s="32" t="s">
        <v>222</v>
      </c>
      <c r="D1" s="69" t="s">
        <v>263</v>
      </c>
      <c r="E1" s="32" t="s">
        <v>197</v>
      </c>
      <c r="F1" s="69" t="s">
        <v>264</v>
      </c>
      <c r="G1" s="69" t="s">
        <v>265</v>
      </c>
      <c r="H1" s="69" t="s">
        <v>266</v>
      </c>
      <c r="I1" s="69" t="s">
        <v>267</v>
      </c>
      <c r="J1" s="69" t="s">
        <v>268</v>
      </c>
      <c r="K1" s="32" t="s">
        <v>203</v>
      </c>
      <c r="L1" s="32" t="s">
        <v>204</v>
      </c>
      <c r="M1" s="2" t="s">
        <v>205</v>
      </c>
      <c r="N1" s="32" t="s">
        <v>208</v>
      </c>
      <c r="O1" s="32" t="s">
        <v>206</v>
      </c>
      <c r="P1" s="32" t="s">
        <v>207</v>
      </c>
      <c r="Q1" s="69" t="s">
        <v>269</v>
      </c>
      <c r="R1" s="32" t="s">
        <v>225</v>
      </c>
      <c r="S1" s="32" t="s">
        <v>227</v>
      </c>
      <c r="T1" s="32" t="s">
        <v>228</v>
      </c>
      <c r="U1" s="32" t="s">
        <v>229</v>
      </c>
      <c r="V1" s="32" t="s">
        <v>230</v>
      </c>
      <c r="W1" s="32" t="s">
        <v>231</v>
      </c>
      <c r="X1" s="32" t="s">
        <v>232</v>
      </c>
      <c r="Y1" s="32" t="s">
        <v>233</v>
      </c>
      <c r="Z1" s="32" t="s">
        <v>234</v>
      </c>
      <c r="AA1" s="32" t="s">
        <v>235</v>
      </c>
      <c r="AB1" s="32" t="s">
        <v>236</v>
      </c>
      <c r="AC1" s="70" t="s">
        <v>240</v>
      </c>
      <c r="AD1" s="69" t="s">
        <v>239</v>
      </c>
      <c r="AE1" s="69" t="s">
        <v>238</v>
      </c>
      <c r="AF1" s="69" t="s">
        <v>260</v>
      </c>
    </row>
    <row r="2">
      <c r="A2" s="78">
        <v>1.0</v>
      </c>
      <c r="B2" s="66" t="s">
        <v>26</v>
      </c>
      <c r="D2" s="10" t="str">
        <f>VLOOKUP(B2, 'Surfer Stats - Event 2'!$B$1:$AJ$37, 3, FALSE)</f>
        <v>Regular</v>
      </c>
      <c r="F2" s="10">
        <f>4/6</f>
        <v>0.6666666667</v>
      </c>
      <c r="H2" s="3">
        <f t="shared" ref="H2:H41" si="1">U2+X2+AA2</f>
        <v>10</v>
      </c>
      <c r="I2" s="10">
        <v>0.5</v>
      </c>
      <c r="J2" s="10">
        <v>0.5</v>
      </c>
      <c r="K2" s="10">
        <v>0.0</v>
      </c>
      <c r="L2" s="10">
        <v>0.0</v>
      </c>
      <c r="M2" s="10">
        <f>VLOOKUP(B2, 'Surfer Stats - Event 2'!$B$1:$AJ$37, 12, FALSE)</f>
        <v>0</v>
      </c>
      <c r="N2" s="10">
        <v>3.0</v>
      </c>
      <c r="O2" s="10">
        <v>13.0</v>
      </c>
      <c r="P2" s="10">
        <v>13.0</v>
      </c>
      <c r="Q2" s="10">
        <v>1.0</v>
      </c>
      <c r="R2" s="3">
        <f t="shared" ref="R2:R10" si="2">ROUND(SUM(T2,W2,Z2)/H2,2)</f>
        <v>14.05</v>
      </c>
      <c r="S2" s="3">
        <f t="shared" ref="S2:S3" si="3">ROUND(AF2/U2,2)</f>
        <v>14.2</v>
      </c>
      <c r="T2" s="10">
        <v>84.45</v>
      </c>
      <c r="U2" s="10">
        <v>6.0</v>
      </c>
      <c r="V2" s="3">
        <f t="shared" ref="V2:V7" si="4">ROUND(W2/X2,2)</f>
        <v>13.05</v>
      </c>
      <c r="W2" s="10">
        <v>26.09</v>
      </c>
      <c r="X2" s="10">
        <v>2.0</v>
      </c>
      <c r="Y2" s="3">
        <f>ROUND(Z2/AA2,2)</f>
        <v>15</v>
      </c>
      <c r="Z2" s="10">
        <v>30.0</v>
      </c>
      <c r="AA2" s="10">
        <v>2.0</v>
      </c>
      <c r="AB2" s="10">
        <v>18.0</v>
      </c>
      <c r="AC2" s="75">
        <f>6500+10000</f>
        <v>16500</v>
      </c>
      <c r="AD2" s="7">
        <f t="array" ref="AD2">ROUND(AVERAGEIF({
    IFERROR(XLOOKUP(B2, 'Surfer Stats - Event 1 proper'!B:B, 'Surfer Stats - Event 1 proper'!AL:AL), ""),
    IFERROR(XLOOKUP(B2, 'Surfer Stats - Event 2'!B:B, 'Surfer Stats - Event 2'!AG:AG), "")
}, "&lt;&gt;"),2)</f>
        <v>92.64</v>
      </c>
      <c r="AE2" s="7">
        <f t="array" ref="AE2">XLOOKUP(B2, 'Surfer Stats - Event 2'!B:B, 'Surfer Stats - Event 2'!AG:AG)</f>
        <v>108.44</v>
      </c>
      <c r="AF2" s="10">
        <v>85.21</v>
      </c>
    </row>
    <row r="3">
      <c r="A3" s="78">
        <v>1.0</v>
      </c>
      <c r="B3" s="66" t="s">
        <v>57</v>
      </c>
      <c r="D3" s="10" t="str">
        <f>VLOOKUP(B3, 'Surfer Stats - Event 2'!$B$1:$AJ$37, 3, FALSE)</f>
        <v>Goofy</v>
      </c>
      <c r="F3" s="10">
        <v>0.6</v>
      </c>
      <c r="H3" s="3">
        <f t="shared" si="1"/>
        <v>13</v>
      </c>
      <c r="I3" s="10">
        <v>0.75</v>
      </c>
      <c r="J3" s="10">
        <v>0.0</v>
      </c>
      <c r="K3" s="10">
        <v>0.0</v>
      </c>
      <c r="L3" s="10">
        <v>1.0</v>
      </c>
      <c r="M3" s="10">
        <f>VLOOKUP(B3, 'Surfer Stats - Event 2'!$B$1:$AJ$37, 12, FALSE)</f>
        <v>1</v>
      </c>
      <c r="N3" s="10">
        <v>5.0</v>
      </c>
      <c r="O3" s="10">
        <v>99.0</v>
      </c>
      <c r="P3" s="10">
        <v>5.0</v>
      </c>
      <c r="Q3" s="10">
        <v>1.0</v>
      </c>
      <c r="R3" s="3">
        <f t="shared" si="2"/>
        <v>12.57</v>
      </c>
      <c r="S3" s="3">
        <f t="shared" si="3"/>
        <v>12.25</v>
      </c>
      <c r="T3" s="10">
        <v>64.47</v>
      </c>
      <c r="U3" s="10">
        <v>5.0</v>
      </c>
      <c r="V3" s="3">
        <f t="shared" si="4"/>
        <v>13.48</v>
      </c>
      <c r="W3" s="10">
        <v>53.9</v>
      </c>
      <c r="X3" s="10">
        <v>4.0</v>
      </c>
      <c r="Y3" s="3">
        <f>Z3/AA3</f>
        <v>11.25</v>
      </c>
      <c r="Z3" s="10">
        <v>45.0</v>
      </c>
      <c r="AA3" s="10">
        <v>4.0</v>
      </c>
      <c r="AB3" s="10">
        <v>16.1</v>
      </c>
      <c r="AC3" s="75">
        <f>10000+5200</f>
        <v>15200</v>
      </c>
      <c r="AD3" s="7">
        <f t="array" ref="AD3">ROUND(AVERAGEIF({
    IFERROR(XLOOKUP(B3, 'Surfer Stats - Event 1 proper'!B:B, 'Surfer Stats - Event 1 proper'!AL:AL), ""),
    IFERROR(XLOOKUP(B3, 'Surfer Stats - Event 2'!B:B, 'Surfer Stats - Event 2'!AG:AG), "")
}, "&lt;&gt;"),2)</f>
        <v>80.52</v>
      </c>
      <c r="AE3" s="7">
        <f t="array" ref="AE3">XLOOKUP(B3, 'Surfer Stats - Event 2'!B:B, 'Surfer Stats - Event 2'!AG:AG)</f>
        <v>60.28</v>
      </c>
      <c r="AF3" s="10">
        <v>61.24</v>
      </c>
    </row>
    <row r="4">
      <c r="A4" s="78">
        <v>1.0</v>
      </c>
      <c r="B4" s="66" t="s">
        <v>32</v>
      </c>
      <c r="D4" s="3" t="str">
        <f>VLOOKUP(B4, 'Surfer Stats - Event 2'!$B$1:$AJ$37, 3, FALSE)</f>
        <v>Regular</v>
      </c>
      <c r="F4" s="10">
        <v>0.0</v>
      </c>
      <c r="H4" s="3">
        <f t="shared" si="1"/>
        <v>7</v>
      </c>
      <c r="I4" s="3">
        <f>1/3</f>
        <v>0.3333333333</v>
      </c>
      <c r="J4" s="10">
        <v>0.0</v>
      </c>
      <c r="K4" s="10">
        <v>0.0</v>
      </c>
      <c r="L4" s="10">
        <v>0.0</v>
      </c>
      <c r="M4" s="3">
        <f>VLOOKUP(B4, 'Surfer Stats - Event 2'!$B$1:$AJ$37, 12, FALSE)</f>
        <v>0</v>
      </c>
      <c r="N4" s="10">
        <v>25.0</v>
      </c>
      <c r="O4" s="10">
        <v>25.0</v>
      </c>
      <c r="P4" s="10">
        <v>13.0</v>
      </c>
      <c r="Q4" s="10">
        <v>0.0</v>
      </c>
      <c r="R4" s="3">
        <f t="shared" si="2"/>
        <v>12.31</v>
      </c>
      <c r="S4" s="3">
        <f t="shared" ref="S4:S7" si="5">ROUND(T4/U4,2)</f>
        <v>9.94</v>
      </c>
      <c r="T4" s="10">
        <v>19.87</v>
      </c>
      <c r="U4" s="10">
        <v>2.0</v>
      </c>
      <c r="V4" s="3">
        <f t="shared" si="4"/>
        <v>13.38</v>
      </c>
      <c r="W4" s="10">
        <v>40.13</v>
      </c>
      <c r="X4" s="10">
        <v>3.0</v>
      </c>
      <c r="Y4" s="3">
        <f t="shared" ref="Y4:Y9" si="6">ROUND(Z4/AA4,2)</f>
        <v>13.07</v>
      </c>
      <c r="Z4" s="10">
        <v>26.14</v>
      </c>
      <c r="AA4" s="10">
        <v>2.0</v>
      </c>
      <c r="AB4" s="10">
        <v>14.76</v>
      </c>
      <c r="AC4" s="75">
        <f>8000+4000</f>
        <v>12000</v>
      </c>
      <c r="AD4" s="7">
        <f t="array" ref="AD4">ROUND(AVERAGEIF({
    IFERROR(XLOOKUP(B4, 'Surfer Stats - Event 1 proper'!B:B, 'Surfer Stats - Event 1 proper'!AL:AL), ""),
    IFERROR(XLOOKUP(B4, 'Surfer Stats - Event 2'!B:B, 'Surfer Stats - Event 2'!AG:AG), "")
}, "&lt;&gt;"),2)</f>
        <v>64.17</v>
      </c>
      <c r="AE4" s="7">
        <f t="array" ref="AE4">XLOOKUP(B4, 'Surfer Stats - Event 2'!B:B, 'Surfer Stats - Event 2'!AG:AG)</f>
        <v>84.08</v>
      </c>
      <c r="AF4" s="10">
        <v>29.5</v>
      </c>
    </row>
    <row r="5">
      <c r="A5" s="78">
        <v>1.0</v>
      </c>
      <c r="B5" s="66" t="s">
        <v>42</v>
      </c>
      <c r="D5" s="3" t="str">
        <f>VLOOKUP(B5, 'Surfer Stats - Event 2'!$B$1:$AJ$37, 3, FALSE)</f>
        <v>Regular</v>
      </c>
      <c r="F5" s="10">
        <v>0.5</v>
      </c>
      <c r="H5" s="3">
        <f t="shared" si="1"/>
        <v>15</v>
      </c>
      <c r="I5" s="3">
        <f>5/7</f>
        <v>0.7142857143</v>
      </c>
      <c r="J5" s="10">
        <v>0.5</v>
      </c>
      <c r="K5" s="10">
        <v>0.0</v>
      </c>
      <c r="L5" s="10">
        <v>0.0</v>
      </c>
      <c r="M5" s="3">
        <f>VLOOKUP(B5, 'Surfer Stats - Event 2'!$B$1:$AJ$37, 12, FALSE)</f>
        <v>0</v>
      </c>
      <c r="N5" s="10">
        <v>5.0</v>
      </c>
      <c r="O5" s="10">
        <v>13.0</v>
      </c>
      <c r="P5" s="10">
        <v>2.0</v>
      </c>
      <c r="Q5" s="10">
        <v>4.0</v>
      </c>
      <c r="R5" s="3">
        <f t="shared" si="2"/>
        <v>14.06</v>
      </c>
      <c r="S5" s="3">
        <f t="shared" si="5"/>
        <v>13.32</v>
      </c>
      <c r="T5" s="10">
        <v>79.9</v>
      </c>
      <c r="U5" s="10">
        <v>6.0</v>
      </c>
      <c r="V5" s="3">
        <f t="shared" si="4"/>
        <v>15.06</v>
      </c>
      <c r="W5" s="10">
        <v>105.44</v>
      </c>
      <c r="X5" s="10">
        <v>7.0</v>
      </c>
      <c r="Y5" s="3">
        <f t="shared" si="6"/>
        <v>12.78</v>
      </c>
      <c r="Z5" s="10">
        <v>25.56</v>
      </c>
      <c r="AA5" s="10">
        <v>2.0</v>
      </c>
      <c r="AB5" s="10">
        <v>17.46</v>
      </c>
      <c r="AC5" s="75">
        <f t="shared" ref="AC5:AC6" si="7">5200+4000</f>
        <v>9200</v>
      </c>
      <c r="AD5" s="7">
        <f t="array" ref="AD5">ROUND(AVERAGEIF({
    IFERROR(XLOOKUP(B5, 'Surfer Stats - Event 1 proper'!B:B, 'Surfer Stats - Event 1 proper'!AL:AL), ""),
    IFERROR(XLOOKUP(B5, 'Surfer Stats - Event 2'!B:B, 'Surfer Stats - Event 2'!AG:AG), "")
}, "&lt;&gt;"),2)</f>
        <v>64.22</v>
      </c>
      <c r="AE5" s="7">
        <f t="array" ref="AE5">XLOOKUP(B5, 'Surfer Stats - Event 2'!B:B, 'Surfer Stats - Event 2'!AG:AG)</f>
        <v>69.93</v>
      </c>
      <c r="AF5" s="10">
        <v>75.63</v>
      </c>
    </row>
    <row r="6">
      <c r="A6" s="78">
        <v>1.0</v>
      </c>
      <c r="B6" s="66" t="s">
        <v>28</v>
      </c>
      <c r="D6" s="3" t="str">
        <f>VLOOKUP(B6, 'Surfer Stats - Event 2'!$B$1:$AJ$37, 3, FALSE)</f>
        <v>Regular</v>
      </c>
      <c r="F6" s="10">
        <v>0.5</v>
      </c>
      <c r="H6" s="3">
        <f t="shared" si="1"/>
        <v>16</v>
      </c>
      <c r="I6" s="10">
        <v>0.75</v>
      </c>
      <c r="J6" s="3">
        <f>5/8</f>
        <v>0.625</v>
      </c>
      <c r="K6" s="10">
        <v>0.0</v>
      </c>
      <c r="L6" s="10">
        <v>0.0</v>
      </c>
      <c r="M6" s="3">
        <f>VLOOKUP(B6, 'Surfer Stats - Event 2'!$B$1:$AJ$37, 12, FALSE)</f>
        <v>0</v>
      </c>
      <c r="N6" s="10">
        <v>9.0</v>
      </c>
      <c r="O6" s="10">
        <v>2.0</v>
      </c>
      <c r="P6" s="10">
        <v>5.0</v>
      </c>
      <c r="Q6" s="10">
        <v>6.0</v>
      </c>
      <c r="R6" s="3">
        <f t="shared" si="2"/>
        <v>15.54</v>
      </c>
      <c r="S6" s="3">
        <f t="shared" si="5"/>
        <v>16.33</v>
      </c>
      <c r="T6" s="10">
        <v>65.3</v>
      </c>
      <c r="U6" s="10">
        <v>4.0</v>
      </c>
      <c r="V6" s="3">
        <f t="shared" si="4"/>
        <v>14.96</v>
      </c>
      <c r="W6" s="10">
        <v>59.83</v>
      </c>
      <c r="X6" s="10">
        <v>4.0</v>
      </c>
      <c r="Y6" s="3">
        <f t="shared" si="6"/>
        <v>15.44</v>
      </c>
      <c r="Z6" s="10">
        <v>123.5</v>
      </c>
      <c r="AA6" s="10">
        <v>8.0</v>
      </c>
      <c r="AB6" s="10">
        <v>17.77</v>
      </c>
      <c r="AC6" s="75">
        <f t="shared" si="7"/>
        <v>9200</v>
      </c>
      <c r="AD6" s="7">
        <f t="array" ref="AD6">ROUND(AVERAGEIF({
    IFERROR(XLOOKUP(B6, 'Surfer Stats - Event 1 proper'!B:B, 'Surfer Stats - Event 1 proper'!AL:AL), ""),
    IFERROR(XLOOKUP(B6, 'Surfer Stats - Event 2'!B:B, 'Surfer Stats - Event 2'!AG:AG), "")
}, "&lt;&gt;"),2)</f>
        <v>61.27</v>
      </c>
      <c r="AE6" s="7">
        <f t="array" ref="AE6">XLOOKUP(B6, 'Surfer Stats - Event 2'!B:B, 'Surfer Stats - Event 2'!AG:AG)</f>
        <v>70.24</v>
      </c>
      <c r="AF6" s="10">
        <v>116.96</v>
      </c>
    </row>
    <row r="7">
      <c r="A7" s="78">
        <v>1.0</v>
      </c>
      <c r="B7" s="66" t="s">
        <v>34</v>
      </c>
      <c r="D7" s="10" t="str">
        <f>VLOOKUP(B7, 'Surfer Stats - Event 2'!$B$1:$AJ$37, 3, FALSE)</f>
        <v>Goofy</v>
      </c>
      <c r="F7" s="3">
        <f>1/3</f>
        <v>0.3333333333</v>
      </c>
      <c r="H7" s="3">
        <f t="shared" si="1"/>
        <v>13</v>
      </c>
      <c r="I7" s="3">
        <f>1/3</f>
        <v>0.3333333333</v>
      </c>
      <c r="J7" s="3">
        <f>6/7</f>
        <v>0.8571428571</v>
      </c>
      <c r="K7" s="10">
        <v>0.0</v>
      </c>
      <c r="L7" s="10">
        <v>1.0</v>
      </c>
      <c r="M7" s="3">
        <f>VLOOKUP(B7, 'Surfer Stats - Event 2'!$B$1:$AJ$37, 12, FALSE)</f>
        <v>1</v>
      </c>
      <c r="N7" s="10">
        <v>13.0</v>
      </c>
      <c r="O7" s="10">
        <v>1.0</v>
      </c>
      <c r="P7" s="10">
        <v>13.0</v>
      </c>
      <c r="Q7" s="10">
        <v>3.0</v>
      </c>
      <c r="R7" s="3">
        <f t="shared" si="2"/>
        <v>12.95</v>
      </c>
      <c r="S7" s="3">
        <f t="shared" si="5"/>
        <v>10.54</v>
      </c>
      <c r="T7" s="10">
        <v>31.63</v>
      </c>
      <c r="U7" s="10">
        <v>3.0</v>
      </c>
      <c r="V7" s="3">
        <f t="shared" si="4"/>
        <v>10.38</v>
      </c>
      <c r="W7" s="10">
        <v>31.14</v>
      </c>
      <c r="X7" s="10">
        <v>3.0</v>
      </c>
      <c r="Y7" s="3">
        <f t="shared" si="6"/>
        <v>15.08</v>
      </c>
      <c r="Z7" s="10">
        <v>105.54</v>
      </c>
      <c r="AA7" s="10">
        <v>7.0</v>
      </c>
      <c r="AB7" s="10">
        <v>17.37</v>
      </c>
      <c r="AC7" s="75">
        <f>8000+500</f>
        <v>8500</v>
      </c>
      <c r="AD7" s="7">
        <f t="array" ref="AD7">ROUND(AVERAGEIF({
    IFERROR(XLOOKUP(B7, 'Surfer Stats - Event 1 proper'!B:B, 'Surfer Stats - Event 1 proper'!AL:AL), ""),
    IFERROR(XLOOKUP(B7, 'Surfer Stats - Event 2'!B:B, 'Surfer Stats - Event 2'!AG:AG), "")
}, "&lt;&gt;"),2)</f>
        <v>52.59</v>
      </c>
      <c r="AE7" s="7">
        <f t="array" ref="AE7">XLOOKUP(B7, 'Surfer Stats - Event 2'!B:B, 'Surfer Stats - Event 2'!AG:AG)</f>
        <v>14.94</v>
      </c>
      <c r="AF7" s="10">
        <v>25.73</v>
      </c>
    </row>
    <row r="8">
      <c r="A8" s="78">
        <v>1.0</v>
      </c>
      <c r="B8" s="66" t="s">
        <v>52</v>
      </c>
      <c r="D8" s="3" t="str">
        <f>VLOOKUP(B8, 'Surfer Stats - Event 2'!$B$1:$AJ$37, 3, FALSE)</f>
        <v>Regular</v>
      </c>
      <c r="F8" s="10">
        <v>0.0</v>
      </c>
      <c r="H8" s="3">
        <f t="shared" si="1"/>
        <v>8</v>
      </c>
      <c r="I8" s="10">
        <v>0.0</v>
      </c>
      <c r="J8" s="10">
        <v>0.6</v>
      </c>
      <c r="K8" s="10">
        <v>0.0</v>
      </c>
      <c r="L8" s="10">
        <v>0.0</v>
      </c>
      <c r="M8" s="3">
        <f>VLOOKUP(B8, 'Surfer Stats - Event 2'!$B$1:$AJ$37, 12, FALSE)</f>
        <v>0</v>
      </c>
      <c r="N8" s="10">
        <v>99.0</v>
      </c>
      <c r="O8" s="10">
        <v>5.0</v>
      </c>
      <c r="P8" s="10">
        <v>99.0</v>
      </c>
      <c r="Q8" s="10">
        <v>3.0</v>
      </c>
      <c r="R8" s="3">
        <f t="shared" si="2"/>
        <v>14.04</v>
      </c>
      <c r="S8" s="10">
        <v>0.0</v>
      </c>
      <c r="T8" s="10">
        <v>0.0</v>
      </c>
      <c r="U8" s="10">
        <v>0.0</v>
      </c>
      <c r="V8" s="10">
        <v>12.37</v>
      </c>
      <c r="W8" s="3">
        <f>V8*X8</f>
        <v>37.11</v>
      </c>
      <c r="X8" s="10">
        <v>3.0</v>
      </c>
      <c r="Y8" s="3">
        <f t="shared" si="6"/>
        <v>15.04</v>
      </c>
      <c r="Z8" s="10">
        <v>75.2</v>
      </c>
      <c r="AA8" s="10">
        <v>5.0</v>
      </c>
      <c r="AB8" s="10">
        <v>16.86</v>
      </c>
      <c r="AC8" s="78">
        <v>8000.0</v>
      </c>
      <c r="AD8" s="7">
        <f t="array" ref="AD8">ROUND(AVERAGEIF({
    IFERROR(XLOOKUP(B8, 'Surfer Stats - Event 1 proper'!B:B, 'Surfer Stats - Event 1 proper'!AL:AL), ""),
    IFERROR(XLOOKUP(B8, 'Surfer Stats - Event 2'!B:B, 'Surfer Stats - Event 2'!AG:AG), "")
}, "&lt;&gt;"),2)</f>
        <v>57.57</v>
      </c>
      <c r="AE8" s="7">
        <f t="array" ref="AE8">XLOOKUP(B8, 'Surfer Stats - Event 2'!B:B, 'Surfer Stats - Event 2'!AG:AG)</f>
        <v>51.83</v>
      </c>
      <c r="AF8" s="10">
        <v>30.8</v>
      </c>
    </row>
    <row r="9">
      <c r="A9" s="64">
        <v>1.0</v>
      </c>
      <c r="B9" s="66" t="s">
        <v>30</v>
      </c>
      <c r="D9" s="3" t="str">
        <f>VLOOKUP(B9, 'Surfer Stats - Event 2'!$B$1:$AJ$37, 3, FALSE)</f>
        <v>Goofy</v>
      </c>
      <c r="F9" s="10">
        <v>0.5</v>
      </c>
      <c r="H9" s="3">
        <f t="shared" si="1"/>
        <v>11</v>
      </c>
      <c r="I9" s="10">
        <v>0.6</v>
      </c>
      <c r="J9" s="10">
        <v>0.5</v>
      </c>
      <c r="K9" s="10">
        <v>0.0</v>
      </c>
      <c r="L9" s="10">
        <v>0.0</v>
      </c>
      <c r="M9" s="3">
        <f>VLOOKUP(B9, 'Surfer Stats - Event 2'!$B$1:$AJ$37, 12, FALSE)</f>
        <v>0</v>
      </c>
      <c r="N9" s="10">
        <v>9.0</v>
      </c>
      <c r="O9" s="10">
        <v>9.0</v>
      </c>
      <c r="P9" s="10">
        <v>5.0</v>
      </c>
      <c r="Q9" s="10">
        <v>1.0</v>
      </c>
      <c r="R9" s="3">
        <f t="shared" si="2"/>
        <v>12.15</v>
      </c>
      <c r="S9" s="3">
        <f t="shared" ref="S9:S10" si="8">ROUND(T9/U9,2)</f>
        <v>12.92</v>
      </c>
      <c r="T9" s="10">
        <v>51.67</v>
      </c>
      <c r="U9" s="10">
        <v>4.0</v>
      </c>
      <c r="V9" s="3">
        <f t="shared" ref="V9:V10" si="9">ROUND(W9/X9,2)</f>
        <v>11.21</v>
      </c>
      <c r="W9" s="10">
        <v>56.05</v>
      </c>
      <c r="X9" s="10">
        <v>5.0</v>
      </c>
      <c r="Y9" s="3">
        <f t="shared" si="6"/>
        <v>12.96</v>
      </c>
      <c r="Z9" s="10">
        <v>25.91</v>
      </c>
      <c r="AA9" s="10">
        <v>2.0</v>
      </c>
      <c r="AB9" s="10">
        <v>17.0</v>
      </c>
      <c r="AC9" s="75">
        <f t="shared" ref="AC9:AC11" si="10">6500+500</f>
        <v>7000</v>
      </c>
      <c r="AD9" s="7">
        <f t="array" ref="AD9">ROUND(AVERAGEIF({
    IFERROR(XLOOKUP(B9, 'Surfer Stats - Event 1 proper'!B:B, 'Surfer Stats - Event 1 proper'!AL:AL), ""),
    IFERROR(XLOOKUP(B9, 'Surfer Stats - Event 2'!B:B, 'Surfer Stats - Event 2'!AG:AG), "")
}, "&lt;&gt;"),2)</f>
        <v>46.15</v>
      </c>
      <c r="AE9" s="7">
        <f t="array" ref="AE9">XLOOKUP(B9, 'Surfer Stats - Event 2'!B:B, 'Surfer Stats - Event 2'!AG:AG)</f>
        <v>16.26</v>
      </c>
      <c r="AF9" s="10">
        <v>28.61</v>
      </c>
    </row>
    <row r="10">
      <c r="A10" s="64">
        <v>1.0</v>
      </c>
      <c r="B10" s="84" t="s">
        <v>33</v>
      </c>
      <c r="D10" s="3" t="str">
        <f>VLOOKUP(B10, 'Surfer Stats - Event 2'!$B$1:$AJ$37, 3, FALSE)</f>
        <v>Regular</v>
      </c>
      <c r="F10" s="3">
        <f>1/3</f>
        <v>0.3333333333</v>
      </c>
      <c r="H10" s="3">
        <f t="shared" si="1"/>
        <v>12</v>
      </c>
      <c r="I10" s="10">
        <v>0.6</v>
      </c>
      <c r="J10" s="10">
        <v>0.0</v>
      </c>
      <c r="K10" s="10">
        <v>0.0</v>
      </c>
      <c r="L10" s="10">
        <v>0.0</v>
      </c>
      <c r="M10" s="3">
        <f>VLOOKUP(B10, 'Surfer Stats - Event 2'!$B$1:$AJ$37, 12, FALSE)</f>
        <v>0</v>
      </c>
      <c r="N10" s="10">
        <v>13.0</v>
      </c>
      <c r="O10" s="10">
        <v>99.0</v>
      </c>
      <c r="P10" s="10">
        <v>5.0</v>
      </c>
      <c r="Q10" s="10">
        <v>2.0</v>
      </c>
      <c r="R10" s="3">
        <f t="shared" si="2"/>
        <v>13.09</v>
      </c>
      <c r="S10" s="3">
        <f t="shared" si="8"/>
        <v>13.07</v>
      </c>
      <c r="T10" s="10">
        <v>39.21</v>
      </c>
      <c r="U10" s="10">
        <v>3.0</v>
      </c>
      <c r="V10" s="3">
        <f t="shared" si="9"/>
        <v>14.57</v>
      </c>
      <c r="W10" s="10">
        <v>72.86</v>
      </c>
      <c r="X10" s="10">
        <v>5.0</v>
      </c>
      <c r="Y10" s="3">
        <f t="shared" ref="Y10:Y11" si="11">Z10/AA10</f>
        <v>11.25</v>
      </c>
      <c r="Z10" s="10">
        <v>45.0</v>
      </c>
      <c r="AA10" s="10">
        <v>4.0</v>
      </c>
      <c r="AB10" s="10">
        <v>18.57</v>
      </c>
      <c r="AC10" s="75">
        <f t="shared" si="10"/>
        <v>7000</v>
      </c>
      <c r="AD10" s="7">
        <f t="array" ref="AD10">ROUND(AVERAGEIF({
    IFERROR(XLOOKUP(B10, 'Surfer Stats - Event 1 proper'!B:B, 'Surfer Stats - Event 1 proper'!AL:AL), ""),
    IFERROR(XLOOKUP(B10, 'Surfer Stats - Event 2'!B:B, 'Surfer Stats - Event 2'!AG:AG), "")
}, "&lt;&gt;"),2)</f>
        <v>56.15</v>
      </c>
      <c r="AE10" s="7">
        <f t="array" ref="AE10">XLOOKUP(B10, 'Surfer Stats - Event 2'!B:B, 'Surfer Stats - Event 2'!AG:AG)</f>
        <v>85.42</v>
      </c>
      <c r="AF10" s="10">
        <v>87.06</v>
      </c>
    </row>
    <row r="11">
      <c r="A11" s="78">
        <v>1.0</v>
      </c>
      <c r="B11" s="66" t="s">
        <v>68</v>
      </c>
      <c r="D11" s="3" t="str">
        <f>VLOOKUP(B11, 'Surfer Stats - Event 2'!$B$1:$AJ$37, 3, FALSE)</f>
        <v>Regular</v>
      </c>
      <c r="F11" s="10">
        <v>0.0</v>
      </c>
      <c r="H11" s="3">
        <f t="shared" si="1"/>
        <v>9</v>
      </c>
      <c r="I11" s="10">
        <v>0.0</v>
      </c>
      <c r="J11" s="10">
        <v>0.0</v>
      </c>
      <c r="K11" s="10">
        <v>0.0</v>
      </c>
      <c r="L11" s="10">
        <v>1.0</v>
      </c>
      <c r="M11" s="3">
        <f>VLOOKUP(B11, 'Surfer Stats - Event 2'!$B$1:$AJ$37, 12, FALSE)</f>
        <v>1</v>
      </c>
      <c r="N11" s="10">
        <v>99.0</v>
      </c>
      <c r="O11" s="10">
        <v>99.0</v>
      </c>
      <c r="P11" s="10">
        <v>99.0</v>
      </c>
      <c r="Q11" s="10">
        <v>0.0</v>
      </c>
      <c r="R11" s="10">
        <v>0.0</v>
      </c>
      <c r="S11" s="10">
        <v>12.06</v>
      </c>
      <c r="T11" s="3">
        <f>S11*U11</f>
        <v>24.12</v>
      </c>
      <c r="U11" s="10">
        <v>2.0</v>
      </c>
      <c r="V11" s="10">
        <v>12.37</v>
      </c>
      <c r="W11" s="3">
        <f>V11*X11</f>
        <v>37.11</v>
      </c>
      <c r="X11" s="10">
        <v>3.0</v>
      </c>
      <c r="Y11" s="3">
        <f t="shared" si="11"/>
        <v>11.25</v>
      </c>
      <c r="Z11" s="10">
        <v>45.0</v>
      </c>
      <c r="AA11" s="10">
        <v>4.0</v>
      </c>
      <c r="AB11" s="10">
        <v>14.85</v>
      </c>
      <c r="AC11" s="75">
        <f t="shared" si="10"/>
        <v>7000</v>
      </c>
      <c r="AD11" s="7">
        <f t="array" ref="AD11">ROUND(AVERAGEIF({
    IFERROR(XLOOKUP(B11, 'Surfer Stats - Event 1 proper'!B:B, 'Surfer Stats - Event 1 proper'!AL:AL), ""),
    IFERROR(XLOOKUP(B11, 'Surfer Stats - Event 2'!B:B, 'Surfer Stats - Event 2'!AG:AG), "")
}, "&lt;&gt;"),2)</f>
        <v>48.24</v>
      </c>
      <c r="AE11" s="7">
        <f t="array" ref="AE11">XLOOKUP(B11, 'Surfer Stats - Event 2'!B:B, 'Surfer Stats - Event 2'!AG:AG)</f>
        <v>71.8</v>
      </c>
      <c r="AF11" s="10">
        <v>28.14</v>
      </c>
    </row>
    <row r="12">
      <c r="A12" s="78">
        <v>1.0</v>
      </c>
      <c r="B12" s="66" t="s">
        <v>37</v>
      </c>
      <c r="D12" s="3" t="str">
        <f>VLOOKUP(B12, 'Surfer Stats - Event 2'!$B$1:$AJ$37, 3, FALSE)</f>
        <v>Regular</v>
      </c>
      <c r="F12" s="10">
        <v>0.6</v>
      </c>
      <c r="H12" s="3">
        <f t="shared" si="1"/>
        <v>12</v>
      </c>
      <c r="I12" s="10">
        <v>0.5</v>
      </c>
      <c r="J12" s="3">
        <f>1/3</f>
        <v>0.3333333333</v>
      </c>
      <c r="K12" s="10">
        <v>0.0</v>
      </c>
      <c r="L12" s="10">
        <v>0.0</v>
      </c>
      <c r="M12" s="3">
        <f>VLOOKUP(B12, 'Surfer Stats - Event 2'!$B$1:$AJ$37, 12, FALSE)</f>
        <v>0</v>
      </c>
      <c r="N12" s="10">
        <v>5.0</v>
      </c>
      <c r="O12" s="10">
        <v>13.0</v>
      </c>
      <c r="P12" s="10">
        <v>9.0</v>
      </c>
      <c r="Q12" s="10">
        <v>3.0</v>
      </c>
      <c r="R12" s="3">
        <f t="shared" ref="R12:R18" si="12">ROUND(SUM(T12,W12,Z12)/H12,2)</f>
        <v>13.75</v>
      </c>
      <c r="S12" s="3">
        <f t="shared" ref="S12:S16" si="13">ROUND(T12/U12,2)</f>
        <v>13.84</v>
      </c>
      <c r="T12" s="10">
        <v>69.19</v>
      </c>
      <c r="U12" s="10">
        <v>5.0</v>
      </c>
      <c r="V12" s="3">
        <f t="shared" ref="V12:V18" si="14">ROUND(W12/X12,2)</f>
        <v>15.51</v>
      </c>
      <c r="W12" s="10">
        <v>62.03</v>
      </c>
      <c r="X12" s="10">
        <v>4.0</v>
      </c>
      <c r="Y12" s="3">
        <f t="shared" ref="Y12:Y18" si="15">ROUND(Z12/AA12,2)</f>
        <v>11.26</v>
      </c>
      <c r="Z12" s="10">
        <v>33.77</v>
      </c>
      <c r="AA12" s="10">
        <v>3.0</v>
      </c>
      <c r="AB12" s="10">
        <v>16.9</v>
      </c>
      <c r="AC12" s="75">
        <f t="shared" ref="AC12:AC13" si="16">1750+5200</f>
        <v>6950</v>
      </c>
      <c r="AD12" s="7">
        <f t="array" ref="AD12">ROUND(AVERAGEIF({
    IFERROR(XLOOKUP(B12, 'Surfer Stats - Event 1 proper'!B:B, 'Surfer Stats - Event 1 proper'!AL:AL), ""),
    IFERROR(XLOOKUP(B12, 'Surfer Stats - Event 2'!B:B, 'Surfer Stats - Event 2'!AG:AG), "")
}, "&lt;&gt;"),2)</f>
        <v>49.94</v>
      </c>
      <c r="AE12" s="7">
        <f t="array" ref="AE12">XLOOKUP(B12, 'Surfer Stats - Event 2'!B:B, 'Surfer Stats - Event 2'!AG:AG)</f>
        <v>19.14</v>
      </c>
      <c r="AF12" s="10">
        <v>27.03</v>
      </c>
    </row>
    <row r="13">
      <c r="A13" s="78">
        <v>1.0</v>
      </c>
      <c r="B13" s="66" t="s">
        <v>39</v>
      </c>
      <c r="D13" s="3" t="str">
        <f>VLOOKUP(B13, 'Surfer Stats - Event 2'!$B$1:$AJ$37, 3, FALSE)</f>
        <v>Regular</v>
      </c>
      <c r="F13" s="10">
        <v>0.75</v>
      </c>
      <c r="H13" s="3">
        <f t="shared" si="1"/>
        <v>10</v>
      </c>
      <c r="I13" s="10">
        <v>0.5</v>
      </c>
      <c r="J13" s="10">
        <v>0.5</v>
      </c>
      <c r="K13" s="10">
        <v>0.0</v>
      </c>
      <c r="L13" s="10">
        <v>1.0</v>
      </c>
      <c r="M13" s="3">
        <f>VLOOKUP(B13, 'Surfer Stats - Event 2'!$B$1:$AJ$37, 12, FALSE)</f>
        <v>1</v>
      </c>
      <c r="N13" s="10">
        <v>5.0</v>
      </c>
      <c r="O13" s="10">
        <v>13.0</v>
      </c>
      <c r="P13" s="10">
        <v>9.0</v>
      </c>
      <c r="Q13" s="10">
        <v>1.0</v>
      </c>
      <c r="R13" s="3">
        <f t="shared" si="12"/>
        <v>14.19</v>
      </c>
      <c r="S13" s="3">
        <f t="shared" si="13"/>
        <v>14.74</v>
      </c>
      <c r="T13" s="10">
        <v>58.97</v>
      </c>
      <c r="U13" s="10">
        <v>4.0</v>
      </c>
      <c r="V13" s="3">
        <f t="shared" si="14"/>
        <v>13.26</v>
      </c>
      <c r="W13" s="10">
        <v>53.04</v>
      </c>
      <c r="X13" s="10">
        <v>4.0</v>
      </c>
      <c r="Y13" s="3">
        <f t="shared" si="15"/>
        <v>14.95</v>
      </c>
      <c r="Z13" s="10">
        <v>29.89</v>
      </c>
      <c r="AA13" s="10">
        <v>2.0</v>
      </c>
      <c r="AB13" s="10">
        <v>16.66</v>
      </c>
      <c r="AC13" s="75">
        <f t="shared" si="16"/>
        <v>6950</v>
      </c>
      <c r="AD13" s="7">
        <f t="array" ref="AD13">ROUND(AVERAGEIF({
    IFERROR(XLOOKUP(B13, 'Surfer Stats - Event 1 proper'!B:B, 'Surfer Stats - Event 1 proper'!AL:AL), ""),
    IFERROR(XLOOKUP(B13, 'Surfer Stats - Event 2'!B:B, 'Surfer Stats - Event 2'!AG:AG), "")
}, "&lt;&gt;"),2)</f>
        <v>53.26</v>
      </c>
      <c r="AE13" s="7">
        <f t="array" ref="AE13">XLOOKUP(B13, 'Surfer Stats - Event 2'!B:B, 'Surfer Stats - Event 2'!AG:AG)</f>
        <v>33.09</v>
      </c>
      <c r="AF13" s="10">
        <v>74.43</v>
      </c>
    </row>
    <row r="14">
      <c r="A14" s="78">
        <v>1.0</v>
      </c>
      <c r="B14" s="66" t="s">
        <v>31</v>
      </c>
      <c r="D14" s="3" t="str">
        <f>VLOOKUP(B14, 'Surfer Stats - Event 2'!$B$1:$AJ$37, 3, FALSE)</f>
        <v>Regular</v>
      </c>
      <c r="F14" s="3">
        <f>4/6</f>
        <v>0.6666666667</v>
      </c>
      <c r="H14" s="3">
        <f t="shared" si="1"/>
        <v>12</v>
      </c>
      <c r="I14" s="10">
        <v>0.5</v>
      </c>
      <c r="J14" s="10">
        <v>0.5</v>
      </c>
      <c r="K14" s="10">
        <v>0.0</v>
      </c>
      <c r="L14" s="10">
        <v>1.0</v>
      </c>
      <c r="M14" s="3">
        <f>VLOOKUP(B14, 'Surfer Stats - Event 2'!$B$1:$AJ$37, 12, FALSE)</f>
        <v>1</v>
      </c>
      <c r="N14" s="10">
        <v>3.0</v>
      </c>
      <c r="O14" s="10">
        <v>9.0</v>
      </c>
      <c r="P14" s="10">
        <v>13.0</v>
      </c>
      <c r="Q14" s="10">
        <v>5.0</v>
      </c>
      <c r="R14" s="3">
        <f t="shared" si="12"/>
        <v>14.35</v>
      </c>
      <c r="S14" s="3">
        <f t="shared" si="13"/>
        <v>15.6</v>
      </c>
      <c r="T14" s="10">
        <v>93.59</v>
      </c>
      <c r="U14" s="10">
        <v>6.0</v>
      </c>
      <c r="V14" s="3">
        <f t="shared" si="14"/>
        <v>13.6</v>
      </c>
      <c r="W14" s="10">
        <v>27.2</v>
      </c>
      <c r="X14" s="10">
        <v>2.0</v>
      </c>
      <c r="Y14" s="3">
        <f t="shared" si="15"/>
        <v>12.86</v>
      </c>
      <c r="Z14" s="10">
        <v>51.45</v>
      </c>
      <c r="AA14" s="10">
        <v>4.0</v>
      </c>
      <c r="AB14" s="10">
        <v>17.53</v>
      </c>
      <c r="AC14" s="75">
        <f t="shared" ref="AC14:AC16" si="18">4000+1750</f>
        <v>5750</v>
      </c>
      <c r="AD14" s="7">
        <f t="array" ref="AD14">ROUND(AVERAGEIF({
    IFERROR(XLOOKUP(B14, 'Surfer Stats - Event 1 proper'!B:B, 'Surfer Stats - Event 1 proper'!AL:AL), ""),
    IFERROR(XLOOKUP(B14, 'Surfer Stats - Event 2'!B:B, 'Surfer Stats - Event 2'!AG:AG), "")
}, "&lt;&gt;"),2)</f>
        <v>39.45</v>
      </c>
      <c r="AE14" s="7">
        <f t="array" ref="AE14">XLOOKUP(B14, 'Surfer Stats - Event 2'!B:B, 'Surfer Stats - Event 2'!AG:AG)</f>
        <v>47.4</v>
      </c>
      <c r="AF14" s="10">
        <v>33.6</v>
      </c>
    </row>
    <row r="15">
      <c r="A15" s="78">
        <v>1.0</v>
      </c>
      <c r="B15" s="66" t="s">
        <v>38</v>
      </c>
      <c r="D15" s="3" t="str">
        <f>VLOOKUP(B15, 'Surfer Stats - Event 2'!$B$1:$AJ$37, 3, FALSE)</f>
        <v>Regular</v>
      </c>
      <c r="F15" s="10">
        <v>0.5</v>
      </c>
      <c r="H15" s="3">
        <f t="shared" si="1"/>
        <v>8</v>
      </c>
      <c r="I15" s="3">
        <f t="shared" ref="I15:J15" si="17">1/3</f>
        <v>0.3333333333</v>
      </c>
      <c r="J15" s="3">
        <f t="shared" si="17"/>
        <v>0.3333333333</v>
      </c>
      <c r="K15" s="10">
        <v>0.0</v>
      </c>
      <c r="L15" s="10">
        <v>0.0</v>
      </c>
      <c r="M15" s="3">
        <f>VLOOKUP(B15, 'Surfer Stats - Event 2'!$B$1:$AJ$37, 12, FALSE)</f>
        <v>0</v>
      </c>
      <c r="N15" s="10">
        <v>13.0</v>
      </c>
      <c r="O15" s="10">
        <v>13.0</v>
      </c>
      <c r="P15" s="10">
        <v>13.0</v>
      </c>
      <c r="Q15" s="10">
        <v>1.0</v>
      </c>
      <c r="R15" s="3">
        <f t="shared" si="12"/>
        <v>13.73</v>
      </c>
      <c r="S15" s="3">
        <f t="shared" si="13"/>
        <v>12.42</v>
      </c>
      <c r="T15" s="10">
        <v>24.83</v>
      </c>
      <c r="U15" s="10">
        <v>2.0</v>
      </c>
      <c r="V15" s="3">
        <f t="shared" si="14"/>
        <v>13.8</v>
      </c>
      <c r="W15" s="10">
        <v>41.4</v>
      </c>
      <c r="X15" s="10">
        <v>3.0</v>
      </c>
      <c r="Y15" s="3">
        <f t="shared" si="15"/>
        <v>14.55</v>
      </c>
      <c r="Z15" s="10">
        <v>43.64</v>
      </c>
      <c r="AA15" s="10">
        <v>3.0</v>
      </c>
      <c r="AB15" s="10">
        <v>17.24</v>
      </c>
      <c r="AC15" s="75">
        <f t="shared" si="18"/>
        <v>5750</v>
      </c>
      <c r="AD15" s="7">
        <f t="array" ref="AD15">ROUND(AVERAGEIF({
    IFERROR(XLOOKUP(B15, 'Surfer Stats - Event 1 proper'!B:B, 'Surfer Stats - Event 1 proper'!AL:AL), ""),
    IFERROR(XLOOKUP(B15, 'Surfer Stats - Event 2'!B:B, 'Surfer Stats - Event 2'!AG:AG), "")
}, "&lt;&gt;"),2)</f>
        <v>50.35</v>
      </c>
      <c r="AE15" s="7">
        <f t="array" ref="AE15">XLOOKUP(B15, 'Surfer Stats - Event 2'!B:B, 'Surfer Stats - Event 2'!AG:AG)</f>
        <v>57.9</v>
      </c>
      <c r="AF15" s="10">
        <v>72.04</v>
      </c>
    </row>
    <row r="16">
      <c r="A16" s="78">
        <v>1.0</v>
      </c>
      <c r="B16" s="66" t="s">
        <v>50</v>
      </c>
      <c r="D16" s="3" t="str">
        <f>VLOOKUP(B16, 'Surfer Stats - Event 2'!$B$1:$AJ$37, 3, FALSE)</f>
        <v>Regular</v>
      </c>
      <c r="F16" s="10">
        <v>0.0</v>
      </c>
      <c r="H16" s="3">
        <f t="shared" si="1"/>
        <v>8</v>
      </c>
      <c r="I16" s="10">
        <v>0.5</v>
      </c>
      <c r="J16" s="10">
        <v>0.0</v>
      </c>
      <c r="K16" s="10">
        <v>0.0</v>
      </c>
      <c r="L16" s="10">
        <v>0.0</v>
      </c>
      <c r="M16" s="3">
        <f>VLOOKUP(B16, 'Surfer Stats - Event 2'!$B$1:$AJ$37, 12, FALSE)</f>
        <v>0</v>
      </c>
      <c r="N16" s="10">
        <v>25.0</v>
      </c>
      <c r="O16" s="10">
        <v>25.0</v>
      </c>
      <c r="P16" s="10">
        <v>9.0</v>
      </c>
      <c r="Q16" s="10">
        <v>0.0</v>
      </c>
      <c r="R16" s="3">
        <f t="shared" si="12"/>
        <v>11.03</v>
      </c>
      <c r="S16" s="3">
        <f t="shared" si="13"/>
        <v>9.72</v>
      </c>
      <c r="T16" s="10">
        <v>19.43</v>
      </c>
      <c r="U16" s="10">
        <v>2.0</v>
      </c>
      <c r="V16" s="3">
        <f t="shared" si="14"/>
        <v>11.35</v>
      </c>
      <c r="W16" s="10">
        <v>45.4</v>
      </c>
      <c r="X16" s="10">
        <v>4.0</v>
      </c>
      <c r="Y16" s="3">
        <f t="shared" si="15"/>
        <v>11.7</v>
      </c>
      <c r="Z16" s="10">
        <v>23.4</v>
      </c>
      <c r="AA16" s="10">
        <v>2.0</v>
      </c>
      <c r="AB16" s="10">
        <v>15.33</v>
      </c>
      <c r="AC16" s="75">
        <f t="shared" si="18"/>
        <v>5750</v>
      </c>
      <c r="AD16" s="7">
        <f t="array" ref="AD16">ROUND(AVERAGEIF({
    IFERROR(XLOOKUP(B16, 'Surfer Stats - Event 1 proper'!B:B, 'Surfer Stats - Event 1 proper'!AL:AL), ""),
    IFERROR(XLOOKUP(B16, 'Surfer Stats - Event 2'!B:B, 'Surfer Stats - Event 2'!AG:AG), "")
}, "&lt;&gt;"),2)</f>
        <v>42.9</v>
      </c>
      <c r="AE16" s="7">
        <f t="array" ref="AE16">XLOOKUP(B16, 'Surfer Stats - Event 2'!B:B, 'Surfer Stats - Event 2'!AG:AG)</f>
        <v>57.06</v>
      </c>
      <c r="AF16" s="10">
        <v>46.07</v>
      </c>
    </row>
    <row r="17">
      <c r="A17" s="64">
        <v>0.0</v>
      </c>
      <c r="B17" s="82" t="s">
        <v>17</v>
      </c>
      <c r="D17" s="3" t="str">
        <f>VLOOKUP(B17, 'Surfer Stats - Event 2'!$B$1:$AJ$37, 3, FALSE)</f>
        <v>Goofy</v>
      </c>
      <c r="F17" s="10">
        <v>0.0</v>
      </c>
      <c r="H17" s="3">
        <f t="shared" si="1"/>
        <v>10</v>
      </c>
      <c r="I17" s="10">
        <v>0.0</v>
      </c>
      <c r="J17" s="3">
        <f>4/6</f>
        <v>0.6666666667</v>
      </c>
      <c r="K17" s="10">
        <v>0.0</v>
      </c>
      <c r="L17" s="10">
        <v>0.0</v>
      </c>
      <c r="M17" s="3">
        <f>VLOOKUP(B17, 'Surfer Stats - Event 2'!$B$1:$AJ$37, 12, FALSE)</f>
        <v>0</v>
      </c>
      <c r="N17" s="10">
        <v>99.0</v>
      </c>
      <c r="O17" s="10">
        <v>3.0</v>
      </c>
      <c r="P17" s="10">
        <v>25.0</v>
      </c>
      <c r="Q17" s="10">
        <v>1.0</v>
      </c>
      <c r="R17" s="3">
        <f t="shared" si="12"/>
        <v>13.13</v>
      </c>
      <c r="S17" s="10">
        <v>12.06</v>
      </c>
      <c r="T17" s="3">
        <f>S17*U17</f>
        <v>24.12</v>
      </c>
      <c r="U17" s="10">
        <v>2.0</v>
      </c>
      <c r="V17" s="3">
        <f t="shared" si="14"/>
        <v>11.29</v>
      </c>
      <c r="W17" s="10">
        <v>22.57</v>
      </c>
      <c r="X17" s="10">
        <v>2.0</v>
      </c>
      <c r="Y17" s="3">
        <f t="shared" si="15"/>
        <v>14.1</v>
      </c>
      <c r="Z17" s="10">
        <v>84.59</v>
      </c>
      <c r="AA17" s="10">
        <v>6.0</v>
      </c>
      <c r="AB17" s="10">
        <v>17.0</v>
      </c>
      <c r="AC17" s="83">
        <f>500+5200</f>
        <v>5700</v>
      </c>
      <c r="AD17" s="7">
        <f t="array" ref="AD17">ROUND(AVERAGEIF({
    IFERROR(XLOOKUP(B17, 'Surfer Stats - Event 1 proper'!B:B, 'Surfer Stats - Event 1 proper'!AL:AL), ""),
    IFERROR(XLOOKUP(B17, 'Surfer Stats - Event 2'!B:B, 'Surfer Stats - Event 2'!AG:AG), "")
}, "&lt;&gt;"),2)</f>
        <v>41.16</v>
      </c>
      <c r="AE17" s="7">
        <f t="array" ref="AE17">XLOOKUP(B17, 'Surfer Stats - Event 2'!B:B, 'Surfer Stats - Event 2'!AG:AG)</f>
        <v>0</v>
      </c>
      <c r="AF17" s="10">
        <v>0.0</v>
      </c>
    </row>
    <row r="18">
      <c r="A18" s="78">
        <v>1.0</v>
      </c>
      <c r="B18" s="66" t="s">
        <v>27</v>
      </c>
      <c r="D18" s="3" t="str">
        <f>VLOOKUP(B18, 'Surfer Stats - Event 2'!$B$1:$AJ$37, 3, FALSE)</f>
        <v>Regular</v>
      </c>
      <c r="F18" s="10">
        <v>0.0</v>
      </c>
      <c r="H18" s="3">
        <f t="shared" si="1"/>
        <v>9</v>
      </c>
      <c r="I18" s="10">
        <v>0.0</v>
      </c>
      <c r="J18" s="10">
        <v>0.6</v>
      </c>
      <c r="K18" s="10">
        <v>0.0</v>
      </c>
      <c r="L18" s="10">
        <v>0.0</v>
      </c>
      <c r="M18" s="3">
        <f>VLOOKUP(B18, 'Surfer Stats - Event 2'!$B$1:$AJ$37, 12, FALSE)</f>
        <v>0</v>
      </c>
      <c r="N18" s="10">
        <v>25.0</v>
      </c>
      <c r="O18" s="10">
        <v>5.0</v>
      </c>
      <c r="P18" s="10">
        <v>25.0</v>
      </c>
      <c r="Q18" s="10">
        <v>2.0</v>
      </c>
      <c r="R18" s="3">
        <f t="shared" si="12"/>
        <v>11.85</v>
      </c>
      <c r="S18" s="3">
        <f>ROUND(T18/U18,2)</f>
        <v>10.26</v>
      </c>
      <c r="T18" s="10">
        <v>20.51</v>
      </c>
      <c r="U18" s="10">
        <v>2.0</v>
      </c>
      <c r="V18" s="3">
        <f t="shared" si="14"/>
        <v>7.45</v>
      </c>
      <c r="W18" s="10">
        <v>14.9</v>
      </c>
      <c r="X18" s="10">
        <v>2.0</v>
      </c>
      <c r="Y18" s="3">
        <f t="shared" si="15"/>
        <v>14.24</v>
      </c>
      <c r="Z18" s="10">
        <v>71.22</v>
      </c>
      <c r="AA18" s="10">
        <v>5.0</v>
      </c>
      <c r="AB18" s="10">
        <v>17.26</v>
      </c>
      <c r="AC18" s="75">
        <f>5200+500</f>
        <v>5700</v>
      </c>
      <c r="AD18" s="7">
        <f t="array" ref="AD18">ROUND(AVERAGEIF({
    IFERROR(XLOOKUP(B18, 'Surfer Stats - Event 1 proper'!B:B, 'Surfer Stats - Event 1 proper'!AL:AL), ""),
    IFERROR(XLOOKUP(B18, 'Surfer Stats - Event 2'!B:B, 'Surfer Stats - Event 2'!AG:AG), "")
}, "&lt;&gt;"),2)</f>
        <v>46.79</v>
      </c>
      <c r="AE18" s="7">
        <f t="array" ref="AE18">XLOOKUP(B18, 'Surfer Stats - Event 2'!B:B, 'Surfer Stats - Event 2'!AG:AG)</f>
        <v>70.11</v>
      </c>
      <c r="AF18" s="10">
        <v>31.3</v>
      </c>
    </row>
    <row r="19">
      <c r="A19" s="78">
        <v>1.0</v>
      </c>
      <c r="B19" s="66" t="s">
        <v>61</v>
      </c>
      <c r="D19" s="3" t="str">
        <f>VLOOKUP(B19, 'Surfer Stats - Event 2'!$B$1:$AJ$37, 3, FALSE)</f>
        <v>Goofy</v>
      </c>
      <c r="F19" s="10">
        <v>0.0</v>
      </c>
      <c r="H19" s="3">
        <f t="shared" si="1"/>
        <v>9</v>
      </c>
      <c r="I19" s="10">
        <v>0.0</v>
      </c>
      <c r="J19" s="10">
        <v>0.0</v>
      </c>
      <c r="K19" s="10">
        <v>0.0</v>
      </c>
      <c r="L19" s="10">
        <v>1.0</v>
      </c>
      <c r="M19" s="3">
        <f>VLOOKUP(B19, 'Surfer Stats - Event 2'!$B$1:$AJ$37, 12, FALSE)</f>
        <v>0</v>
      </c>
      <c r="N19" s="10">
        <v>99.0</v>
      </c>
      <c r="O19" s="10">
        <v>99.0</v>
      </c>
      <c r="P19" s="10">
        <v>99.0</v>
      </c>
      <c r="Q19" s="10">
        <v>0.0</v>
      </c>
      <c r="R19" s="10">
        <v>0.0</v>
      </c>
      <c r="S19" s="10">
        <v>12.06</v>
      </c>
      <c r="T19" s="3">
        <f>S19*U19</f>
        <v>24.12</v>
      </c>
      <c r="U19" s="10">
        <v>2.0</v>
      </c>
      <c r="V19" s="10">
        <v>12.37</v>
      </c>
      <c r="W19" s="3">
        <f>V19*X19</f>
        <v>37.11</v>
      </c>
      <c r="X19" s="10">
        <v>3.0</v>
      </c>
      <c r="Y19" s="3">
        <f>Z19/AA19</f>
        <v>11.25</v>
      </c>
      <c r="Z19" s="10">
        <v>45.0</v>
      </c>
      <c r="AA19" s="10">
        <v>4.0</v>
      </c>
      <c r="AB19" s="10">
        <v>14.85</v>
      </c>
      <c r="AC19" s="75">
        <v>5200.0</v>
      </c>
      <c r="AD19" s="7">
        <f t="array" ref="AD19">ROUND(AVERAGEIF({
    IFERROR(XLOOKUP(B19, 'Surfer Stats - Event 1 proper'!B:B, 'Surfer Stats - Event 1 proper'!AL:AL), ""),
    IFERROR(XLOOKUP(B19, 'Surfer Stats - Event 2'!B:B, 'Surfer Stats - Event 2'!AG:AG), "")
}, "&lt;&gt;"),2)</f>
        <v>48.18</v>
      </c>
      <c r="AE19" s="7">
        <f t="array" ref="AE19">XLOOKUP(B19, 'Surfer Stats - Event 2'!B:B, 'Surfer Stats - Event 2'!AG:AG)</f>
        <v>35.67</v>
      </c>
      <c r="AF19" s="10">
        <v>33.24</v>
      </c>
    </row>
    <row r="20">
      <c r="A20" s="78">
        <v>1.0</v>
      </c>
      <c r="B20" s="66" t="s">
        <v>55</v>
      </c>
      <c r="D20" s="3" t="str">
        <f>VLOOKUP(B20, 'Surfer Stats - Event 2'!$B$1:$AJ$37, 3, FALSE)</f>
        <v>Goofy</v>
      </c>
      <c r="F20" s="3">
        <f>1/3</f>
        <v>0.3333333333</v>
      </c>
      <c r="H20" s="3">
        <f t="shared" si="1"/>
        <v>8</v>
      </c>
      <c r="I20" s="10">
        <v>0.0</v>
      </c>
      <c r="J20" s="3">
        <f>1/3</f>
        <v>0.3333333333</v>
      </c>
      <c r="K20" s="10">
        <v>0.0</v>
      </c>
      <c r="L20" s="10">
        <v>0.0</v>
      </c>
      <c r="M20" s="3">
        <f>VLOOKUP(B20, 'Surfer Stats - Event 2'!$B$1:$AJ$37, 12, FALSE)</f>
        <v>0</v>
      </c>
      <c r="N20" s="10">
        <v>13.0</v>
      </c>
      <c r="O20" s="10">
        <v>13.0</v>
      </c>
      <c r="P20" s="10">
        <v>25.0</v>
      </c>
      <c r="Q20" s="10">
        <v>0.0</v>
      </c>
      <c r="R20" s="3">
        <f>ROUND(SUM(T20,W20,Z20)/H20,2)</f>
        <v>10.78</v>
      </c>
      <c r="S20" s="3">
        <f>ROUND(T20/U20,2)</f>
        <v>10.47</v>
      </c>
      <c r="T20" s="10">
        <v>31.41</v>
      </c>
      <c r="U20" s="10">
        <v>3.0</v>
      </c>
      <c r="V20" s="3">
        <f>ROUND(W20/X20,2)</f>
        <v>8.92</v>
      </c>
      <c r="W20" s="10">
        <v>17.84</v>
      </c>
      <c r="X20" s="10">
        <v>2.0</v>
      </c>
      <c r="Y20" s="3">
        <f>ROUND(Z20/AA20,2)</f>
        <v>12.34</v>
      </c>
      <c r="Z20" s="10">
        <v>37.01</v>
      </c>
      <c r="AA20" s="10">
        <v>3.0</v>
      </c>
      <c r="AB20" s="10">
        <v>15.1</v>
      </c>
      <c r="AC20" s="75">
        <f t="shared" ref="AC20:AC22" si="19">1750+1750</f>
        <v>3500</v>
      </c>
      <c r="AD20" s="7">
        <f t="array" ref="AD20">ROUND(AVERAGEIF({
    IFERROR(XLOOKUP(B20, 'Surfer Stats - Event 1 proper'!B:B, 'Surfer Stats - Event 1 proper'!AL:AL), ""),
    IFERROR(XLOOKUP(B20, 'Surfer Stats - Event 2'!B:B, 'Surfer Stats - Event 2'!AG:AG), "")
}, "&lt;&gt;"),2)</f>
        <v>29.23</v>
      </c>
      <c r="AE20" s="7">
        <f t="array" ref="AE20">XLOOKUP(B20, 'Surfer Stats - Event 2'!B:B, 'Surfer Stats - Event 2'!AG:AG)</f>
        <v>17.37</v>
      </c>
      <c r="AF20" s="10">
        <v>28.2</v>
      </c>
    </row>
    <row r="21">
      <c r="A21" s="64">
        <v>1.0</v>
      </c>
      <c r="B21" s="66" t="s">
        <v>67</v>
      </c>
      <c r="D21" s="3" t="str">
        <f>VLOOKUP(B21, 'Surfer Stats - Event 2'!$B$1:$AJ$37, 3, FALSE)</f>
        <v>Goofy</v>
      </c>
      <c r="F21" s="10">
        <v>0.0</v>
      </c>
      <c r="H21" s="3">
        <f t="shared" si="1"/>
        <v>9</v>
      </c>
      <c r="I21" s="10">
        <v>0.0</v>
      </c>
      <c r="J21" s="10">
        <v>0.0</v>
      </c>
      <c r="K21" s="10">
        <v>0.0</v>
      </c>
      <c r="L21" s="10">
        <v>0.0</v>
      </c>
      <c r="M21" s="3">
        <f>VLOOKUP(B21, 'Surfer Stats - Event 2'!$B$1:$AJ$37, 12, FALSE)</f>
        <v>0</v>
      </c>
      <c r="N21" s="10">
        <v>99.0</v>
      </c>
      <c r="O21" s="10">
        <v>99.0</v>
      </c>
      <c r="P21" s="10">
        <v>99.0</v>
      </c>
      <c r="Q21" s="10">
        <v>0.0</v>
      </c>
      <c r="R21" s="10">
        <v>0.0</v>
      </c>
      <c r="S21" s="10">
        <v>12.06</v>
      </c>
      <c r="T21" s="3">
        <f t="shared" ref="T21:T25" si="20">S21*U21</f>
        <v>24.12</v>
      </c>
      <c r="U21" s="10">
        <v>2.0</v>
      </c>
      <c r="V21" s="10">
        <v>12.37</v>
      </c>
      <c r="W21" s="3">
        <f t="shared" ref="W21:W25" si="21">V21*X21</f>
        <v>37.11</v>
      </c>
      <c r="X21" s="10">
        <v>3.0</v>
      </c>
      <c r="Y21" s="3">
        <f>Z21/AA21</f>
        <v>11.25</v>
      </c>
      <c r="Z21" s="10">
        <v>45.0</v>
      </c>
      <c r="AA21" s="10">
        <v>4.0</v>
      </c>
      <c r="AB21" s="10">
        <v>14.85</v>
      </c>
      <c r="AC21" s="75">
        <f t="shared" si="19"/>
        <v>3500</v>
      </c>
      <c r="AD21" s="7">
        <f t="array" ref="AD21">ROUND(AVERAGEIF({
    IFERROR(XLOOKUP(B21, 'Surfer Stats - Event 1 proper'!B:B, 'Surfer Stats - Event 1 proper'!AL:AL), ""),
    IFERROR(XLOOKUP(B21, 'Surfer Stats - Event 2'!B:B, 'Surfer Stats - Event 2'!AG:AG), "")
}, "&lt;&gt;"),2)</f>
        <v>29.22</v>
      </c>
      <c r="AE21" s="7">
        <f t="array" ref="AE21">XLOOKUP(B21, 'Surfer Stats - Event 2'!B:B, 'Surfer Stats - Event 2'!AG:AG)</f>
        <v>24.17</v>
      </c>
      <c r="AF21" s="10">
        <v>24.67</v>
      </c>
    </row>
    <row r="22">
      <c r="A22" s="78">
        <v>1.0</v>
      </c>
      <c r="B22" s="66" t="s">
        <v>40</v>
      </c>
      <c r="D22" s="3" t="str">
        <f>VLOOKUP(B22, 'Surfer Stats - Event 2'!$B$1:$AJ$37, 3, FALSE)</f>
        <v>Regular</v>
      </c>
      <c r="F22" s="10">
        <v>0.0</v>
      </c>
      <c r="H22" s="3">
        <f t="shared" si="1"/>
        <v>10</v>
      </c>
      <c r="I22" s="10">
        <v>0.0</v>
      </c>
      <c r="J22" s="10">
        <v>0.4</v>
      </c>
      <c r="K22" s="10">
        <v>0.0</v>
      </c>
      <c r="L22" s="10">
        <v>0.0</v>
      </c>
      <c r="M22" s="3">
        <f>VLOOKUP(B22, 'Surfer Stats - Event 2'!$B$1:$AJ$37, 12, FALSE)</f>
        <v>0</v>
      </c>
      <c r="N22" s="10">
        <v>99.0</v>
      </c>
      <c r="O22" s="10">
        <v>5.0</v>
      </c>
      <c r="P22" s="10">
        <v>99.0</v>
      </c>
      <c r="Q22" s="10">
        <v>2.0</v>
      </c>
      <c r="R22" s="3">
        <f>ROUND(SUM(T22,W22,Z22)/H22,2)</f>
        <v>12.79</v>
      </c>
      <c r="S22" s="10">
        <v>12.06</v>
      </c>
      <c r="T22" s="3">
        <f t="shared" si="20"/>
        <v>24.12</v>
      </c>
      <c r="U22" s="10">
        <v>2.0</v>
      </c>
      <c r="V22" s="10">
        <v>12.37</v>
      </c>
      <c r="W22" s="3">
        <f t="shared" si="21"/>
        <v>37.11</v>
      </c>
      <c r="X22" s="10">
        <v>3.0</v>
      </c>
      <c r="Y22" s="3">
        <f>ROUND(Z22/AA22,2)</f>
        <v>13.34</v>
      </c>
      <c r="Z22" s="10">
        <v>66.7</v>
      </c>
      <c r="AA22" s="10">
        <v>5.0</v>
      </c>
      <c r="AB22" s="10">
        <v>16.83</v>
      </c>
      <c r="AC22" s="78">
        <f t="shared" si="19"/>
        <v>3500</v>
      </c>
      <c r="AD22" s="7">
        <f t="array" ref="AD22">ROUND(AVERAGEIF({
    IFERROR(XLOOKUP(B22, 'Surfer Stats - Event 1 proper'!B:B, 'Surfer Stats - Event 1 proper'!AL:AL), ""),
    IFERROR(XLOOKUP(B22, 'Surfer Stats - Event 2'!B:B, 'Surfer Stats - Event 2'!AG:AG), "")
}, "&lt;&gt;"),2)</f>
        <v>32.15</v>
      </c>
      <c r="AE22" s="7">
        <f t="array" ref="AE22">XLOOKUP(B22, 'Surfer Stats - Event 2'!B:B, 'Surfer Stats - Event 2'!AG:AG)</f>
        <v>23.32</v>
      </c>
      <c r="AF22" s="10">
        <v>112.44</v>
      </c>
    </row>
    <row r="23">
      <c r="A23" s="78">
        <v>1.0</v>
      </c>
      <c r="B23" s="66" t="s">
        <v>64</v>
      </c>
      <c r="D23" s="3" t="str">
        <f>VLOOKUP(B23, 'Surfer Stats - Event 2'!$B$1:$AJ$37, 3, FALSE)</f>
        <v>Regular</v>
      </c>
      <c r="F23" s="10">
        <v>0.0</v>
      </c>
      <c r="H23" s="3">
        <f t="shared" si="1"/>
        <v>9</v>
      </c>
      <c r="I23" s="10">
        <v>0.0</v>
      </c>
      <c r="J23" s="10">
        <v>0.0</v>
      </c>
      <c r="K23" s="10">
        <v>0.0</v>
      </c>
      <c r="L23" s="10">
        <v>0.0</v>
      </c>
      <c r="M23" s="3">
        <f>VLOOKUP(B23, 'Surfer Stats - Event 2'!$B$1:$AJ$37, 12, FALSE)</f>
        <v>0</v>
      </c>
      <c r="N23" s="10">
        <v>99.0</v>
      </c>
      <c r="O23" s="10">
        <v>99.0</v>
      </c>
      <c r="P23" s="10">
        <v>99.0</v>
      </c>
      <c r="Q23" s="10">
        <v>0.0</v>
      </c>
      <c r="R23" s="10">
        <v>0.0</v>
      </c>
      <c r="S23" s="10">
        <v>12.06</v>
      </c>
      <c r="T23" s="3">
        <f t="shared" si="20"/>
        <v>24.12</v>
      </c>
      <c r="U23" s="10">
        <v>2.0</v>
      </c>
      <c r="V23" s="10">
        <v>12.37</v>
      </c>
      <c r="W23" s="3">
        <f t="shared" si="21"/>
        <v>37.11</v>
      </c>
      <c r="X23" s="10">
        <v>3.0</v>
      </c>
      <c r="Y23" s="3">
        <f t="shared" ref="Y23:Y24" si="22">Z23/AA23</f>
        <v>11.25</v>
      </c>
      <c r="Z23" s="10">
        <v>45.0</v>
      </c>
      <c r="AA23" s="10">
        <v>4.0</v>
      </c>
      <c r="AB23" s="10">
        <v>14.85</v>
      </c>
      <c r="AC23" s="75">
        <f>500+1750</f>
        <v>2250</v>
      </c>
      <c r="AD23" s="7">
        <f t="array" ref="AD23">ROUND(AVERAGEIF({
    IFERROR(XLOOKUP(B23, 'Surfer Stats - Event 1 proper'!B:B, 'Surfer Stats - Event 1 proper'!AL:AL), ""),
    IFERROR(XLOOKUP(B23, 'Surfer Stats - Event 2'!B:B, 'Surfer Stats - Event 2'!AG:AG), "")
}, "&lt;&gt;"),2)</f>
        <v>23.89</v>
      </c>
      <c r="AE23" s="7">
        <f t="array" ref="AE23">XLOOKUP(B23, 'Surfer Stats - Event 2'!B:B, 'Surfer Stats - Event 2'!AG:AG)</f>
        <v>18.9</v>
      </c>
      <c r="AF23" s="10">
        <v>91.51</v>
      </c>
    </row>
    <row r="24">
      <c r="A24" s="78">
        <v>1.0</v>
      </c>
      <c r="B24" s="66" t="s">
        <v>69</v>
      </c>
      <c r="D24" s="3" t="str">
        <f>VLOOKUP(B24, 'Surfer Stats - Event 2'!$B$1:$AJ$37, 3, FALSE)</f>
        <v>Regular</v>
      </c>
      <c r="F24" s="10">
        <v>0.0</v>
      </c>
      <c r="H24" s="3">
        <f t="shared" si="1"/>
        <v>9</v>
      </c>
      <c r="I24" s="10">
        <v>0.0</v>
      </c>
      <c r="J24" s="10">
        <v>0.0</v>
      </c>
      <c r="K24" s="10">
        <v>0.0</v>
      </c>
      <c r="L24" s="10">
        <v>0.0</v>
      </c>
      <c r="M24" s="3">
        <f>VLOOKUP(B24, 'Surfer Stats - Event 2'!$B$1:$AJ$37, 12, FALSE)</f>
        <v>0</v>
      </c>
      <c r="N24" s="10">
        <v>99.0</v>
      </c>
      <c r="O24" s="10">
        <v>99.0</v>
      </c>
      <c r="P24" s="10">
        <v>99.0</v>
      </c>
      <c r="Q24" s="10">
        <v>0.0</v>
      </c>
      <c r="R24" s="10">
        <v>0.0</v>
      </c>
      <c r="S24" s="10">
        <v>12.06</v>
      </c>
      <c r="T24" s="3">
        <f t="shared" si="20"/>
        <v>24.12</v>
      </c>
      <c r="U24" s="10">
        <v>2.0</v>
      </c>
      <c r="V24" s="10">
        <v>12.37</v>
      </c>
      <c r="W24" s="3">
        <f t="shared" si="21"/>
        <v>37.11</v>
      </c>
      <c r="X24" s="10">
        <v>3.0</v>
      </c>
      <c r="Y24" s="3">
        <f t="shared" si="22"/>
        <v>11.25</v>
      </c>
      <c r="Z24" s="10">
        <v>45.0</v>
      </c>
      <c r="AA24" s="10">
        <v>4.0</v>
      </c>
      <c r="AB24" s="10">
        <v>14.85</v>
      </c>
      <c r="AC24" s="75">
        <f>1750+500</f>
        <v>2250</v>
      </c>
      <c r="AD24" s="7">
        <f t="array" ref="AD24">ROUND(AVERAGEIF({
    IFERROR(XLOOKUP(B24, 'Surfer Stats - Event 1 proper'!B:B, 'Surfer Stats - Event 1 proper'!AL:AL), ""),
    IFERROR(XLOOKUP(B24, 'Surfer Stats - Event 2'!B:B, 'Surfer Stats - Event 2'!AG:AG), "")
}, "&lt;&gt;"),2)</f>
        <v>30.02</v>
      </c>
      <c r="AE24" s="7">
        <f t="array" ref="AE24">XLOOKUP(B24, 'Surfer Stats - Event 2'!B:B, 'Surfer Stats - Event 2'!AG:AG)</f>
        <v>20</v>
      </c>
      <c r="AF24" s="10">
        <v>92.67</v>
      </c>
    </row>
    <row r="25">
      <c r="A25" s="64">
        <v>1.0</v>
      </c>
      <c r="B25" s="66" t="s">
        <v>36</v>
      </c>
      <c r="D25" s="3" t="str">
        <f>VLOOKUP(B25, 'Surfer Stats - Event 2'!$B$1:$AJ$37, 3, FALSE)</f>
        <v>Regular</v>
      </c>
      <c r="F25" s="10">
        <v>0.0</v>
      </c>
      <c r="H25" s="3">
        <f t="shared" si="1"/>
        <v>8</v>
      </c>
      <c r="I25" s="10">
        <v>0.0</v>
      </c>
      <c r="J25" s="3">
        <f>1/3</f>
        <v>0.3333333333</v>
      </c>
      <c r="K25" s="10">
        <v>0.0</v>
      </c>
      <c r="L25" s="10">
        <v>0.0</v>
      </c>
      <c r="M25" s="3">
        <f>VLOOKUP(B25, 'Surfer Stats - Event 2'!$B$1:$AJ$37, 12, FALSE)</f>
        <v>0</v>
      </c>
      <c r="N25" s="10">
        <v>99.0</v>
      </c>
      <c r="O25" s="10">
        <v>13.0</v>
      </c>
      <c r="P25" s="10">
        <v>99.0</v>
      </c>
      <c r="Q25" s="10">
        <v>0.0</v>
      </c>
      <c r="R25" s="3">
        <f t="shared" ref="R25:R31" si="23">ROUND(SUM(T25,W25,Z25)/H25,2)</f>
        <v>11.69</v>
      </c>
      <c r="S25" s="10">
        <v>12.06</v>
      </c>
      <c r="T25" s="3">
        <f t="shared" si="20"/>
        <v>24.12</v>
      </c>
      <c r="U25" s="10">
        <v>2.0</v>
      </c>
      <c r="V25" s="10">
        <v>12.37</v>
      </c>
      <c r="W25" s="3">
        <f t="shared" si="21"/>
        <v>37.11</v>
      </c>
      <c r="X25" s="10">
        <v>3.0</v>
      </c>
      <c r="Y25" s="3">
        <f t="shared" ref="Y25:Y29" si="24">ROUND(Z25/AA25,2)</f>
        <v>10.76</v>
      </c>
      <c r="Z25" s="10">
        <v>32.27</v>
      </c>
      <c r="AA25" s="10">
        <v>3.0</v>
      </c>
      <c r="AB25" s="10">
        <v>13.2</v>
      </c>
      <c r="AC25" s="75">
        <f>500+1750</f>
        <v>2250</v>
      </c>
      <c r="AD25" s="7">
        <f t="array" ref="AD25">ROUND(AVERAGEIF({
    IFERROR(XLOOKUP(B25, 'Surfer Stats - Event 1 proper'!B:B, 'Surfer Stats - Event 1 proper'!AL:AL), ""),
    IFERROR(XLOOKUP(B25, 'Surfer Stats - Event 2'!B:B, 'Surfer Stats - Event 2'!AG:AG), "")
}, "&lt;&gt;"),2)</f>
        <v>23.77</v>
      </c>
      <c r="AE25" s="7">
        <f t="array" ref="AE25">XLOOKUP(B25, 'Surfer Stats - Event 2'!B:B, 'Surfer Stats - Event 2'!AG:AG)</f>
        <v>10.37</v>
      </c>
      <c r="AF25" s="10">
        <v>25.77</v>
      </c>
    </row>
    <row r="26">
      <c r="A26" s="78">
        <v>1.0</v>
      </c>
      <c r="B26" s="85" t="s">
        <v>41</v>
      </c>
      <c r="D26" s="3" t="str">
        <f>VLOOKUP(B26, 'Surfer Stats - Event 2'!$B$1:$AJ$37, 3, FALSE)</f>
        <v>Regular</v>
      </c>
      <c r="F26" s="10">
        <v>1.0</v>
      </c>
      <c r="H26" s="3">
        <f t="shared" si="1"/>
        <v>20</v>
      </c>
      <c r="I26" s="10">
        <v>0.75</v>
      </c>
      <c r="J26" s="3">
        <f>4/6</f>
        <v>0.6666666667</v>
      </c>
      <c r="K26" s="10">
        <v>0.0</v>
      </c>
      <c r="L26" s="10">
        <v>1.0</v>
      </c>
      <c r="M26" s="3">
        <f>VLOOKUP(B26, 'Surfer Stats - Event 2'!$B$1:$AJ$37, 12, FALSE)</f>
        <v>1</v>
      </c>
      <c r="N26" s="10">
        <v>1.0</v>
      </c>
      <c r="O26" s="10">
        <v>3.0</v>
      </c>
      <c r="P26" s="10">
        <v>1.0</v>
      </c>
      <c r="Q26" s="10">
        <v>10.0</v>
      </c>
      <c r="R26" s="3">
        <f t="shared" si="23"/>
        <v>15.4</v>
      </c>
      <c r="S26" s="3">
        <f t="shared" ref="S26:S27" si="25">ROUND(T26/U26,2)</f>
        <v>15.94</v>
      </c>
      <c r="T26" s="10">
        <v>95.63</v>
      </c>
      <c r="U26" s="10">
        <v>6.0</v>
      </c>
      <c r="V26" s="3">
        <f t="shared" ref="V26:V27" si="26">ROUND(W26/X26,2)</f>
        <v>14.76</v>
      </c>
      <c r="W26" s="10">
        <v>118.11</v>
      </c>
      <c r="X26" s="10">
        <v>8.0</v>
      </c>
      <c r="Y26" s="3">
        <f t="shared" si="24"/>
        <v>15.71</v>
      </c>
      <c r="Z26" s="10">
        <v>94.27</v>
      </c>
      <c r="AA26" s="10">
        <v>6.0</v>
      </c>
      <c r="AB26" s="10">
        <v>18.2</v>
      </c>
      <c r="AC26" s="75">
        <f>1750+500</f>
        <v>2250</v>
      </c>
      <c r="AD26" s="7">
        <f t="array" ref="AD26">ROUND(AVERAGEIF({
    IFERROR(XLOOKUP(B26, 'Surfer Stats - Event 1 proper'!B:B, 'Surfer Stats - Event 1 proper'!AL:AL), ""),
    IFERROR(XLOOKUP(B26, 'Surfer Stats - Event 2'!B:B, 'Surfer Stats - Event 2'!AG:AG), "")
}, "&lt;&gt;"),2)</f>
        <v>23.85</v>
      </c>
      <c r="AE26" s="7">
        <f t="array" ref="AE26">XLOOKUP(B26, 'Surfer Stats - Event 2'!B:B, 'Surfer Stats - Event 2'!AG:AG)</f>
        <v>19.43</v>
      </c>
      <c r="AF26" s="10">
        <v>97.36</v>
      </c>
    </row>
    <row r="27">
      <c r="A27" s="64">
        <v>1.0</v>
      </c>
      <c r="B27" s="66" t="s">
        <v>35</v>
      </c>
      <c r="D27" s="3" t="str">
        <f>VLOOKUP(B27, 'Surfer Stats - Event 2'!$B$1:$AJ$37, 3, FALSE)</f>
        <v>Goofy</v>
      </c>
      <c r="F27" s="10">
        <v>0.0</v>
      </c>
      <c r="H27" s="3">
        <f t="shared" si="1"/>
        <v>9</v>
      </c>
      <c r="I27" s="10">
        <v>0.4</v>
      </c>
      <c r="J27" s="10">
        <v>0.0</v>
      </c>
      <c r="K27" s="10">
        <v>0.0</v>
      </c>
      <c r="L27" s="10">
        <v>0.0</v>
      </c>
      <c r="M27" s="3">
        <f>VLOOKUP(B27, 'Surfer Stats - Event 2'!$B$1:$AJ$37, 12, FALSE)</f>
        <v>0</v>
      </c>
      <c r="N27" s="10">
        <v>25.0</v>
      </c>
      <c r="O27" s="10">
        <v>25.0</v>
      </c>
      <c r="P27" s="10">
        <v>9.0</v>
      </c>
      <c r="Q27" s="10">
        <v>0.0</v>
      </c>
      <c r="R27" s="3">
        <f t="shared" si="23"/>
        <v>11.3</v>
      </c>
      <c r="S27" s="3">
        <f t="shared" si="25"/>
        <v>8.56</v>
      </c>
      <c r="T27" s="10">
        <v>17.11</v>
      </c>
      <c r="U27" s="10">
        <v>2.0</v>
      </c>
      <c r="V27" s="3">
        <f t="shared" si="26"/>
        <v>12.27</v>
      </c>
      <c r="W27" s="10">
        <v>61.33</v>
      </c>
      <c r="X27" s="10">
        <v>5.0</v>
      </c>
      <c r="Y27" s="3">
        <f t="shared" si="24"/>
        <v>11.65</v>
      </c>
      <c r="Z27" s="10">
        <v>23.3</v>
      </c>
      <c r="AA27" s="10">
        <v>2.0</v>
      </c>
      <c r="AB27" s="10">
        <v>14.2</v>
      </c>
      <c r="AC27" s="75">
        <f>500+1750</f>
        <v>2250</v>
      </c>
      <c r="AD27" s="7">
        <f t="array" ref="AD27">ROUND(AVERAGEIF({
    IFERROR(XLOOKUP(B27, 'Surfer Stats - Event 1 proper'!B:B, 'Surfer Stats - Event 1 proper'!AL:AL), ""),
    IFERROR(XLOOKUP(B27, 'Surfer Stats - Event 2'!B:B, 'Surfer Stats - Event 2'!AG:AG), "")
}, "&lt;&gt;"),2)</f>
        <v>19.97</v>
      </c>
      <c r="AE27" s="7">
        <f t="array" ref="AE27">XLOOKUP(B27, 'Surfer Stats - Event 2'!B:B, 'Surfer Stats - Event 2'!AG:AG)</f>
        <v>15.64</v>
      </c>
      <c r="AF27" s="10">
        <v>18.03</v>
      </c>
    </row>
    <row r="28">
      <c r="A28" s="51">
        <v>1.0</v>
      </c>
      <c r="B28" s="66" t="s">
        <v>53</v>
      </c>
      <c r="D28" s="3" t="str">
        <f>VLOOKUP(B28, 'Surfer Stats - Event 2'!$B$1:$AJ$37, 3, FALSE)</f>
        <v>Regular</v>
      </c>
      <c r="F28" s="10">
        <v>0.0</v>
      </c>
      <c r="H28" s="3">
        <f t="shared" si="1"/>
        <v>7</v>
      </c>
      <c r="I28" s="10">
        <v>0.0</v>
      </c>
      <c r="J28" s="10">
        <v>0.5</v>
      </c>
      <c r="K28" s="10">
        <v>0.0</v>
      </c>
      <c r="L28" s="10">
        <v>0.0</v>
      </c>
      <c r="M28" s="3">
        <f>VLOOKUP(B28, 'Surfer Stats - Event 2'!$B$1:$AJ$37, 12, FALSE)</f>
        <v>0</v>
      </c>
      <c r="N28" s="10">
        <v>99.0</v>
      </c>
      <c r="O28" s="10">
        <v>13.0</v>
      </c>
      <c r="P28" s="10">
        <v>99.0</v>
      </c>
      <c r="Q28" s="10">
        <v>0.0</v>
      </c>
      <c r="R28" s="3">
        <f t="shared" si="23"/>
        <v>11.95</v>
      </c>
      <c r="S28" s="10">
        <v>12.06</v>
      </c>
      <c r="T28" s="3">
        <f>S28*U28</f>
        <v>24.12</v>
      </c>
      <c r="U28" s="10">
        <v>2.0</v>
      </c>
      <c r="V28" s="10">
        <v>12.37</v>
      </c>
      <c r="W28" s="3">
        <f>V28*X28</f>
        <v>37.11</v>
      </c>
      <c r="X28" s="10">
        <v>3.0</v>
      </c>
      <c r="Y28" s="3">
        <f t="shared" si="24"/>
        <v>11.21</v>
      </c>
      <c r="Z28" s="10">
        <v>22.41</v>
      </c>
      <c r="AA28" s="10">
        <v>2.0</v>
      </c>
      <c r="AB28" s="10">
        <v>14.04</v>
      </c>
      <c r="AC28" s="75">
        <f t="shared" ref="AC28:AC29" si="27">1750+500</f>
        <v>2250</v>
      </c>
      <c r="AD28" s="7">
        <f t="array" ref="AD28">ROUND(AVERAGEIF({
    IFERROR(XLOOKUP(B28, 'Surfer Stats - Event 1 proper'!B:B, 'Surfer Stats - Event 1 proper'!AL:AL), ""),
    IFERROR(XLOOKUP(B28, 'Surfer Stats - Event 2'!B:B, 'Surfer Stats - Event 2'!AG:AG), "")
}, "&lt;&gt;"),2)</f>
        <v>21.07</v>
      </c>
      <c r="AE28" s="7">
        <f t="array" ref="AE28">XLOOKUP(B28, 'Surfer Stats - Event 2'!B:B, 'Surfer Stats - Event 2'!AG:AG)</f>
        <v>25.37</v>
      </c>
      <c r="AF28" s="10">
        <v>30.23</v>
      </c>
    </row>
    <row r="29">
      <c r="A29" s="78">
        <v>1.0</v>
      </c>
      <c r="B29" s="66" t="s">
        <v>56</v>
      </c>
      <c r="D29" s="10" t="s">
        <v>247</v>
      </c>
      <c r="F29" s="10">
        <f>1/3</f>
        <v>0.3333333333</v>
      </c>
      <c r="H29" s="3">
        <f t="shared" si="1"/>
        <v>14</v>
      </c>
      <c r="I29" s="3">
        <f>4/6</f>
        <v>0.6666666667</v>
      </c>
      <c r="J29" s="10">
        <v>0.6</v>
      </c>
      <c r="K29" s="10">
        <v>0.0</v>
      </c>
      <c r="L29" s="10">
        <v>0.0</v>
      </c>
      <c r="M29" s="10" t="s">
        <v>214</v>
      </c>
      <c r="N29" s="10">
        <v>13.0</v>
      </c>
      <c r="O29" s="10">
        <v>13.0</v>
      </c>
      <c r="P29" s="10">
        <v>3.0</v>
      </c>
      <c r="Q29" s="10">
        <v>1.0</v>
      </c>
      <c r="R29" s="3">
        <f t="shared" si="23"/>
        <v>13.31</v>
      </c>
      <c r="S29" s="3">
        <f t="shared" ref="S29:S31" si="28">ROUND(T29/U29,2)</f>
        <v>12.29</v>
      </c>
      <c r="T29" s="10">
        <v>36.87</v>
      </c>
      <c r="U29" s="10">
        <v>3.0</v>
      </c>
      <c r="V29" s="3">
        <f t="shared" ref="V29:V31" si="29">ROUND(W29/X29,2)</f>
        <v>13.97</v>
      </c>
      <c r="W29" s="10">
        <v>83.82</v>
      </c>
      <c r="X29" s="10">
        <v>6.0</v>
      </c>
      <c r="Y29" s="3">
        <f t="shared" si="24"/>
        <v>13.14</v>
      </c>
      <c r="Z29" s="10">
        <v>65.69</v>
      </c>
      <c r="AA29" s="10">
        <v>5.0</v>
      </c>
      <c r="AB29" s="10">
        <v>16.83</v>
      </c>
      <c r="AC29" s="75">
        <f t="shared" si="27"/>
        <v>2250</v>
      </c>
      <c r="AD29" s="7">
        <f t="array" ref="AD29">ROUND(AVERAGEIF({
    IFERROR(XLOOKUP(B29, 'Surfer Stats - Event 1 proper'!B:B, 'Surfer Stats - Event 1 proper'!AL:AL), ""),
    IFERROR(XLOOKUP(B29, 'Surfer Stats - Event 2'!B:B, 'Surfer Stats - Event 2'!AG:AG), "")
}, "&lt;&gt;"),2)</f>
        <v>30.52</v>
      </c>
      <c r="AE29" s="86">
        <v>0.0</v>
      </c>
      <c r="AF29" s="10">
        <v>28.09</v>
      </c>
    </row>
    <row r="30">
      <c r="A30" s="78">
        <v>1.0</v>
      </c>
      <c r="B30" s="66" t="s">
        <v>59</v>
      </c>
      <c r="D30" s="3" t="str">
        <f>VLOOKUP(B30, 'Surfer Stats - Event 2'!$B$1:$AJ$37, 3, FALSE)</f>
        <v>Regular</v>
      </c>
      <c r="F30" s="10">
        <v>0.5</v>
      </c>
      <c r="H30" s="3">
        <f t="shared" si="1"/>
        <v>8</v>
      </c>
      <c r="I30" s="10">
        <v>0.0</v>
      </c>
      <c r="J30" s="10">
        <v>0.0</v>
      </c>
      <c r="K30" s="10">
        <v>0.0</v>
      </c>
      <c r="L30" s="10">
        <v>1.0</v>
      </c>
      <c r="M30" s="3">
        <f>VLOOKUP(B30, 'Surfer Stats - Event 2'!$B$1:$AJ$37, 12, FALSE)</f>
        <v>1</v>
      </c>
      <c r="N30" s="10">
        <v>13.0</v>
      </c>
      <c r="O30" s="10">
        <v>99.0</v>
      </c>
      <c r="P30" s="10">
        <v>25.0</v>
      </c>
      <c r="Q30" s="10">
        <v>1.0</v>
      </c>
      <c r="R30" s="3">
        <f t="shared" si="23"/>
        <v>13.21</v>
      </c>
      <c r="S30" s="3">
        <f t="shared" si="28"/>
        <v>15.45</v>
      </c>
      <c r="T30" s="10">
        <v>30.9</v>
      </c>
      <c r="U30" s="10">
        <v>2.0</v>
      </c>
      <c r="V30" s="3">
        <f t="shared" si="29"/>
        <v>14.89</v>
      </c>
      <c r="W30" s="10">
        <v>29.77</v>
      </c>
      <c r="X30" s="10">
        <v>2.0</v>
      </c>
      <c r="Y30" s="3">
        <f>Z30/AA30</f>
        <v>11.25</v>
      </c>
      <c r="Z30" s="10">
        <v>45.0</v>
      </c>
      <c r="AA30" s="10">
        <v>4.0</v>
      </c>
      <c r="AB30" s="10">
        <v>16.0</v>
      </c>
      <c r="AC30" s="75">
        <f>500+1750</f>
        <v>2250</v>
      </c>
      <c r="AD30" s="7">
        <f t="array" ref="AD30">ROUND(AVERAGEIF({
    IFERROR(XLOOKUP(B30, 'Surfer Stats - Event 1 proper'!B:B, 'Surfer Stats - Event 1 proper'!AL:AL), ""),
    IFERROR(XLOOKUP(B30, 'Surfer Stats - Event 2'!B:B, 'Surfer Stats - Event 2'!AG:AG), "")
}, "&lt;&gt;"),2)</f>
        <v>29.5</v>
      </c>
      <c r="AE30" s="7">
        <f t="array" ref="AE30">XLOOKUP(B30, 'Surfer Stats - Event 2'!B:B, 'Surfer Stats - Event 2'!AG:AG)</f>
        <v>30.82</v>
      </c>
      <c r="AF30" s="10">
        <v>45.27</v>
      </c>
    </row>
    <row r="31">
      <c r="A31" s="78">
        <v>1.0</v>
      </c>
      <c r="B31" s="66" t="s">
        <v>47</v>
      </c>
      <c r="D31" s="3" t="str">
        <f>VLOOKUP(B31, 'Surfer Stats - Event 2'!$B$1:$AJ$37, 3, FALSE)</f>
        <v>Goofy</v>
      </c>
      <c r="F31" s="10">
        <v>0.0</v>
      </c>
      <c r="H31" s="3">
        <f t="shared" si="1"/>
        <v>7</v>
      </c>
      <c r="I31" s="10">
        <v>0.0</v>
      </c>
      <c r="J31" s="3">
        <f>1/3</f>
        <v>0.3333333333</v>
      </c>
      <c r="K31" s="10">
        <v>0.0</v>
      </c>
      <c r="L31" s="10">
        <v>1.0</v>
      </c>
      <c r="M31" s="3">
        <f>VLOOKUP(B31, 'Surfer Stats - Event 2'!$B$1:$AJ$37, 12, FALSE)</f>
        <v>1</v>
      </c>
      <c r="N31" s="10">
        <v>25.0</v>
      </c>
      <c r="O31" s="10">
        <v>13.0</v>
      </c>
      <c r="P31" s="10">
        <v>25.0</v>
      </c>
      <c r="Q31" s="10">
        <v>0.0</v>
      </c>
      <c r="R31" s="3">
        <f t="shared" si="23"/>
        <v>11.74</v>
      </c>
      <c r="S31" s="3">
        <f t="shared" si="28"/>
        <v>11.48</v>
      </c>
      <c r="T31" s="10">
        <v>22.96</v>
      </c>
      <c r="U31" s="10">
        <v>2.0</v>
      </c>
      <c r="V31" s="3">
        <f t="shared" si="29"/>
        <v>10.43</v>
      </c>
      <c r="W31" s="10">
        <v>20.86</v>
      </c>
      <c r="X31" s="10">
        <v>2.0</v>
      </c>
      <c r="Y31" s="3">
        <f>ROUND(Z31/AA31,2)</f>
        <v>12.79</v>
      </c>
      <c r="Z31" s="10">
        <v>38.36</v>
      </c>
      <c r="AA31" s="10">
        <v>3.0</v>
      </c>
      <c r="AB31" s="10">
        <v>14.23</v>
      </c>
      <c r="AC31" s="75">
        <f>1750+500</f>
        <v>2250</v>
      </c>
      <c r="AD31" s="7">
        <f t="array" ref="AD31">ROUND(AVERAGEIF({
    IFERROR(XLOOKUP(B31, 'Surfer Stats - Event 1 proper'!B:B, 'Surfer Stats - Event 1 proper'!AL:AL), ""),
    IFERROR(XLOOKUP(B31, 'Surfer Stats - Event 2'!B:B, 'Surfer Stats - Event 2'!AG:AG), "")
}, "&lt;&gt;"),2)</f>
        <v>31.79</v>
      </c>
      <c r="AE31" s="7">
        <f t="array" ref="AE31">XLOOKUP(B31, 'Surfer Stats - Event 2'!B:B, 'Surfer Stats - Event 2'!AG:AG)</f>
        <v>34.17</v>
      </c>
      <c r="AF31" s="10">
        <v>30.03</v>
      </c>
    </row>
    <row r="32">
      <c r="A32" s="64">
        <v>0.0</v>
      </c>
      <c r="B32" s="82" t="s">
        <v>46</v>
      </c>
      <c r="D32" s="10" t="s">
        <v>244</v>
      </c>
      <c r="F32" s="10">
        <v>0.0</v>
      </c>
      <c r="H32" s="3">
        <f t="shared" si="1"/>
        <v>9</v>
      </c>
      <c r="I32" s="10">
        <v>0.0</v>
      </c>
      <c r="J32" s="10">
        <v>0.0</v>
      </c>
      <c r="K32" s="10">
        <v>0.0</v>
      </c>
      <c r="L32" s="10">
        <v>1.0</v>
      </c>
      <c r="M32" s="10" t="s">
        <v>215</v>
      </c>
      <c r="N32" s="10">
        <v>99.0</v>
      </c>
      <c r="O32" s="10">
        <v>99.0</v>
      </c>
      <c r="P32" s="10">
        <v>99.0</v>
      </c>
      <c r="Q32" s="10">
        <v>0.0</v>
      </c>
      <c r="R32" s="10">
        <v>0.0</v>
      </c>
      <c r="S32" s="10">
        <v>12.06</v>
      </c>
      <c r="T32" s="3">
        <f t="shared" ref="T32:T33" si="30">S32*U32</f>
        <v>24.12</v>
      </c>
      <c r="U32" s="10">
        <v>2.0</v>
      </c>
      <c r="V32" s="10">
        <v>12.37</v>
      </c>
      <c r="W32" s="3">
        <f t="shared" ref="W32:W37" si="31">V32*X32</f>
        <v>37.11</v>
      </c>
      <c r="X32" s="10">
        <v>3.0</v>
      </c>
      <c r="Y32" s="3">
        <f t="shared" ref="Y32:Y37" si="32">Z32/AA32</f>
        <v>11.25</v>
      </c>
      <c r="Z32" s="10">
        <v>45.0</v>
      </c>
      <c r="AA32" s="10">
        <v>4.0</v>
      </c>
      <c r="AB32" s="10">
        <v>14.85</v>
      </c>
      <c r="AC32" s="83">
        <v>1750.0</v>
      </c>
      <c r="AD32" s="7">
        <f t="array" ref="AD32">ROUND(AVERAGEIF({
    IFERROR(XLOOKUP(B32, 'Surfer Stats - Event 1 proper'!B:B, 'Surfer Stats - Event 1 proper'!AL:AL), ""),
    IFERROR(XLOOKUP(B32, 'Surfer Stats - Event 2'!B:B, 'Surfer Stats - Event 2'!AG:AG), "")
}, "&lt;&gt;"),2)</f>
        <v>41.84</v>
      </c>
      <c r="AE32" s="86">
        <v>0.0</v>
      </c>
      <c r="AF32" s="10">
        <v>0.0</v>
      </c>
    </row>
    <row r="33">
      <c r="A33" s="64">
        <v>0.0</v>
      </c>
      <c r="B33" s="82" t="s">
        <v>142</v>
      </c>
      <c r="D33" s="3" t="str">
        <f>VLOOKUP(B33, 'Surfer Stats - Event 2'!$B$1:$AJ$37, 3, FALSE)</f>
        <v>Goofy</v>
      </c>
      <c r="F33" s="10">
        <v>0.0</v>
      </c>
      <c r="H33" s="3">
        <f t="shared" si="1"/>
        <v>9</v>
      </c>
      <c r="I33" s="10">
        <v>0.0</v>
      </c>
      <c r="J33" s="10">
        <v>0.0</v>
      </c>
      <c r="K33" s="10">
        <v>0.0</v>
      </c>
      <c r="L33" s="10">
        <v>0.0</v>
      </c>
      <c r="M33" s="3">
        <f>VLOOKUP(B33, 'Surfer Stats - Event 2'!$B$1:$AJ$37, 12, FALSE)</f>
        <v>0</v>
      </c>
      <c r="N33" s="10">
        <v>99.0</v>
      </c>
      <c r="O33" s="10">
        <v>99.0</v>
      </c>
      <c r="P33" s="10">
        <v>99.0</v>
      </c>
      <c r="Q33" s="10">
        <v>0.0</v>
      </c>
      <c r="R33" s="10">
        <v>0.0</v>
      </c>
      <c r="S33" s="10">
        <v>12.06</v>
      </c>
      <c r="T33" s="3">
        <f t="shared" si="30"/>
        <v>24.12</v>
      </c>
      <c r="U33" s="10">
        <v>2.0</v>
      </c>
      <c r="V33" s="10">
        <v>12.37</v>
      </c>
      <c r="W33" s="3">
        <f t="shared" si="31"/>
        <v>37.11</v>
      </c>
      <c r="X33" s="10">
        <v>3.0</v>
      </c>
      <c r="Y33" s="3">
        <f t="shared" si="32"/>
        <v>11.25</v>
      </c>
      <c r="Z33" s="10">
        <v>45.0</v>
      </c>
      <c r="AA33" s="10">
        <v>4.0</v>
      </c>
      <c r="AB33" s="10">
        <v>14.85</v>
      </c>
      <c r="AC33" s="78">
        <v>1750.0</v>
      </c>
      <c r="AD33" s="7">
        <f t="array" ref="AD33">ROUND(AVERAGEIF({
    IFERROR(XLOOKUP(B33, 'Surfer Stats - Event 1 proper'!B:B, 'Surfer Stats - Event 1 proper'!AL:AL), ""),
    IFERROR(XLOOKUP(B33, 'Surfer Stats - Event 2'!B:B, 'Surfer Stats - Event 2'!AG:AG), "")
}, "&lt;&gt;"),2)</f>
        <v>20.74</v>
      </c>
      <c r="AE33" s="7">
        <f t="array" ref="AE33">XLOOKUP(B33, 'Surfer Stats - Event 2'!B:B, 'Surfer Stats - Event 2'!AG:AG)</f>
        <v>20.74</v>
      </c>
      <c r="AF33" s="10">
        <v>0.0</v>
      </c>
    </row>
    <row r="34">
      <c r="A34" s="64">
        <v>0.0</v>
      </c>
      <c r="B34" s="82" t="s">
        <v>75</v>
      </c>
      <c r="D34" s="10" t="s">
        <v>247</v>
      </c>
      <c r="F34" s="10">
        <v>0.0</v>
      </c>
      <c r="H34" s="3">
        <f t="shared" si="1"/>
        <v>9</v>
      </c>
      <c r="I34" s="10">
        <v>0.0</v>
      </c>
      <c r="J34" s="10">
        <v>0.0</v>
      </c>
      <c r="K34" s="10">
        <v>0.0</v>
      </c>
      <c r="L34" s="10">
        <v>1.0</v>
      </c>
      <c r="M34" s="10" t="s">
        <v>215</v>
      </c>
      <c r="N34" s="10">
        <v>25.0</v>
      </c>
      <c r="O34" s="10">
        <v>99.0</v>
      </c>
      <c r="P34" s="10">
        <v>99.0</v>
      </c>
      <c r="Q34" s="10">
        <v>0.0</v>
      </c>
      <c r="R34" s="3">
        <f>ROUND(SUM(T34,W34,Z34)/H34,2)</f>
        <v>10.56</v>
      </c>
      <c r="S34" s="3">
        <f>ROUND(T34/U34,2)</f>
        <v>6.47</v>
      </c>
      <c r="T34" s="10">
        <v>12.93</v>
      </c>
      <c r="U34" s="10">
        <v>2.0</v>
      </c>
      <c r="V34" s="10">
        <v>12.37</v>
      </c>
      <c r="W34" s="3">
        <f t="shared" si="31"/>
        <v>37.11</v>
      </c>
      <c r="X34" s="10">
        <v>3.0</v>
      </c>
      <c r="Y34" s="3">
        <f t="shared" si="32"/>
        <v>11.25</v>
      </c>
      <c r="Z34" s="10">
        <v>45.0</v>
      </c>
      <c r="AA34" s="10">
        <v>4.0</v>
      </c>
      <c r="AB34" s="10">
        <v>7.93</v>
      </c>
      <c r="AC34" s="78">
        <v>1750.0</v>
      </c>
      <c r="AD34" s="86">
        <v>0.0</v>
      </c>
      <c r="AE34" s="86">
        <v>0.0</v>
      </c>
      <c r="AF34" s="10">
        <v>0.0</v>
      </c>
    </row>
    <row r="35">
      <c r="A35" s="64">
        <v>1.0</v>
      </c>
      <c r="B35" s="66" t="s">
        <v>65</v>
      </c>
      <c r="D35" s="3" t="str">
        <f>VLOOKUP(B35, 'Surfer Stats - Event 2'!$B$1:$AJ$37, 3, FALSE)</f>
        <v>Goofy</v>
      </c>
      <c r="F35" s="10">
        <v>0.0</v>
      </c>
      <c r="H35" s="3">
        <f t="shared" si="1"/>
        <v>9</v>
      </c>
      <c r="I35" s="10">
        <v>0.0</v>
      </c>
      <c r="J35" s="10">
        <v>0.0</v>
      </c>
      <c r="K35" s="10">
        <v>0.0</v>
      </c>
      <c r="L35" s="10">
        <v>0.0</v>
      </c>
      <c r="M35" s="3">
        <f>VLOOKUP(B35, 'Surfer Stats - Event 2'!$B$1:$AJ$37, 12, FALSE)</f>
        <v>0</v>
      </c>
      <c r="N35" s="10">
        <v>99.0</v>
      </c>
      <c r="O35" s="10">
        <v>99.0</v>
      </c>
      <c r="P35" s="10">
        <v>99.0</v>
      </c>
      <c r="Q35" s="10">
        <v>0.0</v>
      </c>
      <c r="R35" s="10">
        <v>0.0</v>
      </c>
      <c r="S35" s="10">
        <v>12.06</v>
      </c>
      <c r="T35" s="3">
        <f t="shared" ref="T35:T38" si="33">S35*U35</f>
        <v>24.12</v>
      </c>
      <c r="U35" s="10">
        <v>2.0</v>
      </c>
      <c r="V35" s="10">
        <v>12.37</v>
      </c>
      <c r="W35" s="3">
        <f t="shared" si="31"/>
        <v>37.11</v>
      </c>
      <c r="X35" s="10">
        <v>3.0</v>
      </c>
      <c r="Y35" s="3">
        <f t="shared" si="32"/>
        <v>11.25</v>
      </c>
      <c r="Z35" s="10">
        <v>45.0</v>
      </c>
      <c r="AA35" s="10">
        <v>4.0</v>
      </c>
      <c r="AB35" s="10">
        <v>14.85</v>
      </c>
      <c r="AC35" s="75">
        <f t="shared" ref="AC35:AC39" si="34">500+500</f>
        <v>1000</v>
      </c>
      <c r="AD35" s="7">
        <f t="array" ref="AD35">ROUND(AVERAGEIF({
    IFERROR(XLOOKUP(B35, 'Surfer Stats - Event 1 proper'!B:B, 'Surfer Stats - Event 1 proper'!AL:AL), ""),
    IFERROR(XLOOKUP(B35, 'Surfer Stats - Event 2'!B:B, 'Surfer Stats - Event 2'!AG:AG), "")
}, "&lt;&gt;"),2)</f>
        <v>21.73</v>
      </c>
      <c r="AE35" s="7">
        <f t="array" ref="AE35">XLOOKUP(B35, 'Surfer Stats - Event 2'!B:B, 'Surfer Stats - Event 2'!AG:AG)</f>
        <v>16.53</v>
      </c>
      <c r="AF35" s="10">
        <v>44.85</v>
      </c>
    </row>
    <row r="36">
      <c r="A36" s="64">
        <v>1.0</v>
      </c>
      <c r="B36" s="51" t="s">
        <v>66</v>
      </c>
      <c r="D36" s="3" t="str">
        <f>VLOOKUP(B36, 'Surfer Stats - Event 2'!$B$1:$AJ$37, 3, FALSE)</f>
        <v>Regular</v>
      </c>
      <c r="F36" s="10">
        <v>0.0</v>
      </c>
      <c r="H36" s="3">
        <f t="shared" si="1"/>
        <v>9</v>
      </c>
      <c r="I36" s="10">
        <v>0.0</v>
      </c>
      <c r="J36" s="10">
        <v>0.0</v>
      </c>
      <c r="K36" s="10">
        <v>0.0</v>
      </c>
      <c r="L36" s="10">
        <v>0.0</v>
      </c>
      <c r="M36" s="10" t="s">
        <v>221</v>
      </c>
      <c r="N36" s="10">
        <v>99.0</v>
      </c>
      <c r="O36" s="10">
        <v>99.0</v>
      </c>
      <c r="P36" s="10">
        <v>99.0</v>
      </c>
      <c r="Q36" s="10">
        <v>0.0</v>
      </c>
      <c r="R36" s="10">
        <v>0.0</v>
      </c>
      <c r="S36" s="10">
        <v>12.06</v>
      </c>
      <c r="T36" s="3">
        <f t="shared" si="33"/>
        <v>24.12</v>
      </c>
      <c r="U36" s="10">
        <v>2.0</v>
      </c>
      <c r="V36" s="10">
        <v>12.37</v>
      </c>
      <c r="W36" s="3">
        <f t="shared" si="31"/>
        <v>37.11</v>
      </c>
      <c r="X36" s="10">
        <v>3.0</v>
      </c>
      <c r="Y36" s="3">
        <f t="shared" si="32"/>
        <v>11.25</v>
      </c>
      <c r="Z36" s="10">
        <v>45.0</v>
      </c>
      <c r="AA36" s="10">
        <v>4.0</v>
      </c>
      <c r="AB36" s="10">
        <v>14.85</v>
      </c>
      <c r="AC36" s="75">
        <f t="shared" si="34"/>
        <v>1000</v>
      </c>
      <c r="AD36" s="7">
        <f t="array" ref="AD36">ROUND(AVERAGEIF({
    IFERROR(XLOOKUP(B36, 'Surfer Stats - Event 1 proper'!B:B, 'Surfer Stats - Event 1 proper'!AL:AL), ""),
    IFERROR(XLOOKUP(B36, 'Surfer Stats - Event 2'!B:B, 'Surfer Stats - Event 2'!AG:AG), "")
}, "&lt;&gt;"),2)</f>
        <v>19.8</v>
      </c>
      <c r="AE36" s="7">
        <f t="array" ref="AE36">XLOOKUP(B36, 'Surfer Stats - Event 2'!B:B, 'Surfer Stats - Event 2'!AG:AG)</f>
        <v>15.83</v>
      </c>
      <c r="AF36" s="10">
        <v>23.01</v>
      </c>
    </row>
    <row r="37">
      <c r="A37" s="64">
        <v>1.0</v>
      </c>
      <c r="B37" s="66" t="s">
        <v>63</v>
      </c>
      <c r="D37" s="3" t="str">
        <f>VLOOKUP(B37, 'Surfer Stats - Event 2'!$B$1:$AJ$37, 3, FALSE)</f>
        <v>Regular</v>
      </c>
      <c r="F37" s="10">
        <v>0.0</v>
      </c>
      <c r="H37" s="3">
        <f t="shared" si="1"/>
        <v>9</v>
      </c>
      <c r="I37" s="10">
        <v>0.0</v>
      </c>
      <c r="J37" s="10">
        <v>0.0</v>
      </c>
      <c r="K37" s="10">
        <v>0.0</v>
      </c>
      <c r="L37" s="10">
        <v>1.0</v>
      </c>
      <c r="M37" s="3">
        <f>VLOOKUP(B37, 'Surfer Stats - Event 2'!$B$1:$AJ$37, 12, FALSE)</f>
        <v>1</v>
      </c>
      <c r="N37" s="10">
        <v>99.0</v>
      </c>
      <c r="O37" s="10">
        <v>99.0</v>
      </c>
      <c r="P37" s="10">
        <v>99.0</v>
      </c>
      <c r="Q37" s="10">
        <v>0.0</v>
      </c>
      <c r="R37" s="10">
        <v>0.0</v>
      </c>
      <c r="S37" s="10">
        <v>12.06</v>
      </c>
      <c r="T37" s="3">
        <f t="shared" si="33"/>
        <v>24.12</v>
      </c>
      <c r="U37" s="10">
        <v>2.0</v>
      </c>
      <c r="V37" s="10">
        <v>12.37</v>
      </c>
      <c r="W37" s="3">
        <f t="shared" si="31"/>
        <v>37.11</v>
      </c>
      <c r="X37" s="10">
        <v>3.0</v>
      </c>
      <c r="Y37" s="3">
        <f t="shared" si="32"/>
        <v>11.25</v>
      </c>
      <c r="Z37" s="10">
        <v>45.0</v>
      </c>
      <c r="AA37" s="10">
        <v>4.0</v>
      </c>
      <c r="AB37" s="10">
        <v>14.85</v>
      </c>
      <c r="AC37" s="75">
        <f t="shared" si="34"/>
        <v>1000</v>
      </c>
      <c r="AD37" s="7">
        <f t="array" ref="AD37">ROUND(AVERAGEIF({
    IFERROR(XLOOKUP(B37, 'Surfer Stats - Event 1 proper'!B:B, 'Surfer Stats - Event 1 proper'!AL:AL), ""),
    IFERROR(XLOOKUP(B37, 'Surfer Stats - Event 2'!B:B, 'Surfer Stats - Event 2'!AG:AG), "")
}, "&lt;&gt;"),2)</f>
        <v>23.29</v>
      </c>
      <c r="AE37" s="7">
        <f t="array" ref="AE37">XLOOKUP(B37, 'Surfer Stats - Event 2'!B:B, 'Surfer Stats - Event 2'!AG:AG)</f>
        <v>17.94</v>
      </c>
      <c r="AF37" s="10">
        <v>26.89</v>
      </c>
    </row>
    <row r="38">
      <c r="A38" s="64">
        <v>1.0</v>
      </c>
      <c r="B38" s="66" t="s">
        <v>54</v>
      </c>
      <c r="D38" s="3" t="str">
        <f>VLOOKUP(B38, 'Surfer Stats - Event 2'!$B$1:$AJ$37, 3, FALSE)</f>
        <v>Goofy</v>
      </c>
      <c r="F38" s="10">
        <v>0.0</v>
      </c>
      <c r="H38" s="3">
        <f t="shared" si="1"/>
        <v>8</v>
      </c>
      <c r="I38" s="10">
        <v>0.0</v>
      </c>
      <c r="J38" s="10">
        <v>0.75</v>
      </c>
      <c r="K38" s="10">
        <v>0.0</v>
      </c>
      <c r="L38" s="10">
        <v>0.0</v>
      </c>
      <c r="M38" s="3">
        <f>VLOOKUP(B38, 'Surfer Stats - Event 2'!$B$1:$AJ$37, 12, FALSE)</f>
        <v>0</v>
      </c>
      <c r="N38" s="10">
        <v>99.0</v>
      </c>
      <c r="O38" s="10">
        <v>5.0</v>
      </c>
      <c r="P38" s="10">
        <v>25.0</v>
      </c>
      <c r="Q38" s="10">
        <v>0.0</v>
      </c>
      <c r="R38" s="3">
        <f t="shared" ref="R38:R39" si="35">ROUND(SUM(T38,W38,Z38)/H38,2)</f>
        <v>12.55</v>
      </c>
      <c r="S38" s="10">
        <v>12.06</v>
      </c>
      <c r="T38" s="3">
        <f t="shared" si="33"/>
        <v>24.12</v>
      </c>
      <c r="U38" s="10">
        <v>2.0</v>
      </c>
      <c r="V38" s="3">
        <f t="shared" ref="V38:V39" si="36">ROUND(W38/X38,2)</f>
        <v>11.79</v>
      </c>
      <c r="W38" s="10">
        <v>23.57</v>
      </c>
      <c r="X38" s="10">
        <v>2.0</v>
      </c>
      <c r="Y38" s="3">
        <f t="shared" ref="Y38:Y39" si="37">ROUND(Z38/AA38,2)</f>
        <v>13.19</v>
      </c>
      <c r="Z38" s="10">
        <v>52.74</v>
      </c>
      <c r="AA38" s="10">
        <v>4.0</v>
      </c>
      <c r="AB38" s="10">
        <v>15.73</v>
      </c>
      <c r="AC38" s="75">
        <f t="shared" si="34"/>
        <v>1000</v>
      </c>
      <c r="AD38" s="7">
        <f t="array" ref="AD38">ROUND(AVERAGEIF({
    IFERROR(XLOOKUP(B38, 'Surfer Stats - Event 1 proper'!B:B, 'Surfer Stats - Event 1 proper'!AL:AL), ""),
    IFERROR(XLOOKUP(B38, 'Surfer Stats - Event 2'!B:B, 'Surfer Stats - Event 2'!AG:AG), "")
}, "&lt;&gt;"),2)</f>
        <v>19.12</v>
      </c>
      <c r="AE38" s="7">
        <f t="array" ref="AE38">XLOOKUP(B38, 'Surfer Stats - Event 2'!B:B, 'Surfer Stats - Event 2'!AG:AG)</f>
        <v>14.24</v>
      </c>
      <c r="AF38" s="10">
        <v>77.13</v>
      </c>
    </row>
    <row r="39">
      <c r="A39" s="64">
        <v>1.0</v>
      </c>
      <c r="B39" s="66" t="s">
        <v>45</v>
      </c>
      <c r="D39" s="3" t="str">
        <f>VLOOKUP(B39, 'Surfer Stats - Event 2'!$B$1:$AJ$37, 3, FALSE)</f>
        <v>Regular</v>
      </c>
      <c r="F39" s="3">
        <f>1/3</f>
        <v>0.3333333333</v>
      </c>
      <c r="H39" s="3">
        <f t="shared" si="1"/>
        <v>11</v>
      </c>
      <c r="I39" s="3">
        <f>4/6</f>
        <v>0.6666666667</v>
      </c>
      <c r="J39" s="10">
        <v>0.0</v>
      </c>
      <c r="K39" s="10">
        <v>0.0</v>
      </c>
      <c r="L39" s="10">
        <v>0.0</v>
      </c>
      <c r="M39" s="3">
        <f>VLOOKUP(B39, 'Surfer Stats - Event 2'!$B$1:$AJ$37, 12, FALSE)</f>
        <v>0</v>
      </c>
      <c r="N39" s="10">
        <v>13.0</v>
      </c>
      <c r="O39" s="10">
        <v>25.0</v>
      </c>
      <c r="P39" s="10">
        <v>3.0</v>
      </c>
      <c r="Q39" s="10">
        <v>0.0</v>
      </c>
      <c r="R39" s="3">
        <f t="shared" si="35"/>
        <v>11.35</v>
      </c>
      <c r="S39" s="3">
        <f>ROUND(T39/U39,2)</f>
        <v>9.2</v>
      </c>
      <c r="T39" s="10">
        <v>27.6</v>
      </c>
      <c r="U39" s="10">
        <v>3.0</v>
      </c>
      <c r="V39" s="3">
        <f t="shared" si="36"/>
        <v>12.57</v>
      </c>
      <c r="W39" s="10">
        <v>75.43</v>
      </c>
      <c r="X39" s="10">
        <v>6.0</v>
      </c>
      <c r="Y39" s="3">
        <f t="shared" si="37"/>
        <v>10.91</v>
      </c>
      <c r="Z39" s="10">
        <v>21.81</v>
      </c>
      <c r="AA39" s="10">
        <v>2.0</v>
      </c>
      <c r="AB39" s="10">
        <v>14.93</v>
      </c>
      <c r="AC39" s="75">
        <f t="shared" si="34"/>
        <v>1000</v>
      </c>
      <c r="AD39" s="7">
        <f t="array" ref="AD39">ROUND(AVERAGEIF({
    IFERROR(XLOOKUP(B39, 'Surfer Stats - Event 1 proper'!B:B, 'Surfer Stats - Event 1 proper'!AL:AL), ""),
    IFERROR(XLOOKUP(B39, 'Surfer Stats - Event 2'!B:B, 'Surfer Stats - Event 2'!AG:AG), "")
}, "&lt;&gt;"),2)</f>
        <v>16.39</v>
      </c>
      <c r="AE39" s="7">
        <f t="array" ref="AE39">XLOOKUP(B39, 'Surfer Stats - Event 2'!B:B, 'Surfer Stats - Event 2'!AG:AG)</f>
        <v>11.34</v>
      </c>
      <c r="AF39" s="10">
        <v>26.9</v>
      </c>
    </row>
    <row r="40">
      <c r="A40" s="64">
        <v>1.0</v>
      </c>
      <c r="B40" s="87" t="s">
        <v>144</v>
      </c>
      <c r="D40" s="10" t="s">
        <v>244</v>
      </c>
      <c r="F40" s="10">
        <v>0.0</v>
      </c>
      <c r="H40" s="3">
        <f t="shared" si="1"/>
        <v>9</v>
      </c>
      <c r="I40" s="10">
        <v>0.0</v>
      </c>
      <c r="J40" s="10">
        <v>0.0</v>
      </c>
      <c r="K40" s="10">
        <v>0.0</v>
      </c>
      <c r="L40" s="10">
        <v>1.0</v>
      </c>
      <c r="M40" s="10" t="s">
        <v>215</v>
      </c>
      <c r="N40" s="10">
        <v>99.0</v>
      </c>
      <c r="O40" s="10">
        <v>99.0</v>
      </c>
      <c r="P40" s="10">
        <v>99.0</v>
      </c>
      <c r="Q40" s="10">
        <v>0.0</v>
      </c>
      <c r="R40" s="10">
        <v>0.0</v>
      </c>
      <c r="S40" s="10">
        <v>12.06</v>
      </c>
      <c r="T40" s="3">
        <f t="shared" ref="T40:T41" si="38">S40*U40</f>
        <v>24.12</v>
      </c>
      <c r="U40" s="10">
        <v>2.0</v>
      </c>
      <c r="V40" s="10">
        <v>12.37</v>
      </c>
      <c r="W40" s="3">
        <f t="shared" ref="W40:W41" si="39">V40*X40</f>
        <v>37.11</v>
      </c>
      <c r="X40" s="10">
        <v>3.0</v>
      </c>
      <c r="Y40" s="3">
        <f t="shared" ref="Y40:Y41" si="40">Z40/AA40</f>
        <v>11.25</v>
      </c>
      <c r="Z40" s="10">
        <v>45.0</v>
      </c>
      <c r="AA40" s="10">
        <v>4.0</v>
      </c>
      <c r="AB40" s="10">
        <v>14.85</v>
      </c>
      <c r="AC40" s="10">
        <v>0.0</v>
      </c>
      <c r="AD40" s="86">
        <v>0.0</v>
      </c>
      <c r="AE40" s="86">
        <v>0.0</v>
      </c>
      <c r="AF40" s="10">
        <v>20.07</v>
      </c>
    </row>
    <row r="41">
      <c r="A41" s="64">
        <v>1.0</v>
      </c>
      <c r="B41" s="87" t="s">
        <v>143</v>
      </c>
      <c r="D41" s="10" t="s">
        <v>244</v>
      </c>
      <c r="F41" s="10">
        <v>0.0</v>
      </c>
      <c r="H41" s="3">
        <f t="shared" si="1"/>
        <v>9</v>
      </c>
      <c r="I41" s="10">
        <v>0.0</v>
      </c>
      <c r="J41" s="10">
        <v>0.0</v>
      </c>
      <c r="K41" s="10">
        <v>0.0</v>
      </c>
      <c r="L41" s="10">
        <v>0.0</v>
      </c>
      <c r="M41" s="10" t="s">
        <v>213</v>
      </c>
      <c r="N41" s="10">
        <v>99.0</v>
      </c>
      <c r="O41" s="10">
        <v>99.0</v>
      </c>
      <c r="P41" s="10">
        <v>99.0</v>
      </c>
      <c r="Q41" s="10">
        <v>0.0</v>
      </c>
      <c r="R41" s="10">
        <v>0.0</v>
      </c>
      <c r="S41" s="10">
        <v>12.06</v>
      </c>
      <c r="T41" s="3">
        <f t="shared" si="38"/>
        <v>24.12</v>
      </c>
      <c r="U41" s="10">
        <v>2.0</v>
      </c>
      <c r="V41" s="10">
        <v>12.37</v>
      </c>
      <c r="W41" s="3">
        <f t="shared" si="39"/>
        <v>37.11</v>
      </c>
      <c r="X41" s="10">
        <v>3.0</v>
      </c>
      <c r="Y41" s="3">
        <f t="shared" si="40"/>
        <v>11.25</v>
      </c>
      <c r="Z41" s="10">
        <v>45.0</v>
      </c>
      <c r="AA41" s="10">
        <v>4.0</v>
      </c>
      <c r="AB41" s="10">
        <v>14.85</v>
      </c>
      <c r="AC41" s="10">
        <v>0.0</v>
      </c>
      <c r="AD41" s="86">
        <v>0.0</v>
      </c>
      <c r="AE41" s="86">
        <v>0.0</v>
      </c>
      <c r="AF41" s="10">
        <v>19.03</v>
      </c>
    </row>
    <row r="42">
      <c r="A42" s="74"/>
    </row>
    <row r="43">
      <c r="A43" s="78"/>
      <c r="B43" s="62" t="s">
        <v>25</v>
      </c>
      <c r="D43" s="3">
        <f t="shared" ref="D43:D45" si="41">ROUND(E43/F43,2)</f>
        <v>12.44</v>
      </c>
      <c r="E43" s="10">
        <v>37.31</v>
      </c>
      <c r="F43" s="10">
        <v>3.0</v>
      </c>
      <c r="S43" s="75">
        <f t="shared" ref="S43:S48" si="42">IF(T43=0,0,ROUND(T43/U43,2))</f>
        <v>0</v>
      </c>
      <c r="T43" s="75">
        <f>SUMIFS( '2014Data'!I:I, '2014Data'!F:F, B43,'2014Data'!B:B, "2" )</f>
        <v>0</v>
      </c>
      <c r="U43" s="75">
        <f>COUNTIFS('2014Data'!N:N, J43,'2014Data'!J:J, "6" )</f>
        <v>0</v>
      </c>
      <c r="V43" s="75">
        <f t="shared" ref="V43:V48" si="43">IF(W43=0,0,ROUND(W43/X43,2))</f>
        <v>14.14</v>
      </c>
      <c r="W43" s="75">
        <f>SUMIFS( historical_events_FACT!J:J, historical_events_FACT!G:G, B43,historical_events_FACT!B:B, "2015",historical_events_FACT!C:C, "2" )</f>
        <v>42.43</v>
      </c>
      <c r="X43" s="75">
        <f>COUNTIFS(historical_events_FACT!G:G, B43,historical_events_FACT!B:B, "2015",historical_events_FACT!C:C, "2" )</f>
        <v>3</v>
      </c>
      <c r="Y43" s="75">
        <f t="shared" ref="Y43:Y48" si="44">IF(AA43=0,0,ROUND(Z43/AA43,2))</f>
        <v>13</v>
      </c>
      <c r="Z43" s="75">
        <f>SUMIFS( historical_events_FACT!J:J, historical_events_FACT!G:G, B43,historical_events_FACT!B:B, "2016",historical_events_FACT!C:C, "2" )</f>
        <v>26</v>
      </c>
      <c r="AA43" s="3">
        <f>COUNTIFS(historical_events_FACT!G:G, B43,historical_events_FACT!B:B, "2016",historical_events_FACT!C:C, "2" )</f>
        <v>2</v>
      </c>
      <c r="AB43" s="75">
        <f>MAXIFS( historical_events_FACT!J:J, historical_events_FACT!G:G, B43,historical_events_FACT!C:C, "2" )</f>
        <v>14.66</v>
      </c>
    </row>
    <row r="44">
      <c r="A44" s="78"/>
      <c r="B44" s="62" t="s">
        <v>149</v>
      </c>
      <c r="D44" s="3">
        <f t="shared" si="41"/>
        <v>12.25</v>
      </c>
      <c r="E44" s="10">
        <v>24.5</v>
      </c>
      <c r="F44" s="10">
        <v>2.0</v>
      </c>
      <c r="S44" s="75">
        <f t="shared" si="42"/>
        <v>0</v>
      </c>
      <c r="T44" s="75">
        <f>SUMIFS( '2014Data'!I:I, '2014Data'!F:F, B44,'2014Data'!B:B, "2" )</f>
        <v>0</v>
      </c>
      <c r="U44" s="75">
        <f>COUNTIFS('2014Data'!N:N, J44,'2014Data'!J:J, "6" )</f>
        <v>0</v>
      </c>
      <c r="V44" s="75">
        <f t="shared" si="43"/>
        <v>0</v>
      </c>
      <c r="W44" s="75">
        <f>SUMIFS( historical_events_FACT!J:J, historical_events_FACT!G:G, B44,historical_events_FACT!B:B, "2015",historical_events_FACT!C:C, "2" )</f>
        <v>0</v>
      </c>
      <c r="X44" s="75">
        <f>COUNTIFS(historical_events_FACT!G:G, B44,historical_events_FACT!B:B, "2015",historical_events_FACT!C:C, "2" )</f>
        <v>0</v>
      </c>
      <c r="Y44" s="75">
        <f t="shared" si="44"/>
        <v>0</v>
      </c>
      <c r="Z44" s="75">
        <f>SUMIFS( historical_events_FACT!J:J, historical_events_FACT!G:G, B44,historical_events_FACT!B:B, "2016",historical_events_FACT!C:C, "2" )</f>
        <v>0</v>
      </c>
      <c r="AA44" s="3">
        <f>COUNTIFS(historical_events_FACT!G:G, B44,historical_events_FACT!B:B, "2016",historical_events_FACT!C:C, "2" )</f>
        <v>0</v>
      </c>
      <c r="AB44" s="75">
        <f>MAXIFS( historical_events_FACT!J:J, historical_events_FACT!G:G, B44,historical_events_FACT!C:C, "2" )</f>
        <v>0</v>
      </c>
    </row>
    <row r="45">
      <c r="A45" s="78"/>
      <c r="B45" s="62" t="s">
        <v>17</v>
      </c>
      <c r="D45" s="3">
        <f t="shared" si="41"/>
        <v>11.5</v>
      </c>
      <c r="E45" s="10">
        <v>23.0</v>
      </c>
      <c r="F45" s="10">
        <v>2.0</v>
      </c>
      <c r="S45" s="75">
        <f t="shared" si="42"/>
        <v>0</v>
      </c>
      <c r="T45" s="75">
        <f>SUMIFS( '2014Data'!I:I, '2014Data'!F:F, B45,'2014Data'!B:B, "2" )</f>
        <v>0</v>
      </c>
      <c r="U45" s="75">
        <f>COUNTIFS('2014Data'!N:N, J45,'2014Data'!J:J, "6" )</f>
        <v>0</v>
      </c>
      <c r="V45" s="75">
        <f t="shared" si="43"/>
        <v>11.29</v>
      </c>
      <c r="W45" s="75">
        <f>SUMIFS( historical_events_FACT!J:J, historical_events_FACT!G:G, B45,historical_events_FACT!B:B, "2015",historical_events_FACT!C:C, "2" )</f>
        <v>22.57</v>
      </c>
      <c r="X45" s="75">
        <f>COUNTIFS(historical_events_FACT!G:G, B45,historical_events_FACT!B:B, "2015",historical_events_FACT!C:C, "2" )</f>
        <v>2</v>
      </c>
      <c r="Y45" s="75">
        <f t="shared" si="44"/>
        <v>14.1</v>
      </c>
      <c r="Z45" s="75">
        <f>SUMIFS( historical_events_FACT!J:J, historical_events_FACT!G:G, B45,historical_events_FACT!B:B, "2016",historical_events_FACT!C:C, "2" )</f>
        <v>84.59</v>
      </c>
      <c r="AA45" s="3">
        <f>COUNTIFS(historical_events_FACT!G:G, B45,historical_events_FACT!B:B, "2016",historical_events_FACT!C:C, "2" )</f>
        <v>6</v>
      </c>
      <c r="AB45" s="75">
        <f>MAXIFS( historical_events_FACT!J:J, historical_events_FACT!G:G, B45,historical_events_FACT!C:C, "2" )</f>
        <v>17</v>
      </c>
    </row>
    <row r="46">
      <c r="A46" s="78"/>
      <c r="B46" s="62" t="s">
        <v>54</v>
      </c>
      <c r="S46" s="75">
        <f t="shared" si="42"/>
        <v>0</v>
      </c>
      <c r="T46" s="75">
        <f>SUMIFS( '2014Data'!I:I, '2014Data'!F:F, B46,'2014Data'!B:B, "2" )</f>
        <v>0</v>
      </c>
      <c r="U46" s="75">
        <f>COUNTIFS('2014Data'!N:N, J46,'2014Data'!J:J, "6" )</f>
        <v>0</v>
      </c>
      <c r="V46" s="75">
        <f t="shared" si="43"/>
        <v>11.79</v>
      </c>
      <c r="W46" s="75">
        <f>SUMIFS( historical_events_FACT!J:J, historical_events_FACT!G:G, B46,historical_events_FACT!B:B, "2015",historical_events_FACT!C:C, "2" )</f>
        <v>23.57</v>
      </c>
      <c r="X46" s="75">
        <f>COUNTIFS(historical_events_FACT!G:G, B46,historical_events_FACT!B:B, "2015",historical_events_FACT!C:C, "2" )</f>
        <v>2</v>
      </c>
      <c r="Y46" s="75">
        <f t="shared" si="44"/>
        <v>13.19</v>
      </c>
      <c r="Z46" s="75">
        <f>SUMIFS( historical_events_FACT!J:J, historical_events_FACT!G:G, B46,historical_events_FACT!B:B, "2016",historical_events_FACT!C:C, "2" )</f>
        <v>52.74</v>
      </c>
      <c r="AA46" s="3">
        <f>COUNTIFS(historical_events_FACT!G:G, B46,historical_events_FACT!B:B, "2016",historical_events_FACT!C:C, "2" )</f>
        <v>4</v>
      </c>
      <c r="AB46" s="75">
        <f>MAXIFS( historical_events_FACT!J:J, historical_events_FACT!G:G, B46,historical_events_FACT!C:C, "2" )</f>
        <v>15.37</v>
      </c>
    </row>
    <row r="47">
      <c r="A47" s="78"/>
      <c r="B47" s="62" t="s">
        <v>96</v>
      </c>
      <c r="D47" s="10">
        <v>12.06</v>
      </c>
      <c r="E47" s="3">
        <f>D47*F47</f>
        <v>24.12</v>
      </c>
      <c r="F47" s="10">
        <v>2.0</v>
      </c>
      <c r="S47" s="75">
        <f t="shared" si="42"/>
        <v>0</v>
      </c>
      <c r="T47" s="75">
        <f>SUMIFS( '2014Data'!I:I, '2014Data'!F:F, B47,'2014Data'!B:B, "2" )</f>
        <v>0</v>
      </c>
      <c r="U47" s="75">
        <f>COUNTIFS('2014Data'!N:N, J47,'2014Data'!J:J, "6" )</f>
        <v>0</v>
      </c>
      <c r="V47" s="75">
        <f t="shared" si="43"/>
        <v>11.5</v>
      </c>
      <c r="W47" s="75">
        <f>SUMIFS( historical_events_FACT!J:J, historical_events_FACT!G:G, B47,historical_events_FACT!B:B, "2015",historical_events_FACT!C:C, "2" )</f>
        <v>23</v>
      </c>
      <c r="X47" s="75">
        <f>COUNTIFS(historical_events_FACT!G:G, B47,historical_events_FACT!B:B, "2015",historical_events_FACT!C:C, "2" )</f>
        <v>2</v>
      </c>
      <c r="Y47" s="75">
        <f t="shared" si="44"/>
        <v>0</v>
      </c>
      <c r="Z47" s="75">
        <f>SUMIFS( historical_events_FACT!J:J, historical_events_FACT!G:G, B47,historical_events_FACT!B:B, "2016",historical_events_FACT!C:C, "2" )</f>
        <v>0</v>
      </c>
      <c r="AA47" s="3">
        <f>COUNTIFS(historical_events_FACT!G:G, B47,historical_events_FACT!B:B, "2016",historical_events_FACT!C:C, "2" )</f>
        <v>0</v>
      </c>
      <c r="AB47" s="75">
        <f>MAXIFS( historical_events_FACT!J:J, historical_events_FACT!G:G, B47,historical_events_FACT!C:C, "2" )</f>
        <v>15.27</v>
      </c>
    </row>
    <row r="48">
      <c r="A48" s="78"/>
      <c r="B48" s="62" t="s">
        <v>44</v>
      </c>
      <c r="S48" s="75">
        <f t="shared" si="42"/>
        <v>0</v>
      </c>
      <c r="T48" s="75">
        <f>SUMIFS( '2014Data'!I:I, '2014Data'!F:F, B48,'2014Data'!B:B, "2" )</f>
        <v>0</v>
      </c>
      <c r="U48" s="75">
        <f>COUNTIFS('2014Data'!N:N, J48,'2014Data'!J:J, "6" )</f>
        <v>0</v>
      </c>
      <c r="V48" s="75">
        <f t="shared" si="43"/>
        <v>13.14</v>
      </c>
      <c r="W48" s="75">
        <f>SUMIFS( historical_events_FACT!J:J, historical_events_FACT!G:G, B48,historical_events_FACT!B:B, "2015",historical_events_FACT!C:C, "2" )</f>
        <v>39.43</v>
      </c>
      <c r="X48" s="75">
        <f>COUNTIFS(historical_events_FACT!G:G, B48,historical_events_FACT!B:B, "2015",historical_events_FACT!C:C, "2" )</f>
        <v>3</v>
      </c>
      <c r="Y48" s="75">
        <f t="shared" si="44"/>
        <v>11.24</v>
      </c>
      <c r="Z48" s="75">
        <f>SUMIFS( historical_events_FACT!J:J, historical_events_FACT!G:G, B48,historical_events_FACT!B:B, "2016",historical_events_FACT!C:C, "2" )</f>
        <v>22.47</v>
      </c>
      <c r="AA48" s="3">
        <f>COUNTIFS(historical_events_FACT!G:G, B48,historical_events_FACT!B:B, "2016",historical_events_FACT!C:C, "2" )</f>
        <v>2</v>
      </c>
      <c r="AB48" s="75">
        <f>MAXIFS( historical_events_FACT!J:J, historical_events_FACT!G:G, B48,historical_events_FACT!C:C, "2" )</f>
        <v>14.6</v>
      </c>
    </row>
    <row r="49">
      <c r="A49" s="78"/>
      <c r="B49" s="62" t="s">
        <v>18</v>
      </c>
      <c r="S49" s="75"/>
      <c r="T49" s="75"/>
      <c r="U49" s="75"/>
      <c r="V49" s="75"/>
      <c r="W49" s="75"/>
      <c r="X49" s="75"/>
      <c r="Y49" s="75"/>
      <c r="Z49" s="75"/>
      <c r="AB49" s="75"/>
    </row>
    <row r="50">
      <c r="A50" s="78"/>
      <c r="V50" s="10">
        <v>12.37</v>
      </c>
      <c r="W50" s="3">
        <f>V50*X50</f>
        <v>37.11</v>
      </c>
      <c r="X50" s="10">
        <v>3.0</v>
      </c>
      <c r="Y50" s="3">
        <f>Z50/AA50</f>
        <v>11.25</v>
      </c>
      <c r="Z50" s="10">
        <v>45.0</v>
      </c>
      <c r="AA50" s="10">
        <v>4.0</v>
      </c>
    </row>
    <row r="51">
      <c r="A51" s="78"/>
    </row>
    <row r="52">
      <c r="A52" s="78"/>
    </row>
    <row r="53">
      <c r="A53" s="78"/>
    </row>
    <row r="54">
      <c r="A54" s="78"/>
    </row>
    <row r="55">
      <c r="A55" s="75"/>
    </row>
    <row r="56">
      <c r="A56" s="74"/>
    </row>
    <row r="57">
      <c r="A57" s="74"/>
    </row>
    <row r="58">
      <c r="A58" s="74"/>
    </row>
    <row r="59">
      <c r="A59" s="74"/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7" max="7" width="18.0"/>
    <col customWidth="1" min="9" max="9" width="17.88"/>
    <col customWidth="1" min="10" max="10" width="19.0"/>
    <col customWidth="1" min="21" max="21" width="18.63"/>
    <col customWidth="1" min="22" max="22" width="16.13"/>
    <col customWidth="1" min="24" max="24" width="18.88"/>
    <col customWidth="1" min="25" max="25" width="15.5"/>
    <col customWidth="1" min="27" max="27" width="16.88"/>
    <col customWidth="1" min="28" max="28" width="16.5"/>
    <col customWidth="1" min="29" max="30" width="22.88"/>
    <col customWidth="1" min="31" max="31" width="19.0"/>
    <col customWidth="1" min="32" max="32" width="17.75"/>
  </cols>
  <sheetData>
    <row r="1">
      <c r="A1" s="76" t="s">
        <v>252</v>
      </c>
      <c r="B1" s="69" t="s">
        <v>6</v>
      </c>
      <c r="C1" s="76" t="s">
        <v>270</v>
      </c>
      <c r="D1" s="77" t="s">
        <v>271</v>
      </c>
      <c r="E1" s="32" t="s">
        <v>222</v>
      </c>
      <c r="F1" s="32" t="s">
        <v>197</v>
      </c>
      <c r="G1" s="69" t="s">
        <v>253</v>
      </c>
      <c r="H1" s="69" t="s">
        <v>255</v>
      </c>
      <c r="I1" s="69" t="s">
        <v>256</v>
      </c>
      <c r="J1" s="69" t="s">
        <v>257</v>
      </c>
      <c r="K1" s="32" t="s">
        <v>203</v>
      </c>
      <c r="L1" s="32" t="s">
        <v>204</v>
      </c>
      <c r="M1" s="32" t="s">
        <v>205</v>
      </c>
      <c r="N1" s="32" t="s">
        <v>208</v>
      </c>
      <c r="O1" s="32" t="s">
        <v>206</v>
      </c>
      <c r="P1" s="32" t="s">
        <v>207</v>
      </c>
      <c r="Q1" s="69" t="s">
        <v>272</v>
      </c>
      <c r="R1" s="32" t="s">
        <v>225</v>
      </c>
      <c r="S1" s="32" t="s">
        <v>227</v>
      </c>
      <c r="T1" s="32" t="s">
        <v>228</v>
      </c>
      <c r="U1" s="32" t="s">
        <v>229</v>
      </c>
      <c r="V1" s="32" t="s">
        <v>230</v>
      </c>
      <c r="W1" s="32" t="s">
        <v>231</v>
      </c>
      <c r="X1" s="32" t="s">
        <v>232</v>
      </c>
      <c r="Y1" s="32" t="s">
        <v>233</v>
      </c>
      <c r="Z1" s="32" t="s">
        <v>234</v>
      </c>
      <c r="AA1" s="32" t="s">
        <v>235</v>
      </c>
      <c r="AB1" s="32" t="s">
        <v>236</v>
      </c>
      <c r="AC1" s="70" t="s">
        <v>239</v>
      </c>
      <c r="AD1" s="69" t="s">
        <v>273</v>
      </c>
      <c r="AE1" s="70" t="s">
        <v>240</v>
      </c>
      <c r="AF1" s="77" t="s">
        <v>243</v>
      </c>
    </row>
    <row r="2">
      <c r="A2" s="78">
        <v>1.0</v>
      </c>
      <c r="B2" s="51" t="s">
        <v>26</v>
      </c>
      <c r="C2" s="78">
        <v>1.0</v>
      </c>
      <c r="D2" s="64" t="str">
        <f>VLOOKUP(B2, 'Surfer Stats - Event 2'!$B$1:$AJ$37, 3, FALSE)</f>
        <v>Regular</v>
      </c>
      <c r="F2" s="3">
        <f t="shared" ref="F2:F43" si="1">ROUND(AVERAGE(G2,I2,J2),2)</f>
        <v>0.67</v>
      </c>
      <c r="G2" s="10">
        <v>0.5</v>
      </c>
      <c r="H2" s="3">
        <f t="shared" ref="H2:H43" si="2">U2+X2+AA2</f>
        <v>14</v>
      </c>
      <c r="I2" s="3">
        <f>4/6</f>
        <v>0.6666666667</v>
      </c>
      <c r="J2" s="3">
        <f>6/7</f>
        <v>0.8571428571</v>
      </c>
      <c r="K2" s="10">
        <v>0.0</v>
      </c>
      <c r="L2" s="3">
        <f t="shared" ref="L2:L43" si="3">IF(M2="BRA",1,0)</f>
        <v>0</v>
      </c>
      <c r="M2" s="35" t="s">
        <v>211</v>
      </c>
      <c r="N2" s="10">
        <v>13.0</v>
      </c>
      <c r="O2" s="10">
        <v>1.0</v>
      </c>
      <c r="P2" s="10">
        <v>9.0</v>
      </c>
      <c r="Q2" s="10">
        <v>3.0</v>
      </c>
      <c r="R2" s="3">
        <f t="shared" ref="R2:R12" si="4">ROUND(SUM(T2,W2,Z2)/H2,2)</f>
        <v>13.3</v>
      </c>
      <c r="S2" s="3">
        <f t="shared" ref="S2:S7" si="5">IF(U2=0,0,ROUND(T2/U2,2))</f>
        <v>12.6</v>
      </c>
      <c r="T2" s="10">
        <v>25.2</v>
      </c>
      <c r="U2" s="10">
        <v>2.0</v>
      </c>
      <c r="V2" s="3">
        <f t="shared" ref="V2:V7" si="6">ROUND(W2/X2,2)</f>
        <v>11.56</v>
      </c>
      <c r="W2" s="10">
        <v>57.8</v>
      </c>
      <c r="X2" s="10">
        <v>5.0</v>
      </c>
      <c r="Y2" s="10">
        <f t="shared" ref="Y2:Y3" si="7">ROUND(Z2/AA2,2)</f>
        <v>14.73</v>
      </c>
      <c r="Z2" s="10">
        <v>103.14</v>
      </c>
      <c r="AA2" s="10">
        <v>7.0</v>
      </c>
      <c r="AB2" s="10">
        <v>18.97</v>
      </c>
      <c r="AC2" s="51">
        <f t="array" ref="AC2">ROUND(AVERAGEIF({
    IFERROR(XLOOKUP(B2, 'Surfer Stats - Event 1 proper'!B:B, 'Surfer Stats - Event 1 proper'!AL:AL), ""),
    IFERROR(XLOOKUP(B2, 'Surfer Stats - Event 2'!B:B, 'Surfer Stats - Event 2'!AG:AG), ""),
    IFERROR(XLOOKUP(B2, 'Surfer Stats - Event 3'!B:B, 'Surfer Stats - Event 3'!AF:AF), "")
}, "&lt;&gt;"),2)
</f>
        <v>90.16</v>
      </c>
      <c r="AD2" s="51">
        <f t="array" ref="AD2">XLOOKUP(B2, 'Surfer Stats - Event 3'!B:B, 'Surfer Stats - Event 3'!AF:AF)
</f>
        <v>85.21</v>
      </c>
      <c r="AE2" s="60">
        <v>23000.0</v>
      </c>
      <c r="AF2" s="88">
        <v>24.83</v>
      </c>
    </row>
    <row r="3">
      <c r="A3" s="78">
        <v>1.0</v>
      </c>
      <c r="B3" s="51" t="s">
        <v>28</v>
      </c>
      <c r="C3" s="78">
        <v>1.0</v>
      </c>
      <c r="D3" s="64" t="str">
        <f>VLOOKUP(B3, 'Surfer Stats - Event 2'!$B$1:$AJ$37, 3, FALSE)</f>
        <v>Regular</v>
      </c>
      <c r="F3" s="3">
        <f t="shared" si="1"/>
        <v>0.42</v>
      </c>
      <c r="G3" s="10">
        <v>0.75</v>
      </c>
      <c r="H3" s="3">
        <f t="shared" si="2"/>
        <v>8</v>
      </c>
      <c r="I3" s="10">
        <v>0.0</v>
      </c>
      <c r="J3" s="10">
        <v>0.5</v>
      </c>
      <c r="K3" s="10">
        <v>0.0</v>
      </c>
      <c r="L3" s="3">
        <f t="shared" si="3"/>
        <v>0</v>
      </c>
      <c r="M3" s="35" t="s">
        <v>212</v>
      </c>
      <c r="N3" s="10">
        <v>5.0</v>
      </c>
      <c r="O3" s="10">
        <v>13.0</v>
      </c>
      <c r="P3" s="10">
        <v>25.0</v>
      </c>
      <c r="Q3" s="10">
        <v>1.0</v>
      </c>
      <c r="R3" s="3">
        <f t="shared" si="4"/>
        <v>12.73</v>
      </c>
      <c r="S3" s="3">
        <f t="shared" si="5"/>
        <v>13.24</v>
      </c>
      <c r="T3" s="10">
        <v>52.97</v>
      </c>
      <c r="U3" s="10">
        <v>4.0</v>
      </c>
      <c r="V3" s="3">
        <f t="shared" si="6"/>
        <v>11.35</v>
      </c>
      <c r="W3" s="10">
        <v>22.7</v>
      </c>
      <c r="X3" s="10">
        <v>2.0</v>
      </c>
      <c r="Y3" s="10">
        <f t="shared" si="7"/>
        <v>13.07</v>
      </c>
      <c r="Z3" s="10">
        <v>26.14</v>
      </c>
      <c r="AA3" s="10">
        <v>2.0</v>
      </c>
      <c r="AB3" s="10">
        <v>16.1</v>
      </c>
      <c r="AC3" s="51">
        <f t="array" ref="AC3">ROUND(AVERAGEIF({
    IFERROR(XLOOKUP(B3, 'Surfer Stats - Event 1 proper'!B:B, 'Surfer Stats - Event 1 proper'!AL:AL), ""),
    IFERROR(XLOOKUP(B3, 'Surfer Stats - Event 2'!B:B, 'Surfer Stats - Event 2'!AG:AG), ""),
    IFERROR(XLOOKUP(B3, 'Surfer Stats - Event 3'!B:B, 'Surfer Stats - Event 3'!AF:AF), "")
}, "&lt;&gt;"),2)
</f>
        <v>79.83</v>
      </c>
      <c r="AD3" s="51">
        <f t="array" ref="AD3">XLOOKUP(B3, 'Surfer Stats - Event 3'!B:B, 'Surfer Stats - Event 3'!AF:AF)
</f>
        <v>116.96</v>
      </c>
      <c r="AE3" s="60">
        <v>19200.0</v>
      </c>
      <c r="AF3" s="88">
        <v>70.51</v>
      </c>
    </row>
    <row r="4">
      <c r="A4" s="78">
        <v>1.0</v>
      </c>
      <c r="B4" s="51" t="s">
        <v>57</v>
      </c>
      <c r="C4" s="78">
        <v>1.0</v>
      </c>
      <c r="D4" s="64" t="str">
        <f>VLOOKUP(B4, 'Surfer Stats - Event 2'!$B$1:$AJ$37, 3, FALSE)</f>
        <v>Goofy</v>
      </c>
      <c r="F4" s="3">
        <f t="shared" si="1"/>
        <v>0.22</v>
      </c>
      <c r="G4" s="10">
        <v>0.0</v>
      </c>
      <c r="H4" s="3">
        <f t="shared" si="2"/>
        <v>12</v>
      </c>
      <c r="I4" s="3">
        <f>4/6</f>
        <v>0.6666666667</v>
      </c>
      <c r="J4" s="10">
        <v>0.0</v>
      </c>
      <c r="K4" s="10">
        <v>0.0</v>
      </c>
      <c r="L4" s="3">
        <f t="shared" si="3"/>
        <v>0</v>
      </c>
      <c r="M4" s="39" t="s">
        <v>215</v>
      </c>
      <c r="N4" s="10">
        <v>25.0</v>
      </c>
      <c r="O4" s="10">
        <v>99.0</v>
      </c>
      <c r="P4" s="10">
        <v>5.0</v>
      </c>
      <c r="Q4" s="10">
        <v>0.0</v>
      </c>
      <c r="R4" s="3">
        <f t="shared" si="4"/>
        <v>12.22</v>
      </c>
      <c r="S4" s="3">
        <f t="shared" si="5"/>
        <v>11.39</v>
      </c>
      <c r="T4" s="10">
        <v>22.77</v>
      </c>
      <c r="U4" s="10">
        <v>2.0</v>
      </c>
      <c r="V4" s="3">
        <f t="shared" si="6"/>
        <v>12.76</v>
      </c>
      <c r="W4" s="10">
        <v>76.54</v>
      </c>
      <c r="X4" s="10">
        <v>6.0</v>
      </c>
      <c r="Y4" s="64">
        <v>11.84</v>
      </c>
      <c r="Z4" s="75">
        <f>Y4*AA4</f>
        <v>47.36</v>
      </c>
      <c r="AA4" s="10">
        <v>4.0</v>
      </c>
      <c r="AB4" s="10">
        <v>14.77</v>
      </c>
      <c r="AC4" s="51">
        <f t="array" ref="AC4">ROUND(AVERAGEIF({
    IFERROR(XLOOKUP(B4, 'Surfer Stats - Event 1 proper'!B:B, 'Surfer Stats - Event 1 proper'!AL:AL), ""),
    IFERROR(XLOOKUP(B4, 'Surfer Stats - Event 2'!B:B, 'Surfer Stats - Event 2'!AG:AG), ""),
    IFERROR(XLOOKUP(B4, 'Surfer Stats - Event 3'!B:B, 'Surfer Stats - Event 3'!AF:AF), "")
}, "&lt;&gt;"),2)
</f>
        <v>74.09</v>
      </c>
      <c r="AD4" s="51">
        <f t="array" ref="AD4">XLOOKUP(B4, 'Surfer Stats - Event 3'!B:B, 'Surfer Stats - Event 3'!AF:AF)
</f>
        <v>61.24</v>
      </c>
      <c r="AE4" s="60">
        <v>19200.0</v>
      </c>
      <c r="AF4" s="88">
        <v>78.9</v>
      </c>
    </row>
    <row r="5">
      <c r="A5" s="78">
        <v>1.0</v>
      </c>
      <c r="B5" s="74" t="s">
        <v>42</v>
      </c>
      <c r="C5" s="78">
        <v>1.0</v>
      </c>
      <c r="D5" s="64" t="str">
        <f>VLOOKUP(B5, 'Surfer Stats - Event 2'!$B$1:$AJ$37, 3, FALSE)</f>
        <v>Regular</v>
      </c>
      <c r="F5" s="3">
        <f t="shared" si="1"/>
        <v>0.59</v>
      </c>
      <c r="G5" s="10">
        <v>0.6</v>
      </c>
      <c r="H5" s="3">
        <f t="shared" si="2"/>
        <v>13</v>
      </c>
      <c r="I5" s="10">
        <v>0.5</v>
      </c>
      <c r="J5" s="3">
        <f>4/6</f>
        <v>0.6666666667</v>
      </c>
      <c r="K5" s="10">
        <v>0.0</v>
      </c>
      <c r="L5" s="3">
        <f t="shared" si="3"/>
        <v>1</v>
      </c>
      <c r="M5" s="39" t="s">
        <v>213</v>
      </c>
      <c r="N5" s="10">
        <v>9.0</v>
      </c>
      <c r="O5" s="10">
        <v>3.0</v>
      </c>
      <c r="P5" s="10">
        <v>13.0</v>
      </c>
      <c r="Q5" s="10">
        <v>2.0</v>
      </c>
      <c r="R5" s="3">
        <f t="shared" si="4"/>
        <v>12.64</v>
      </c>
      <c r="S5" s="3">
        <f t="shared" si="5"/>
        <v>9.86</v>
      </c>
      <c r="T5" s="10">
        <v>49.3</v>
      </c>
      <c r="U5" s="10">
        <v>5.0</v>
      </c>
      <c r="V5" s="3">
        <f t="shared" si="6"/>
        <v>15.9</v>
      </c>
      <c r="W5" s="10">
        <v>31.8</v>
      </c>
      <c r="X5" s="10">
        <v>2.0</v>
      </c>
      <c r="Y5" s="10">
        <f t="shared" ref="Y5:Y8" si="8">ROUND(Z5/AA5,2)</f>
        <v>13.87</v>
      </c>
      <c r="Z5" s="10">
        <v>83.21</v>
      </c>
      <c r="AA5" s="10">
        <v>6.0</v>
      </c>
      <c r="AB5" s="10">
        <v>17.9</v>
      </c>
      <c r="AC5" s="51">
        <f t="array" ref="AC5">ROUND(AVERAGEIF({
    IFERROR(XLOOKUP(B5, 'Surfer Stats - Event 1 proper'!B:B, 'Surfer Stats - Event 1 proper'!AL:AL), ""),
    IFERROR(XLOOKUP(B5, 'Surfer Stats - Event 2'!B:B, 'Surfer Stats - Event 2'!AG:AG), ""),
    IFERROR(XLOOKUP(B5, 'Surfer Stats - Event 3'!B:B, 'Surfer Stats - Event 3'!AF:AF), "")
}, "&lt;&gt;"),2)
</f>
        <v>68.02</v>
      </c>
      <c r="AD5" s="51">
        <f t="array" ref="AD5">XLOOKUP(B5, 'Surfer Stats - Event 3'!B:B, 'Surfer Stats - Event 3'!AF:AF)
</f>
        <v>75.63</v>
      </c>
      <c r="AE5" s="60">
        <v>14400.0</v>
      </c>
      <c r="AF5" s="88">
        <v>99.3</v>
      </c>
    </row>
    <row r="6">
      <c r="A6" s="78">
        <v>1.0</v>
      </c>
      <c r="B6" s="51" t="s">
        <v>32</v>
      </c>
      <c r="C6" s="78">
        <v>1.0</v>
      </c>
      <c r="D6" s="78" t="str">
        <f>VLOOKUP(B6, 'Surfer Stats - Event 2'!$B$1:$AJ$37, 3, FALSE)</f>
        <v>Regular</v>
      </c>
      <c r="F6" s="3">
        <f t="shared" si="1"/>
        <v>0.24</v>
      </c>
      <c r="G6" s="3">
        <f>5/7</f>
        <v>0.7142857143</v>
      </c>
      <c r="H6" s="3">
        <f t="shared" si="2"/>
        <v>11</v>
      </c>
      <c r="I6" s="10">
        <v>0.0</v>
      </c>
      <c r="J6" s="10">
        <v>0.0</v>
      </c>
      <c r="K6" s="10">
        <v>0.0</v>
      </c>
      <c r="L6" s="3">
        <f t="shared" si="3"/>
        <v>0</v>
      </c>
      <c r="M6" s="39" t="s">
        <v>214</v>
      </c>
      <c r="N6" s="10">
        <v>2.0</v>
      </c>
      <c r="O6" s="10">
        <v>25.0</v>
      </c>
      <c r="P6" s="10">
        <v>25.0</v>
      </c>
      <c r="Q6" s="10">
        <v>0.0</v>
      </c>
      <c r="R6" s="3">
        <f t="shared" si="4"/>
        <v>11.59</v>
      </c>
      <c r="S6" s="3">
        <f t="shared" si="5"/>
        <v>11.74</v>
      </c>
      <c r="T6" s="10">
        <v>82.16</v>
      </c>
      <c r="U6" s="10">
        <v>7.0</v>
      </c>
      <c r="V6" s="3">
        <f t="shared" si="6"/>
        <v>11.52</v>
      </c>
      <c r="W6" s="10">
        <v>23.03</v>
      </c>
      <c r="X6" s="10">
        <v>2.0</v>
      </c>
      <c r="Y6" s="10">
        <f t="shared" si="8"/>
        <v>11.17</v>
      </c>
      <c r="Z6" s="10">
        <v>22.33</v>
      </c>
      <c r="AA6" s="10">
        <v>2.0</v>
      </c>
      <c r="AB6" s="10">
        <v>14.66</v>
      </c>
      <c r="AC6" s="51">
        <f t="array" ref="AC6">ROUND(AVERAGEIF({
    IFERROR(XLOOKUP(B6, 'Surfer Stats - Event 1 proper'!B:B, 'Surfer Stats - Event 1 proper'!AL:AL), ""),
    IFERROR(XLOOKUP(B6, 'Surfer Stats - Event 2'!B:B, 'Surfer Stats - Event 2'!AG:AG), ""),
    IFERROR(XLOOKUP(B6, 'Surfer Stats - Event 3'!B:B, 'Surfer Stats - Event 3'!AF:AF), "")
}, "&lt;&gt;"),2)
</f>
        <v>52.61</v>
      </c>
      <c r="AD6" s="51">
        <f t="array" ref="AD6">XLOOKUP(B6, 'Surfer Stats - Event 3'!B:B, 'Surfer Stats - Event 3'!AF:AF)
</f>
        <v>29.5</v>
      </c>
      <c r="AE6" s="75">
        <v>13750.0</v>
      </c>
      <c r="AF6" s="88">
        <v>25.07</v>
      </c>
    </row>
    <row r="7">
      <c r="A7" s="78">
        <v>1.0</v>
      </c>
      <c r="B7" s="51" t="s">
        <v>33</v>
      </c>
      <c r="C7" s="78">
        <v>1.0</v>
      </c>
      <c r="D7" s="78" t="str">
        <f>VLOOKUP(B7, 'Surfer Stats - Event 2'!$B$1:$AJ$37, 3, FALSE)</f>
        <v>Regular</v>
      </c>
      <c r="F7" s="3">
        <f t="shared" si="1"/>
        <v>0.75</v>
      </c>
      <c r="G7" s="10">
        <v>0.5</v>
      </c>
      <c r="H7" s="3">
        <f t="shared" si="2"/>
        <v>12</v>
      </c>
      <c r="I7" s="10">
        <v>1.0</v>
      </c>
      <c r="J7" s="3">
        <f>3/4</f>
        <v>0.75</v>
      </c>
      <c r="K7" s="10">
        <v>0.0</v>
      </c>
      <c r="L7" s="3">
        <f t="shared" si="3"/>
        <v>1</v>
      </c>
      <c r="M7" s="39" t="s">
        <v>213</v>
      </c>
      <c r="N7" s="10">
        <v>13.0</v>
      </c>
      <c r="O7" s="10">
        <v>9.0</v>
      </c>
      <c r="P7" s="10">
        <v>1.0</v>
      </c>
      <c r="Q7" s="10">
        <v>4.0</v>
      </c>
      <c r="R7" s="3">
        <f t="shared" si="4"/>
        <v>15.28</v>
      </c>
      <c r="S7" s="3">
        <f t="shared" si="5"/>
        <v>15.6</v>
      </c>
      <c r="T7" s="10">
        <v>31.2</v>
      </c>
      <c r="U7" s="10">
        <v>2.0</v>
      </c>
      <c r="V7" s="3">
        <f t="shared" si="6"/>
        <v>16.75</v>
      </c>
      <c r="W7" s="10">
        <v>100.5</v>
      </c>
      <c r="X7" s="10">
        <v>6.0</v>
      </c>
      <c r="Y7" s="10">
        <f t="shared" si="8"/>
        <v>12.93</v>
      </c>
      <c r="Z7" s="10">
        <v>51.71</v>
      </c>
      <c r="AA7" s="10">
        <v>4.0</v>
      </c>
      <c r="AB7" s="10">
        <v>19.87</v>
      </c>
      <c r="AC7" s="51">
        <f t="array" ref="AC7">ROUND(AVERAGEIF({
    IFERROR(XLOOKUP(B7, 'Surfer Stats - Event 1 proper'!B:B, 'Surfer Stats - Event 1 proper'!AL:AL), ""),
    IFERROR(XLOOKUP(B7, 'Surfer Stats - Event 2'!B:B, 'Surfer Stats - Event 2'!AG:AG), ""),
    IFERROR(XLOOKUP(B7, 'Surfer Stats - Event 3'!B:B, 'Surfer Stats - Event 3'!AF:AF), "")
}, "&lt;&gt;"),2)
</f>
        <v>66.45</v>
      </c>
      <c r="AD7" s="51">
        <f t="array" ref="AD7">XLOOKUP(B7, 'Surfer Stats - Event 3'!B:B, 'Surfer Stats - Event 3'!AF:AF)
</f>
        <v>87.06</v>
      </c>
      <c r="AE7" s="75">
        <v>12200.0</v>
      </c>
      <c r="AF7" s="89">
        <v>27.99</v>
      </c>
    </row>
    <row r="8">
      <c r="A8" s="78">
        <v>1.0</v>
      </c>
      <c r="B8" s="51" t="s">
        <v>40</v>
      </c>
      <c r="C8" s="78">
        <v>1.0</v>
      </c>
      <c r="D8" s="78" t="str">
        <f>VLOOKUP(B8, 'Surfer Stats - Event 2'!$B$1:$AJ$37, 3, FALSE)</f>
        <v>Regular</v>
      </c>
      <c r="F8" s="3">
        <f t="shared" si="1"/>
        <v>0.13</v>
      </c>
      <c r="G8" s="10">
        <v>0.0</v>
      </c>
      <c r="H8" s="3">
        <f t="shared" si="2"/>
        <v>11</v>
      </c>
      <c r="I8" s="10">
        <v>0.0</v>
      </c>
      <c r="J8" s="10">
        <v>0.4</v>
      </c>
      <c r="K8" s="10">
        <v>0.0</v>
      </c>
      <c r="L8" s="3">
        <f t="shared" si="3"/>
        <v>1</v>
      </c>
      <c r="M8" s="39" t="s">
        <v>213</v>
      </c>
      <c r="N8" s="10">
        <v>99.0</v>
      </c>
      <c r="O8" s="10">
        <v>9.0</v>
      </c>
      <c r="P8" s="10">
        <v>99.0</v>
      </c>
      <c r="Q8" s="10">
        <v>0.0</v>
      </c>
      <c r="R8" s="3">
        <f t="shared" si="4"/>
        <v>10.77</v>
      </c>
      <c r="S8" s="51">
        <v>11.04</v>
      </c>
      <c r="T8" s="3">
        <f>S8*U8</f>
        <v>33.12</v>
      </c>
      <c r="U8" s="10">
        <v>3.0</v>
      </c>
      <c r="V8" s="10">
        <v>11.32</v>
      </c>
      <c r="W8" s="3">
        <f>V8*X8</f>
        <v>33.96</v>
      </c>
      <c r="X8" s="10">
        <v>3.0</v>
      </c>
      <c r="Y8" s="10">
        <f t="shared" si="8"/>
        <v>10.28</v>
      </c>
      <c r="Z8" s="10">
        <v>51.38</v>
      </c>
      <c r="AA8" s="10">
        <v>5.0</v>
      </c>
      <c r="AB8" s="10">
        <v>15.07</v>
      </c>
      <c r="AC8" s="51">
        <f t="array" ref="AC8">ROUND(AVERAGEIF({
    IFERROR(XLOOKUP(B8, 'Surfer Stats - Event 1 proper'!B:B, 'Surfer Stats - Event 1 proper'!AL:AL), ""),
    IFERROR(XLOOKUP(B8, 'Surfer Stats - Event 2'!B:B, 'Surfer Stats - Event 2'!AG:AG), ""),
    IFERROR(XLOOKUP(B8, 'Surfer Stats - Event 3'!B:B, 'Surfer Stats - Event 3'!AF:AF), "")
}, "&lt;&gt;"),2)
</f>
        <v>58.91</v>
      </c>
      <c r="AD8" s="51">
        <f t="array" ref="AD8">XLOOKUP(B8, 'Surfer Stats - Event 3'!B:B, 'Surfer Stats - Event 3'!AF:AF)
</f>
        <v>112.44</v>
      </c>
      <c r="AE8" s="75">
        <v>11500.0</v>
      </c>
      <c r="AF8" s="89">
        <v>31.2</v>
      </c>
    </row>
    <row r="9">
      <c r="A9" s="64">
        <v>1.0</v>
      </c>
      <c r="B9" s="51" t="s">
        <v>39</v>
      </c>
      <c r="C9" s="78">
        <v>1.0</v>
      </c>
      <c r="D9" s="78" t="str">
        <f>VLOOKUP(B9, 'Surfer Stats - Event 2'!$B$1:$AJ$37, 3, FALSE)</f>
        <v>Regular</v>
      </c>
      <c r="F9" s="3">
        <f t="shared" si="1"/>
        <v>0.17</v>
      </c>
      <c r="G9" s="10">
        <v>0.5</v>
      </c>
      <c r="H9" s="3">
        <f t="shared" si="2"/>
        <v>10</v>
      </c>
      <c r="I9" s="10">
        <v>0.0</v>
      </c>
      <c r="J9" s="10">
        <v>0.0</v>
      </c>
      <c r="K9" s="10">
        <v>0.0</v>
      </c>
      <c r="L9" s="3">
        <f t="shared" si="3"/>
        <v>0</v>
      </c>
      <c r="M9" s="35" t="s">
        <v>215</v>
      </c>
      <c r="N9" s="10">
        <v>9.0</v>
      </c>
      <c r="O9" s="10">
        <v>99.0</v>
      </c>
      <c r="P9" s="10">
        <v>25.0</v>
      </c>
      <c r="Q9" s="10">
        <v>0.0</v>
      </c>
      <c r="R9" s="3">
        <f t="shared" si="4"/>
        <v>11.84</v>
      </c>
      <c r="S9" s="3">
        <f t="shared" ref="S9:S12" si="9">IF(U9=0,0,ROUND(T9/U9,2))</f>
        <v>12.03</v>
      </c>
      <c r="T9" s="10">
        <v>48.11</v>
      </c>
      <c r="U9" s="10">
        <v>4.0</v>
      </c>
      <c r="V9" s="3">
        <f t="shared" ref="V9:V12" si="10">ROUND(W9/X9,2)</f>
        <v>11.49</v>
      </c>
      <c r="W9" s="10">
        <v>22.97</v>
      </c>
      <c r="X9" s="10">
        <v>2.0</v>
      </c>
      <c r="Y9" s="64">
        <v>11.84</v>
      </c>
      <c r="Z9" s="75">
        <f>Y9*AA9</f>
        <v>47.36</v>
      </c>
      <c r="AA9" s="10">
        <v>4.0</v>
      </c>
      <c r="AB9" s="10">
        <v>13.47</v>
      </c>
      <c r="AC9" s="51">
        <f t="array" ref="AC9">ROUND(AVERAGEIF({
    IFERROR(XLOOKUP(B9, 'Surfer Stats - Event 1 proper'!B:B, 'Surfer Stats - Event 1 proper'!AL:AL), ""),
    IFERROR(XLOOKUP(B9, 'Surfer Stats - Event 2'!B:B, 'Surfer Stats - Event 2'!AG:AG), ""),
    IFERROR(XLOOKUP(B9, 'Surfer Stats - Event 3'!B:B, 'Surfer Stats - Event 3'!AF:AF), "")
}, "&lt;&gt;"),2)
</f>
        <v>60.32</v>
      </c>
      <c r="AD9" s="51">
        <f t="array" ref="AD9">XLOOKUP(B9, 'Surfer Stats - Event 3'!B:B, 'Surfer Stats - Event 3'!AF:AF)
</f>
        <v>74.43</v>
      </c>
      <c r="AE9" s="75">
        <v>10950.0</v>
      </c>
      <c r="AF9" s="88">
        <v>71.17</v>
      </c>
    </row>
    <row r="10">
      <c r="A10" s="64">
        <v>1.0</v>
      </c>
      <c r="B10" s="74" t="s">
        <v>34</v>
      </c>
      <c r="C10" s="78">
        <v>2.0</v>
      </c>
      <c r="D10" s="78" t="str">
        <f>VLOOKUP(B10, 'Surfer Stats - Event 2'!$B$1:$AJ$37, 3, FALSE)</f>
        <v>Goofy</v>
      </c>
      <c r="F10" s="3">
        <f t="shared" si="1"/>
        <v>0.27</v>
      </c>
      <c r="G10" s="10">
        <v>0.0</v>
      </c>
      <c r="H10" s="3">
        <f t="shared" si="2"/>
        <v>9</v>
      </c>
      <c r="I10" s="3">
        <f>4/5</f>
        <v>0.8</v>
      </c>
      <c r="J10" s="10">
        <v>0.0</v>
      </c>
      <c r="K10" s="10">
        <v>0.0</v>
      </c>
      <c r="L10" s="3">
        <f t="shared" si="3"/>
        <v>0</v>
      </c>
      <c r="M10" s="35" t="s">
        <v>215</v>
      </c>
      <c r="N10" s="10">
        <v>25.0</v>
      </c>
      <c r="O10" s="10">
        <v>25.0</v>
      </c>
      <c r="P10" s="10">
        <v>3.0</v>
      </c>
      <c r="Q10" s="10">
        <v>0.0</v>
      </c>
      <c r="R10" s="3">
        <f t="shared" si="4"/>
        <v>12.16</v>
      </c>
      <c r="S10" s="3">
        <f t="shared" si="9"/>
        <v>10.45</v>
      </c>
      <c r="T10" s="10">
        <v>20.9</v>
      </c>
      <c r="U10" s="10">
        <v>2.0</v>
      </c>
      <c r="V10" s="3">
        <f t="shared" si="10"/>
        <v>13.06</v>
      </c>
      <c r="W10" s="10">
        <v>65.29</v>
      </c>
      <c r="X10" s="10">
        <v>5.0</v>
      </c>
      <c r="Y10" s="10">
        <f t="shared" ref="Y10:Y12" si="11">ROUND(Z10/AA10,2)</f>
        <v>11.62</v>
      </c>
      <c r="Z10" s="10">
        <v>23.23</v>
      </c>
      <c r="AA10" s="10">
        <v>2.0</v>
      </c>
      <c r="AB10" s="10">
        <v>15.6</v>
      </c>
      <c r="AC10" s="51">
        <f t="array" ref="AC10">ROUND(AVERAGEIF({
    IFERROR(XLOOKUP(B10, 'Surfer Stats - Event 1 proper'!B:B, 'Surfer Stats - Event 1 proper'!AL:AL), ""),
    IFERROR(XLOOKUP(B10, 'Surfer Stats - Event 2'!B:B, 'Surfer Stats - Event 2'!AG:AG), ""),
    IFERROR(XLOOKUP(B10, 'Surfer Stats - Event 3'!B:B, 'Surfer Stats - Event 3'!AF:AF), "")
}, "&lt;&gt;"),2)
</f>
        <v>43.64</v>
      </c>
      <c r="AD10" s="51">
        <f t="array" ref="AD10">XLOOKUP(B10, 'Surfer Stats - Event 3'!B:B, 'Surfer Stats - Event 3'!AF:AF)
</f>
        <v>25.73</v>
      </c>
      <c r="AE10" s="75">
        <v>10250.0</v>
      </c>
      <c r="AF10" s="88">
        <v>86.05</v>
      </c>
    </row>
    <row r="11">
      <c r="A11" s="78">
        <v>1.0</v>
      </c>
      <c r="B11" s="51" t="s">
        <v>38</v>
      </c>
      <c r="C11" s="78">
        <v>2.0</v>
      </c>
      <c r="D11" s="78" t="str">
        <f>VLOOKUP(B11, 'Surfer Stats - Event 2'!$B$1:$AJ$37, 3, FALSE)</f>
        <v>Regular</v>
      </c>
      <c r="F11" s="3">
        <f t="shared" si="1"/>
        <v>0.44</v>
      </c>
      <c r="G11" s="10">
        <v>0.5</v>
      </c>
      <c r="H11" s="3">
        <f t="shared" si="2"/>
        <v>11</v>
      </c>
      <c r="I11" s="10">
        <v>0.5</v>
      </c>
      <c r="J11" s="3">
        <f>1/3</f>
        <v>0.3333333333</v>
      </c>
      <c r="K11" s="10">
        <v>0.0</v>
      </c>
      <c r="L11" s="3">
        <f t="shared" si="3"/>
        <v>0</v>
      </c>
      <c r="M11" s="39" t="s">
        <v>214</v>
      </c>
      <c r="N11" s="10">
        <v>5.0</v>
      </c>
      <c r="O11" s="10">
        <v>13.0</v>
      </c>
      <c r="P11" s="10">
        <v>13.0</v>
      </c>
      <c r="Q11" s="10">
        <v>0.0</v>
      </c>
      <c r="R11" s="3">
        <f t="shared" si="4"/>
        <v>11.51</v>
      </c>
      <c r="S11" s="3">
        <f t="shared" si="9"/>
        <v>11.21</v>
      </c>
      <c r="T11" s="10">
        <v>67.26</v>
      </c>
      <c r="U11" s="10">
        <v>6.0</v>
      </c>
      <c r="V11" s="3">
        <f t="shared" si="10"/>
        <v>10.98</v>
      </c>
      <c r="W11" s="10">
        <v>21.96</v>
      </c>
      <c r="X11" s="10">
        <v>2.0</v>
      </c>
      <c r="Y11" s="10">
        <f t="shared" si="11"/>
        <v>12.48</v>
      </c>
      <c r="Z11" s="10">
        <v>37.43</v>
      </c>
      <c r="AA11" s="10">
        <v>3.0</v>
      </c>
      <c r="AB11" s="10">
        <v>15.7</v>
      </c>
      <c r="AC11" s="51">
        <f t="array" ref="AC11">ROUND(AVERAGEIF({
    IFERROR(XLOOKUP(B11, 'Surfer Stats - Event 1 proper'!B:B, 'Surfer Stats - Event 1 proper'!AL:AL), ""),
    IFERROR(XLOOKUP(B11, 'Surfer Stats - Event 2'!B:B, 'Surfer Stats - Event 2'!AG:AG), ""),
    IFERROR(XLOOKUP(B11, 'Surfer Stats - Event 3'!B:B, 'Surfer Stats - Event 3'!AF:AF), "")
}, "&lt;&gt;"),2)
</f>
        <v>57.58</v>
      </c>
      <c r="AD11" s="51">
        <f t="array" ref="AD11">XLOOKUP(B11, 'Surfer Stats - Event 3'!B:B, 'Surfer Stats - Event 3'!AF:AF)
</f>
        <v>72.04</v>
      </c>
      <c r="AE11" s="75">
        <v>9750.0</v>
      </c>
      <c r="AF11" s="88">
        <v>33.89</v>
      </c>
    </row>
    <row r="12">
      <c r="A12" s="78">
        <v>1.0</v>
      </c>
      <c r="B12" s="74" t="s">
        <v>30</v>
      </c>
      <c r="C12" s="78">
        <v>2.0</v>
      </c>
      <c r="D12" s="78" t="str">
        <f>VLOOKUP(B12, 'Surfer Stats - Event 2'!$B$1:$AJ$37, 3, FALSE)</f>
        <v>Goofy</v>
      </c>
      <c r="F12" s="3">
        <f t="shared" si="1"/>
        <v>0.56</v>
      </c>
      <c r="G12" s="10">
        <v>0.5</v>
      </c>
      <c r="H12" s="3">
        <f t="shared" si="2"/>
        <v>10</v>
      </c>
      <c r="I12" s="10">
        <v>0.5</v>
      </c>
      <c r="J12" s="3">
        <f>4/6</f>
        <v>0.6666666667</v>
      </c>
      <c r="K12" s="10">
        <v>0.0</v>
      </c>
      <c r="L12" s="3">
        <f t="shared" si="3"/>
        <v>1</v>
      </c>
      <c r="M12" s="35" t="s">
        <v>213</v>
      </c>
      <c r="N12" s="10">
        <v>13.0</v>
      </c>
      <c r="O12" s="10">
        <v>3.0</v>
      </c>
      <c r="P12" s="10">
        <v>13.0</v>
      </c>
      <c r="Q12" s="10">
        <v>2.0</v>
      </c>
      <c r="R12" s="3">
        <f t="shared" si="4"/>
        <v>15.09</v>
      </c>
      <c r="S12" s="3">
        <f t="shared" si="9"/>
        <v>14.77</v>
      </c>
      <c r="T12" s="10">
        <v>29.53</v>
      </c>
      <c r="U12" s="10">
        <v>2.0</v>
      </c>
      <c r="V12" s="3">
        <f t="shared" si="10"/>
        <v>12.97</v>
      </c>
      <c r="W12" s="10">
        <v>25.93</v>
      </c>
      <c r="X12" s="10">
        <v>2.0</v>
      </c>
      <c r="Y12" s="10">
        <f t="shared" si="11"/>
        <v>15.9</v>
      </c>
      <c r="Z12" s="10">
        <v>95.41</v>
      </c>
      <c r="AA12" s="10">
        <v>6.0</v>
      </c>
      <c r="AB12" s="10">
        <v>19.4</v>
      </c>
      <c r="AC12" s="51">
        <f t="array" ref="AC12">ROUND(AVERAGEIF({
    IFERROR(XLOOKUP(B12, 'Surfer Stats - Event 1 proper'!B:B, 'Surfer Stats - Event 1 proper'!AL:AL), ""),
    IFERROR(XLOOKUP(B12, 'Surfer Stats - Event 2'!B:B, 'Surfer Stats - Event 2'!AG:AG), ""),
    IFERROR(XLOOKUP(B12, 'Surfer Stats - Event 3'!B:B, 'Surfer Stats - Event 3'!AF:AF), "")
}, "&lt;&gt;"),2)
</f>
        <v>40.3</v>
      </c>
      <c r="AD12" s="51">
        <f t="array" ref="AD12">XLOOKUP(B12, 'Surfer Stats - Event 3'!B:B, 'Surfer Stats - Event 3'!AF:AF)
</f>
        <v>28.61</v>
      </c>
      <c r="AE12" s="75">
        <v>8750.0</v>
      </c>
      <c r="AF12" s="89">
        <v>72.96</v>
      </c>
    </row>
    <row r="13">
      <c r="A13" s="78">
        <v>1.0</v>
      </c>
      <c r="B13" s="51" t="s">
        <v>69</v>
      </c>
      <c r="C13" s="78">
        <v>2.0</v>
      </c>
      <c r="D13" s="78" t="str">
        <f>VLOOKUP(B13, 'Surfer Stats - Event 2'!$B$1:$AJ$37, 3, FALSE)</f>
        <v>Regular</v>
      </c>
      <c r="F13" s="3">
        <f t="shared" si="1"/>
        <v>0</v>
      </c>
      <c r="G13" s="10">
        <v>0.0</v>
      </c>
      <c r="H13" s="3">
        <f t="shared" si="2"/>
        <v>10</v>
      </c>
      <c r="I13" s="10">
        <v>0.0</v>
      </c>
      <c r="J13" s="10">
        <v>0.0</v>
      </c>
      <c r="K13" s="10">
        <v>0.0</v>
      </c>
      <c r="L13" s="3">
        <f t="shared" si="3"/>
        <v>0</v>
      </c>
      <c r="M13" s="35" t="s">
        <v>211</v>
      </c>
      <c r="N13" s="10">
        <v>99.0</v>
      </c>
      <c r="O13" s="10">
        <v>99.0</v>
      </c>
      <c r="P13" s="10">
        <v>99.0</v>
      </c>
      <c r="Q13" s="10">
        <v>0.0</v>
      </c>
      <c r="R13" s="10">
        <v>0.0</v>
      </c>
      <c r="S13" s="51">
        <v>11.04</v>
      </c>
      <c r="T13" s="3">
        <f>S13*U13</f>
        <v>33.12</v>
      </c>
      <c r="U13" s="10">
        <v>3.0</v>
      </c>
      <c r="V13" s="10">
        <v>11.32</v>
      </c>
      <c r="W13" s="3">
        <f>V13*X13</f>
        <v>33.96</v>
      </c>
      <c r="X13" s="10">
        <v>3.0</v>
      </c>
      <c r="Y13" s="64">
        <v>11.84</v>
      </c>
      <c r="Z13" s="75">
        <f t="shared" ref="Z13:Z15" si="12">Y13*AA13</f>
        <v>47.36</v>
      </c>
      <c r="AA13" s="10">
        <v>4.0</v>
      </c>
      <c r="AB13" s="10">
        <v>14.89</v>
      </c>
      <c r="AC13" s="51">
        <f t="array" ref="AC13">ROUND(AVERAGEIF({
    IFERROR(XLOOKUP(B13, 'Surfer Stats - Event 1 proper'!B:B, 'Surfer Stats - Event 1 proper'!AL:AL), ""),
    IFERROR(XLOOKUP(B13, 'Surfer Stats - Event 2'!B:B, 'Surfer Stats - Event 2'!AG:AG), ""),
    IFERROR(XLOOKUP(B13, 'Surfer Stats - Event 3'!B:B, 'Surfer Stats - Event 3'!AF:AF), "")
}, "&lt;&gt;"),2)
</f>
        <v>50.9</v>
      </c>
      <c r="AD13" s="51">
        <f t="array" ref="AD13">XLOOKUP(B13, 'Surfer Stats - Event 3'!B:B, 'Surfer Stats - Event 3'!AF:AF)
</f>
        <v>92.67</v>
      </c>
      <c r="AE13" s="75">
        <v>8750.0</v>
      </c>
      <c r="AF13" s="89">
        <v>25.86</v>
      </c>
    </row>
    <row r="14">
      <c r="A14" s="64">
        <v>0.0</v>
      </c>
      <c r="B14" s="90" t="s">
        <v>37</v>
      </c>
      <c r="C14" s="91">
        <v>2.0</v>
      </c>
      <c r="D14" s="91" t="str">
        <f>VLOOKUP(B14, 'Surfer Stats - Event 2'!$B$1:$AJ$37, 3, FALSE)</f>
        <v>Regular</v>
      </c>
      <c r="F14" s="3">
        <f t="shared" si="1"/>
        <v>0.17</v>
      </c>
      <c r="G14" s="10">
        <v>0.0</v>
      </c>
      <c r="H14" s="3">
        <f t="shared" si="2"/>
        <v>13</v>
      </c>
      <c r="I14" s="10">
        <v>0.5</v>
      </c>
      <c r="J14" s="10">
        <v>0.0</v>
      </c>
      <c r="K14" s="10">
        <v>0.0</v>
      </c>
      <c r="L14" s="3">
        <f t="shared" si="3"/>
        <v>0</v>
      </c>
      <c r="M14" s="35" t="s">
        <v>214</v>
      </c>
      <c r="N14" s="10">
        <v>3.0</v>
      </c>
      <c r="O14" s="10">
        <v>99.0</v>
      </c>
      <c r="P14" s="10">
        <v>13.0</v>
      </c>
      <c r="Q14" s="10">
        <v>1.0</v>
      </c>
      <c r="R14" s="3">
        <f>ROUND(SUM(T14,W14,Z14)/H14,2)</f>
        <v>12.08</v>
      </c>
      <c r="S14" s="3">
        <f>IF(U14=0,0,ROUND(T14/U14,2))</f>
        <v>11.96</v>
      </c>
      <c r="T14" s="10">
        <v>83.74</v>
      </c>
      <c r="U14" s="10">
        <v>7.0</v>
      </c>
      <c r="V14" s="3">
        <f>ROUND(W14/X14,2)</f>
        <v>12.99</v>
      </c>
      <c r="W14" s="10">
        <v>25.97</v>
      </c>
      <c r="X14" s="10">
        <v>2.0</v>
      </c>
      <c r="Y14" s="64">
        <v>11.84</v>
      </c>
      <c r="Z14" s="75">
        <f t="shared" si="12"/>
        <v>47.36</v>
      </c>
      <c r="AA14" s="10">
        <v>4.0</v>
      </c>
      <c r="AB14" s="10">
        <v>19.27</v>
      </c>
      <c r="AC14" s="51">
        <f t="array" ref="AC14">ROUND(AVERAGEIF({
    IFERROR(XLOOKUP(B14, 'Surfer Stats - Event 1 proper'!B:B, 'Surfer Stats - Event 1 proper'!AL:AL), ""),
    IFERROR(XLOOKUP(B14, 'Surfer Stats - Event 2'!B:B, 'Surfer Stats - Event 2'!AG:AG), ""),
    IFERROR(XLOOKUP(B14, 'Surfer Stats - Event 3'!B:B, 'Surfer Stats - Event 3'!AF:AF), "")
}, "&lt;&gt;"),2)
</f>
        <v>42.3</v>
      </c>
      <c r="AD14" s="51">
        <f t="array" ref="AD14">XLOOKUP(B14, 'Surfer Stats - Event 3'!B:B, 'Surfer Stats - Event 3'!AF:AF)
</f>
        <v>27.03</v>
      </c>
      <c r="AE14" s="75">
        <v>8700.0</v>
      </c>
      <c r="AF14" s="88"/>
    </row>
    <row r="15">
      <c r="A15" s="78">
        <v>1.0</v>
      </c>
      <c r="B15" s="51" t="s">
        <v>61</v>
      </c>
      <c r="C15" s="78">
        <v>2.0</v>
      </c>
      <c r="D15" s="78" t="str">
        <f>VLOOKUP(B15, 'Surfer Stats - Event 2'!$B$1:$AJ$37, 3, FALSE)</f>
        <v>Goofy</v>
      </c>
      <c r="F15" s="3">
        <f t="shared" si="1"/>
        <v>0</v>
      </c>
      <c r="G15" s="10">
        <v>0.0</v>
      </c>
      <c r="H15" s="3">
        <f t="shared" si="2"/>
        <v>10</v>
      </c>
      <c r="I15" s="10">
        <v>0.0</v>
      </c>
      <c r="J15" s="10">
        <v>0.0</v>
      </c>
      <c r="K15" s="10">
        <v>0.0</v>
      </c>
      <c r="L15" s="3">
        <f t="shared" si="3"/>
        <v>0</v>
      </c>
      <c r="M15" s="39" t="s">
        <v>218</v>
      </c>
      <c r="N15" s="10">
        <v>99.0</v>
      </c>
      <c r="O15" s="10">
        <v>99.0</v>
      </c>
      <c r="P15" s="10">
        <v>99.0</v>
      </c>
      <c r="Q15" s="10">
        <v>0.0</v>
      </c>
      <c r="R15" s="10">
        <v>0.0</v>
      </c>
      <c r="S15" s="51">
        <v>11.04</v>
      </c>
      <c r="T15" s="3">
        <f t="shared" ref="T15:T16" si="13">S15*U15</f>
        <v>33.12</v>
      </c>
      <c r="U15" s="10">
        <v>3.0</v>
      </c>
      <c r="V15" s="10">
        <v>11.32</v>
      </c>
      <c r="W15" s="3">
        <f t="shared" ref="W15:W16" si="14">V15*X15</f>
        <v>33.96</v>
      </c>
      <c r="X15" s="10">
        <v>3.0</v>
      </c>
      <c r="Y15" s="64">
        <v>11.84</v>
      </c>
      <c r="Z15" s="75">
        <f t="shared" si="12"/>
        <v>47.36</v>
      </c>
      <c r="AA15" s="10">
        <v>4.0</v>
      </c>
      <c r="AB15" s="10">
        <v>14.89</v>
      </c>
      <c r="AC15" s="51">
        <f t="array" ref="AC15">ROUND(AVERAGEIF({
    IFERROR(XLOOKUP(B15, 'Surfer Stats - Event 1 proper'!B:B, 'Surfer Stats - Event 1 proper'!AL:AL), ""),
    IFERROR(XLOOKUP(B15, 'Surfer Stats - Event 2'!B:B, 'Surfer Stats - Event 2'!AG:AG), ""),
    IFERROR(XLOOKUP(B15, 'Surfer Stats - Event 3'!B:B, 'Surfer Stats - Event 3'!AF:AF), "")
}, "&lt;&gt;"),2)
</f>
        <v>43.2</v>
      </c>
      <c r="AD15" s="51">
        <f t="array" ref="AD15">XLOOKUP(B15, 'Surfer Stats - Event 3'!B:B, 'Surfer Stats - Event 3'!AF:AF)
</f>
        <v>33.24</v>
      </c>
      <c r="AE15" s="75">
        <v>8700.0</v>
      </c>
      <c r="AF15" s="89">
        <v>37.1</v>
      </c>
    </row>
    <row r="16">
      <c r="A16" s="78">
        <v>1.0</v>
      </c>
      <c r="B16" s="51" t="s">
        <v>52</v>
      </c>
      <c r="C16" s="78">
        <v>2.0</v>
      </c>
      <c r="D16" s="78" t="str">
        <f>VLOOKUP(B16, 'Surfer Stats - Event 2'!$B$1:$AJ$37, 3, FALSE)</f>
        <v>Regular</v>
      </c>
      <c r="F16" s="3">
        <f t="shared" si="1"/>
        <v>0</v>
      </c>
      <c r="G16" s="10">
        <v>0.0</v>
      </c>
      <c r="H16" s="3">
        <f t="shared" si="2"/>
        <v>8</v>
      </c>
      <c r="I16" s="10">
        <v>0.0</v>
      </c>
      <c r="J16" s="10">
        <v>0.0</v>
      </c>
      <c r="K16" s="10">
        <v>0.0</v>
      </c>
      <c r="L16" s="3">
        <f t="shared" si="3"/>
        <v>0</v>
      </c>
      <c r="M16" s="39" t="s">
        <v>214</v>
      </c>
      <c r="N16" s="10">
        <v>99.0</v>
      </c>
      <c r="O16" s="10">
        <v>25.0</v>
      </c>
      <c r="P16" s="10">
        <v>99.0</v>
      </c>
      <c r="Q16" s="10">
        <v>0.0</v>
      </c>
      <c r="R16" s="3">
        <f t="shared" ref="R16:R21" si="15">ROUND(SUM(T16,W16,Z16)/H16,2)</f>
        <v>11.21</v>
      </c>
      <c r="S16" s="51">
        <v>11.04</v>
      </c>
      <c r="T16" s="3">
        <f t="shared" si="13"/>
        <v>33.12</v>
      </c>
      <c r="U16" s="10">
        <v>3.0</v>
      </c>
      <c r="V16" s="10">
        <v>11.32</v>
      </c>
      <c r="W16" s="3">
        <f t="shared" si="14"/>
        <v>33.96</v>
      </c>
      <c r="X16" s="10">
        <v>3.0</v>
      </c>
      <c r="Y16" s="10">
        <f t="shared" ref="Y16:Y20" si="16">ROUND(Z16/AA16,2)</f>
        <v>11.29</v>
      </c>
      <c r="Z16" s="10">
        <v>22.57</v>
      </c>
      <c r="AA16" s="10">
        <v>2.0</v>
      </c>
      <c r="AB16" s="10">
        <v>11.74</v>
      </c>
      <c r="AC16" s="51">
        <f t="array" ref="AC16">ROUND(AVERAGEIF({
    IFERROR(XLOOKUP(B16, 'Surfer Stats - Event 1 proper'!B:B, 'Surfer Stats - Event 1 proper'!AL:AL), ""),
    IFERROR(XLOOKUP(B16, 'Surfer Stats - Event 2'!B:B, 'Surfer Stats - Event 2'!AG:AG), ""),
    IFERROR(XLOOKUP(B16, 'Surfer Stats - Event 3'!B:B, 'Surfer Stats - Event 3'!AF:AF), "")
}, "&lt;&gt;"),2)
</f>
        <v>48.64</v>
      </c>
      <c r="AD16" s="51">
        <f t="array" ref="AD16">XLOOKUP(B16, 'Surfer Stats - Event 3'!B:B, 'Surfer Stats - Event 3'!AF:AF)
</f>
        <v>30.8</v>
      </c>
      <c r="AE16" s="75">
        <v>8500.0</v>
      </c>
      <c r="AF16" s="89">
        <v>23.76</v>
      </c>
    </row>
    <row r="17">
      <c r="A17" s="78">
        <v>1.0</v>
      </c>
      <c r="B17" s="51" t="s">
        <v>31</v>
      </c>
      <c r="C17" s="78">
        <v>2.0</v>
      </c>
      <c r="D17" s="78" t="str">
        <f>VLOOKUP(B17, 'Surfer Stats - Event 2'!$B$1:$AJ$37, 3, FALSE)</f>
        <v>Regular</v>
      </c>
      <c r="F17" s="3">
        <f t="shared" si="1"/>
        <v>0.11</v>
      </c>
      <c r="G17" s="3">
        <f>1/3</f>
        <v>0.3333333333</v>
      </c>
      <c r="H17" s="3">
        <f t="shared" si="2"/>
        <v>7</v>
      </c>
      <c r="I17" s="10">
        <v>0.0</v>
      </c>
      <c r="J17" s="10">
        <v>0.0</v>
      </c>
      <c r="K17" s="10">
        <v>0.0</v>
      </c>
      <c r="L17" s="3">
        <f t="shared" si="3"/>
        <v>0</v>
      </c>
      <c r="M17" s="35" t="s">
        <v>215</v>
      </c>
      <c r="N17" s="10">
        <v>13.0</v>
      </c>
      <c r="O17" s="10">
        <v>25.0</v>
      </c>
      <c r="P17" s="10">
        <v>25.0</v>
      </c>
      <c r="Q17" s="10">
        <v>0.0</v>
      </c>
      <c r="R17" s="3">
        <f t="shared" si="15"/>
        <v>11.48</v>
      </c>
      <c r="S17" s="3">
        <f t="shared" ref="S17:S18" si="17">IF(U17=0,0,ROUND(T17/U17,2))</f>
        <v>14.27</v>
      </c>
      <c r="T17" s="10">
        <v>42.8</v>
      </c>
      <c r="U17" s="10">
        <v>3.0</v>
      </c>
      <c r="V17" s="3">
        <f t="shared" ref="V17:V18" si="18">ROUND(W17/X17,2)</f>
        <v>8.51</v>
      </c>
      <c r="W17" s="10">
        <v>17.01</v>
      </c>
      <c r="X17" s="10">
        <v>2.0</v>
      </c>
      <c r="Y17" s="10">
        <f t="shared" si="16"/>
        <v>10.29</v>
      </c>
      <c r="Z17" s="10">
        <v>20.58</v>
      </c>
      <c r="AA17" s="10">
        <v>2.0</v>
      </c>
      <c r="AB17" s="10">
        <v>11.34</v>
      </c>
      <c r="AC17" s="51">
        <f t="array" ref="AC17">ROUND(AVERAGEIF({
    IFERROR(XLOOKUP(B17, 'Surfer Stats - Event 1 proper'!B:B, 'Surfer Stats - Event 1 proper'!AL:AL), ""),
    IFERROR(XLOOKUP(B17, 'Surfer Stats - Event 2'!B:B, 'Surfer Stats - Event 2'!AG:AG), ""),
    IFERROR(XLOOKUP(B17, 'Surfer Stats - Event 3'!B:B, 'Surfer Stats - Event 3'!AF:AF), "")
}, "&lt;&gt;"),2)
</f>
        <v>37.5</v>
      </c>
      <c r="AD17" s="51">
        <f t="array" ref="AD17">XLOOKUP(B17, 'Surfer Stats - Event 3'!B:B, 'Surfer Stats - Event 3'!AF:AF)
</f>
        <v>33.6</v>
      </c>
      <c r="AE17" s="75">
        <v>7500.0</v>
      </c>
      <c r="AF17" s="89">
        <v>53.68</v>
      </c>
    </row>
    <row r="18">
      <c r="A18" s="78">
        <v>1.0</v>
      </c>
      <c r="B18" s="51" t="s">
        <v>50</v>
      </c>
      <c r="C18" s="78">
        <v>2.0</v>
      </c>
      <c r="D18" s="78" t="str">
        <f>VLOOKUP(B18, 'Surfer Stats - Event 2'!$B$1:$AJ$37, 3, FALSE)</f>
        <v>Regular</v>
      </c>
      <c r="F18" s="3">
        <f t="shared" si="1"/>
        <v>0.17</v>
      </c>
      <c r="G18" s="10">
        <v>0.0</v>
      </c>
      <c r="H18" s="3">
        <f t="shared" si="2"/>
        <v>6</v>
      </c>
      <c r="I18" s="10">
        <v>0.5</v>
      </c>
      <c r="J18" s="10">
        <v>0.0</v>
      </c>
      <c r="K18" s="10">
        <v>0.0</v>
      </c>
      <c r="L18" s="3">
        <f t="shared" si="3"/>
        <v>0</v>
      </c>
      <c r="M18" s="39" t="s">
        <v>220</v>
      </c>
      <c r="N18" s="10">
        <v>25.0</v>
      </c>
      <c r="O18" s="10">
        <v>25.0</v>
      </c>
      <c r="P18" s="10">
        <v>13.0</v>
      </c>
      <c r="Q18" s="10">
        <v>0.0</v>
      </c>
      <c r="R18" s="3">
        <f t="shared" si="15"/>
        <v>12.79</v>
      </c>
      <c r="S18" s="3">
        <f t="shared" si="17"/>
        <v>13.45</v>
      </c>
      <c r="T18" s="10">
        <v>26.9</v>
      </c>
      <c r="U18" s="10">
        <v>2.0</v>
      </c>
      <c r="V18" s="3">
        <f t="shared" si="18"/>
        <v>11.47</v>
      </c>
      <c r="W18" s="10">
        <v>22.94</v>
      </c>
      <c r="X18" s="10">
        <v>2.0</v>
      </c>
      <c r="Y18" s="10">
        <f t="shared" si="16"/>
        <v>13.45</v>
      </c>
      <c r="Z18" s="10">
        <v>26.9</v>
      </c>
      <c r="AA18" s="10">
        <v>2.0</v>
      </c>
      <c r="AB18" s="10">
        <v>15.13</v>
      </c>
      <c r="AC18" s="51">
        <f t="array" ref="AC18">ROUND(AVERAGEIF({
    IFERROR(XLOOKUP(B18, 'Surfer Stats - Event 1 proper'!B:B, 'Surfer Stats - Event 1 proper'!AL:AL), ""),
    IFERROR(XLOOKUP(B18, 'Surfer Stats - Event 2'!B:B, 'Surfer Stats - Event 2'!AG:AG), ""),
    IFERROR(XLOOKUP(B18, 'Surfer Stats - Event 3'!B:B, 'Surfer Stats - Event 3'!AF:AF), "")
}, "&lt;&gt;"),2)
</f>
        <v>43.95</v>
      </c>
      <c r="AD18" s="51">
        <f t="array" ref="AD18">XLOOKUP(B18, 'Surfer Stats - Event 3'!B:B, 'Surfer Stats - Event 3'!AF:AF)
</f>
        <v>46.07</v>
      </c>
      <c r="AE18" s="75">
        <v>7500.0</v>
      </c>
      <c r="AF18" s="89">
        <v>25.88</v>
      </c>
    </row>
    <row r="19">
      <c r="A19" s="78">
        <v>1.0</v>
      </c>
      <c r="B19" s="74" t="s">
        <v>68</v>
      </c>
      <c r="C19" s="78">
        <v>2.0</v>
      </c>
      <c r="D19" s="78" t="str">
        <f>VLOOKUP(B19, 'Surfer Stats - Event 2'!$B$1:$AJ$37, 3, FALSE)</f>
        <v>Regular</v>
      </c>
      <c r="F19" s="3">
        <f t="shared" si="1"/>
        <v>0.21</v>
      </c>
      <c r="G19" s="10">
        <v>0.0</v>
      </c>
      <c r="H19" s="3">
        <f t="shared" si="2"/>
        <v>14</v>
      </c>
      <c r="I19" s="10">
        <v>0.0</v>
      </c>
      <c r="J19" s="3">
        <f>5/8</f>
        <v>0.625</v>
      </c>
      <c r="K19" s="10">
        <v>0.0</v>
      </c>
      <c r="L19" s="3">
        <f t="shared" si="3"/>
        <v>0</v>
      </c>
      <c r="M19" s="35" t="s">
        <v>214</v>
      </c>
      <c r="N19" s="10">
        <v>99.0</v>
      </c>
      <c r="O19" s="10">
        <v>2.0</v>
      </c>
      <c r="P19" s="10">
        <v>99.0</v>
      </c>
      <c r="Q19" s="10">
        <v>4.0</v>
      </c>
      <c r="R19" s="3">
        <f t="shared" si="15"/>
        <v>12.7</v>
      </c>
      <c r="S19" s="51">
        <v>11.04</v>
      </c>
      <c r="T19" s="3">
        <f>S19*U19</f>
        <v>33.12</v>
      </c>
      <c r="U19" s="10">
        <v>3.0</v>
      </c>
      <c r="V19" s="10">
        <v>11.32</v>
      </c>
      <c r="W19" s="3">
        <f t="shared" ref="W19:W20" si="19">V19*X19</f>
        <v>33.96</v>
      </c>
      <c r="X19" s="10">
        <v>3.0</v>
      </c>
      <c r="Y19" s="10">
        <f t="shared" si="16"/>
        <v>13.83</v>
      </c>
      <c r="Z19" s="10">
        <v>110.67</v>
      </c>
      <c r="AA19" s="10">
        <v>8.0</v>
      </c>
      <c r="AB19" s="10">
        <v>16.5</v>
      </c>
      <c r="AC19" s="51">
        <f t="array" ref="AC19">ROUND(AVERAGEIF({
    IFERROR(XLOOKUP(B19, 'Surfer Stats - Event 1 proper'!B:B, 'Surfer Stats - Event 1 proper'!AL:AL), ""),
    IFERROR(XLOOKUP(B19, 'Surfer Stats - Event 2'!B:B, 'Surfer Stats - Event 2'!AG:AG), ""),
    IFERROR(XLOOKUP(B19, 'Surfer Stats - Event 3'!B:B, 'Surfer Stats - Event 3'!AF:AF), "")
}, "&lt;&gt;"),2)
</f>
        <v>41.54</v>
      </c>
      <c r="AD19" s="51">
        <f t="array" ref="AD19">XLOOKUP(B19, 'Surfer Stats - Event 3'!B:B, 'Surfer Stats - Event 3'!AF:AF)
</f>
        <v>28.14</v>
      </c>
      <c r="AE19" s="75">
        <v>7500.0</v>
      </c>
      <c r="AF19" s="92">
        <v>21.69</v>
      </c>
    </row>
    <row r="20">
      <c r="A20" s="78">
        <v>1.0</v>
      </c>
      <c r="B20" s="51" t="s">
        <v>27</v>
      </c>
      <c r="C20" s="78">
        <v>2.0</v>
      </c>
      <c r="D20" s="78" t="str">
        <f>VLOOKUP(B20, 'Surfer Stats - Event 2'!$B$1:$AJ$37, 3, FALSE)</f>
        <v>Regular</v>
      </c>
      <c r="F20" s="3">
        <f t="shared" si="1"/>
        <v>0.45</v>
      </c>
      <c r="G20" s="10">
        <v>0.75</v>
      </c>
      <c r="H20" s="3">
        <f t="shared" si="2"/>
        <v>16</v>
      </c>
      <c r="I20" s="10">
        <v>0.0</v>
      </c>
      <c r="J20" s="3">
        <f>3/5</f>
        <v>0.6</v>
      </c>
      <c r="K20" s="10">
        <v>0.0</v>
      </c>
      <c r="L20" s="3">
        <f t="shared" si="3"/>
        <v>0</v>
      </c>
      <c r="M20" s="39" t="s">
        <v>216</v>
      </c>
      <c r="N20" s="10">
        <v>1.0</v>
      </c>
      <c r="O20" s="10">
        <v>9.0</v>
      </c>
      <c r="P20" s="10">
        <v>99.0</v>
      </c>
      <c r="Q20" s="10">
        <v>2.0</v>
      </c>
      <c r="R20" s="3">
        <f t="shared" si="15"/>
        <v>11.61</v>
      </c>
      <c r="S20" s="3">
        <f t="shared" ref="S20:S21" si="20">IF(U20=0,0,ROUND(T20/U20,2))</f>
        <v>11.85</v>
      </c>
      <c r="T20" s="10">
        <v>94.79</v>
      </c>
      <c r="U20" s="10">
        <v>8.0</v>
      </c>
      <c r="V20" s="10">
        <v>11.32</v>
      </c>
      <c r="W20" s="3">
        <f t="shared" si="19"/>
        <v>33.96</v>
      </c>
      <c r="X20" s="10">
        <v>3.0</v>
      </c>
      <c r="Y20" s="10">
        <f t="shared" si="16"/>
        <v>11.41</v>
      </c>
      <c r="Z20" s="10">
        <v>57.04</v>
      </c>
      <c r="AA20" s="10">
        <v>5.0</v>
      </c>
      <c r="AB20" s="10">
        <v>16.83</v>
      </c>
      <c r="AC20" s="51">
        <f t="array" ref="AC20">ROUND(AVERAGEIF({
    IFERROR(XLOOKUP(B20, 'Surfer Stats - Event 1 proper'!B:B, 'Surfer Stats - Event 1 proper'!AL:AL), ""),
    IFERROR(XLOOKUP(B20, 'Surfer Stats - Event 2'!B:B, 'Surfer Stats - Event 2'!AG:AG), ""),
    IFERROR(XLOOKUP(B20, 'Surfer Stats - Event 3'!B:B, 'Surfer Stats - Event 3'!AF:AF), "")
}, "&lt;&gt;"),2)
</f>
        <v>41.63</v>
      </c>
      <c r="AD20" s="51">
        <f t="array" ref="AD20">XLOOKUP(B20, 'Surfer Stats - Event 3'!B:B, 'Surfer Stats - Event 3'!AF:AF)
</f>
        <v>31.3</v>
      </c>
      <c r="AE20" s="75">
        <v>7450.0</v>
      </c>
      <c r="AF20" s="89">
        <v>19.4</v>
      </c>
    </row>
    <row r="21">
      <c r="A21" s="64">
        <v>1.0</v>
      </c>
      <c r="B21" s="51" t="s">
        <v>41</v>
      </c>
      <c r="C21" s="78">
        <v>2.0</v>
      </c>
      <c r="D21" s="78" t="str">
        <f>VLOOKUP(B21, 'Surfer Stats - Event 2'!$B$1:$AJ$37, 3, FALSE)</f>
        <v>Regular</v>
      </c>
      <c r="F21" s="3">
        <f t="shared" si="1"/>
        <v>0.13</v>
      </c>
      <c r="G21" s="10">
        <v>0.0</v>
      </c>
      <c r="H21" s="3">
        <f t="shared" si="2"/>
        <v>11</v>
      </c>
      <c r="I21" s="10">
        <v>0.4</v>
      </c>
      <c r="J21" s="10">
        <v>0.0</v>
      </c>
      <c r="K21" s="10">
        <v>0.0</v>
      </c>
      <c r="L21" s="3">
        <f t="shared" si="3"/>
        <v>0</v>
      </c>
      <c r="M21" s="39" t="s">
        <v>215</v>
      </c>
      <c r="N21" s="10">
        <v>25.0</v>
      </c>
      <c r="O21" s="10">
        <v>99.0</v>
      </c>
      <c r="P21" s="10">
        <v>9.0</v>
      </c>
      <c r="Q21" s="10">
        <v>1.0</v>
      </c>
      <c r="R21" s="3">
        <f t="shared" si="15"/>
        <v>11.32</v>
      </c>
      <c r="S21" s="3">
        <f t="shared" si="20"/>
        <v>10.67</v>
      </c>
      <c r="T21" s="10">
        <v>21.33</v>
      </c>
      <c r="U21" s="10">
        <v>2.0</v>
      </c>
      <c r="V21" s="3">
        <f>ROUND(W21/X21,2)</f>
        <v>11.16</v>
      </c>
      <c r="W21" s="10">
        <v>55.78</v>
      </c>
      <c r="X21" s="10">
        <v>5.0</v>
      </c>
      <c r="Y21" s="64">
        <v>11.84</v>
      </c>
      <c r="Z21" s="75">
        <f>Y21*AA21</f>
        <v>47.36</v>
      </c>
      <c r="AA21" s="10">
        <v>4.0</v>
      </c>
      <c r="AB21" s="10">
        <v>16.63</v>
      </c>
      <c r="AC21" s="51">
        <f t="array" ref="AC21">ROUND(AVERAGEIF({
    IFERROR(XLOOKUP(B21, 'Surfer Stats - Event 1 proper'!B:B, 'Surfer Stats - Event 1 proper'!AL:AL), ""),
    IFERROR(XLOOKUP(B21, 'Surfer Stats - Event 2'!B:B, 'Surfer Stats - Event 2'!AG:AG), ""),
    IFERROR(XLOOKUP(B21, 'Surfer Stats - Event 3'!B:B, 'Surfer Stats - Event 3'!AF:AF), "")
}, "&lt;&gt;"),2)
</f>
        <v>48.35</v>
      </c>
      <c r="AD21" s="51">
        <f t="array" ref="AD21">XLOOKUP(B21, 'Surfer Stats - Event 3'!B:B, 'Surfer Stats - Event 3'!AF:AF)
</f>
        <v>97.36</v>
      </c>
      <c r="AE21" s="75">
        <v>7450.0</v>
      </c>
      <c r="AF21" s="89">
        <v>57.68</v>
      </c>
    </row>
    <row r="22">
      <c r="A22" s="78">
        <v>1.0</v>
      </c>
      <c r="B22" s="51" t="s">
        <v>64</v>
      </c>
      <c r="C22" s="78">
        <v>2.0</v>
      </c>
      <c r="D22" s="78" t="str">
        <f>VLOOKUP(B22, 'Surfer Stats - Event 2'!$B$1:$AJ$37, 3, FALSE)</f>
        <v>Regular</v>
      </c>
      <c r="F22" s="3">
        <f t="shared" si="1"/>
        <v>0</v>
      </c>
      <c r="G22" s="10">
        <v>0.0</v>
      </c>
      <c r="H22" s="3">
        <f t="shared" si="2"/>
        <v>7</v>
      </c>
      <c r="I22" s="10">
        <v>0.0</v>
      </c>
      <c r="J22" s="10">
        <v>0.0</v>
      </c>
      <c r="K22" s="10">
        <v>0.0</v>
      </c>
      <c r="L22" s="3">
        <f t="shared" si="3"/>
        <v>0</v>
      </c>
      <c r="M22" s="39" t="s">
        <v>219</v>
      </c>
      <c r="N22" s="10">
        <v>99.0</v>
      </c>
      <c r="O22" s="10">
        <v>99.0</v>
      </c>
      <c r="P22" s="10">
        <v>99.0</v>
      </c>
      <c r="Q22" s="10">
        <v>0.0</v>
      </c>
      <c r="R22" s="10">
        <v>0.0</v>
      </c>
      <c r="S22" s="51">
        <v>11.04</v>
      </c>
      <c r="T22" s="3">
        <f t="shared" ref="T22:T24" si="21">S22*U22</f>
        <v>33.12</v>
      </c>
      <c r="U22" s="10">
        <v>3.0</v>
      </c>
      <c r="V22" s="10">
        <v>11.32</v>
      </c>
      <c r="W22" s="3">
        <f>V22*X22</f>
        <v>33.96</v>
      </c>
      <c r="X22" s="10">
        <v>3.0</v>
      </c>
      <c r="Y22" s="10">
        <v>9.0</v>
      </c>
      <c r="Z22" s="10">
        <v>9.0</v>
      </c>
      <c r="AA22" s="10">
        <v>1.0</v>
      </c>
      <c r="AB22" s="10">
        <v>14.89</v>
      </c>
      <c r="AC22" s="51">
        <f t="array" ref="AC22">ROUND(AVERAGEIF({
    IFERROR(XLOOKUP(B22, 'Surfer Stats - Event 1 proper'!B:B, 'Surfer Stats - Event 1 proper'!AL:AL), ""),
    IFERROR(XLOOKUP(B22, 'Surfer Stats - Event 2'!B:B, 'Surfer Stats - Event 2'!AG:AG), ""),
    IFERROR(XLOOKUP(B22, 'Surfer Stats - Event 3'!B:B, 'Surfer Stats - Event 3'!AF:AF), "")
}, "&lt;&gt;"),2)
</f>
        <v>46.43</v>
      </c>
      <c r="AD22" s="51">
        <f t="array" ref="AD22">XLOOKUP(B22, 'Surfer Stats - Event 3'!B:B, 'Surfer Stats - Event 3'!AF:AF)
</f>
        <v>91.51</v>
      </c>
      <c r="AE22" s="75">
        <v>7450.0</v>
      </c>
      <c r="AF22" s="89">
        <v>38.23</v>
      </c>
    </row>
    <row r="23">
      <c r="A23" s="64">
        <v>0.0</v>
      </c>
      <c r="B23" s="90" t="s">
        <v>17</v>
      </c>
      <c r="C23" s="91">
        <v>2.0</v>
      </c>
      <c r="D23" s="91" t="str">
        <f>VLOOKUP(B23, 'Surfer Stats - Event 2'!$B$1:$AJ$37, 3, FALSE)</f>
        <v>Goofy</v>
      </c>
      <c r="F23" s="3">
        <f t="shared" si="1"/>
        <v>0.47</v>
      </c>
      <c r="G23" s="10">
        <v>0.0</v>
      </c>
      <c r="H23" s="3">
        <f t="shared" si="2"/>
        <v>13</v>
      </c>
      <c r="I23" s="3">
        <f>4/6</f>
        <v>0.6666666667</v>
      </c>
      <c r="J23" s="3">
        <f>3/4</f>
        <v>0.75</v>
      </c>
      <c r="K23" s="10">
        <v>0.0</v>
      </c>
      <c r="L23" s="3">
        <f t="shared" si="3"/>
        <v>1</v>
      </c>
      <c r="M23" s="35" t="s">
        <v>213</v>
      </c>
      <c r="N23" s="10">
        <v>99.0</v>
      </c>
      <c r="O23" s="10">
        <v>9.0</v>
      </c>
      <c r="P23" s="10">
        <v>3.0</v>
      </c>
      <c r="Q23" s="10">
        <v>1.0</v>
      </c>
      <c r="R23" s="3">
        <f t="shared" ref="R23:R27" si="22">ROUND(SUM(T23,W23,Z23)/H23,2)</f>
        <v>12.6</v>
      </c>
      <c r="S23" s="51">
        <v>11.04</v>
      </c>
      <c r="T23" s="3">
        <f t="shared" si="21"/>
        <v>33.12</v>
      </c>
      <c r="U23" s="10">
        <v>3.0</v>
      </c>
      <c r="V23" s="3">
        <f t="shared" ref="V23:V27" si="23">ROUND(W23/X23,2)</f>
        <v>12.98</v>
      </c>
      <c r="W23" s="10">
        <v>77.87</v>
      </c>
      <c r="X23" s="10">
        <v>6.0</v>
      </c>
      <c r="Y23" s="10">
        <f t="shared" ref="Y23:Y26" si="24">ROUND(Z23/AA23,2)</f>
        <v>13.2</v>
      </c>
      <c r="Z23" s="10">
        <v>52.8</v>
      </c>
      <c r="AA23" s="10">
        <v>4.0</v>
      </c>
      <c r="AB23" s="10">
        <v>16.5</v>
      </c>
      <c r="AC23" s="51">
        <f t="array" ref="AC23">ROUND(AVERAGEIF({
    IFERROR(XLOOKUP(B23, 'Surfer Stats - Event 1 proper'!B:B, 'Surfer Stats - Event 1 proper'!AL:AL), ""),
    IFERROR(XLOOKUP(B23, 'Surfer Stats - Event 2'!B:B, 'Surfer Stats - Event 2'!AG:AG), ""),
    IFERROR(XLOOKUP(B23, 'Surfer Stats - Event 3'!B:B, 'Surfer Stats - Event 3'!AF:AF), "")
}, "&lt;&gt;"),2)
</f>
        <v>27.44</v>
      </c>
      <c r="AD23" s="51">
        <f t="array" ref="AD23">XLOOKUP(B23, 'Surfer Stats - Event 3'!B:B, 'Surfer Stats - Event 3'!AF:AF)
</f>
        <v>0</v>
      </c>
      <c r="AE23" s="75">
        <v>6200.0</v>
      </c>
      <c r="AF23" s="88"/>
    </row>
    <row r="24">
      <c r="A24" s="78">
        <v>1.0</v>
      </c>
      <c r="B24" s="51" t="s">
        <v>54</v>
      </c>
      <c r="C24" s="78">
        <v>2.0</v>
      </c>
      <c r="D24" s="78" t="str">
        <f>VLOOKUP(B24, 'Surfer Stats - Event 2'!$B$1:$AJ$37, 3, FALSE)</f>
        <v>Goofy</v>
      </c>
      <c r="F24" s="3">
        <f t="shared" si="1"/>
        <v>0.17</v>
      </c>
      <c r="G24" s="10">
        <v>0.0</v>
      </c>
      <c r="H24" s="3">
        <f t="shared" si="2"/>
        <v>7</v>
      </c>
      <c r="I24" s="10">
        <v>0.5</v>
      </c>
      <c r="J24" s="10">
        <v>0.0</v>
      </c>
      <c r="K24" s="10">
        <v>0.0</v>
      </c>
      <c r="L24" s="3">
        <f t="shared" si="3"/>
        <v>1</v>
      </c>
      <c r="M24" s="39" t="s">
        <v>213</v>
      </c>
      <c r="N24" s="10">
        <v>99.0</v>
      </c>
      <c r="O24" s="10">
        <v>25.0</v>
      </c>
      <c r="P24" s="10">
        <v>13.0</v>
      </c>
      <c r="Q24" s="10">
        <v>0.0</v>
      </c>
      <c r="R24" s="3">
        <f t="shared" si="22"/>
        <v>12.19</v>
      </c>
      <c r="S24" s="51">
        <v>11.04</v>
      </c>
      <c r="T24" s="3">
        <f t="shared" si="21"/>
        <v>33.12</v>
      </c>
      <c r="U24" s="10">
        <v>3.0</v>
      </c>
      <c r="V24" s="3">
        <f t="shared" si="23"/>
        <v>13.66</v>
      </c>
      <c r="W24" s="10">
        <v>27.31</v>
      </c>
      <c r="X24" s="10">
        <v>2.0</v>
      </c>
      <c r="Y24" s="10">
        <f t="shared" si="24"/>
        <v>12.44</v>
      </c>
      <c r="Z24" s="10">
        <v>24.88</v>
      </c>
      <c r="AA24" s="10">
        <v>2.0</v>
      </c>
      <c r="AB24" s="10">
        <v>15.97</v>
      </c>
      <c r="AC24" s="51">
        <f t="array" ref="AC24">ROUND(AVERAGEIF({
    IFERROR(XLOOKUP(B24, 'Surfer Stats - Event 1 proper'!B:B, 'Surfer Stats - Event 1 proper'!AL:AL), ""),
    IFERROR(XLOOKUP(B24, 'Surfer Stats - Event 2'!B:B, 'Surfer Stats - Event 2'!AG:AG), ""),
    IFERROR(XLOOKUP(B24, 'Surfer Stats - Event 3'!B:B, 'Surfer Stats - Event 3'!AF:AF), "")
}, "&lt;&gt;"),2)
</f>
        <v>38.46</v>
      </c>
      <c r="AD24" s="51">
        <f t="array" ref="AD24">XLOOKUP(B24, 'Surfer Stats - Event 3'!B:B, 'Surfer Stats - Event 3'!AF:AF)
</f>
        <v>77.13</v>
      </c>
      <c r="AE24" s="75">
        <v>5000.0</v>
      </c>
      <c r="AF24" s="89">
        <v>73.54</v>
      </c>
    </row>
    <row r="25">
      <c r="A25" s="64">
        <v>1.0</v>
      </c>
      <c r="B25" s="51" t="s">
        <v>47</v>
      </c>
      <c r="C25" s="78">
        <v>2.0</v>
      </c>
      <c r="D25" s="78" t="str">
        <f>VLOOKUP(B25, 'Surfer Stats - Event 2'!$B$1:$AJ$37, 3, FALSE)</f>
        <v>Goofy</v>
      </c>
      <c r="F25" s="3">
        <f t="shared" si="1"/>
        <v>0.22</v>
      </c>
      <c r="G25" s="3">
        <f>1/3</f>
        <v>0.3333333333</v>
      </c>
      <c r="H25" s="3">
        <f t="shared" si="2"/>
        <v>8</v>
      </c>
      <c r="I25" s="3">
        <f>1/3</f>
        <v>0.3333333333</v>
      </c>
      <c r="J25" s="10">
        <v>0.0</v>
      </c>
      <c r="K25" s="10">
        <v>0.0</v>
      </c>
      <c r="L25" s="3">
        <f t="shared" si="3"/>
        <v>0</v>
      </c>
      <c r="M25" s="35" t="s">
        <v>215</v>
      </c>
      <c r="N25" s="10">
        <v>13.0</v>
      </c>
      <c r="O25" s="10">
        <v>25.0</v>
      </c>
      <c r="P25" s="10">
        <v>13.0</v>
      </c>
      <c r="Q25" s="10">
        <v>0.0</v>
      </c>
      <c r="R25" s="3">
        <f t="shared" si="22"/>
        <v>10.83</v>
      </c>
      <c r="S25" s="3">
        <f t="shared" ref="S25:S27" si="25">IF(U25=0,0,ROUND(T25/U25,2))</f>
        <v>10.09</v>
      </c>
      <c r="T25" s="10">
        <v>30.27</v>
      </c>
      <c r="U25" s="10">
        <v>3.0</v>
      </c>
      <c r="V25" s="3">
        <f t="shared" si="23"/>
        <v>10.38</v>
      </c>
      <c r="W25" s="10">
        <v>31.15</v>
      </c>
      <c r="X25" s="10">
        <v>3.0</v>
      </c>
      <c r="Y25" s="10">
        <f t="shared" si="24"/>
        <v>12.6</v>
      </c>
      <c r="Z25" s="10">
        <v>25.19</v>
      </c>
      <c r="AA25" s="10">
        <v>2.0</v>
      </c>
      <c r="AB25" s="10">
        <v>13.96</v>
      </c>
      <c r="AC25" s="51">
        <f t="array" ref="AC25">ROUND(AVERAGEIF({
    IFERROR(XLOOKUP(B25, 'Surfer Stats - Event 1 proper'!B:B, 'Surfer Stats - Event 1 proper'!AL:AL), ""),
    IFERROR(XLOOKUP(B25, 'Surfer Stats - Event 2'!B:B, 'Surfer Stats - Event 2'!AG:AG), ""),
    IFERROR(XLOOKUP(B25, 'Surfer Stats - Event 3'!B:B, 'Surfer Stats - Event 3'!AF:AF), "")
}, "&lt;&gt;"),2)
</f>
        <v>31.2</v>
      </c>
      <c r="AD25" s="51">
        <f t="array" ref="AD25">XLOOKUP(B25, 'Surfer Stats - Event 3'!B:B, 'Surfer Stats - Event 3'!AF:AF)
</f>
        <v>30.03</v>
      </c>
      <c r="AE25" s="75">
        <v>4000.0</v>
      </c>
      <c r="AF25" s="89">
        <v>105.95</v>
      </c>
    </row>
    <row r="26">
      <c r="A26" s="78">
        <v>1.0</v>
      </c>
      <c r="B26" s="51" t="s">
        <v>55</v>
      </c>
      <c r="C26" s="78">
        <v>2.0</v>
      </c>
      <c r="D26" s="78" t="str">
        <f>VLOOKUP(B26, 'Surfer Stats - Event 2'!$B$1:$AJ$37, 3, FALSE)</f>
        <v>Goofy</v>
      </c>
      <c r="F26" s="3">
        <f t="shared" si="1"/>
        <v>0.2</v>
      </c>
      <c r="G26" s="10">
        <v>0.0</v>
      </c>
      <c r="H26" s="3">
        <f t="shared" si="2"/>
        <v>9</v>
      </c>
      <c r="I26" s="10">
        <v>0.0</v>
      </c>
      <c r="J26" s="3">
        <f>3/5</f>
        <v>0.6</v>
      </c>
      <c r="K26" s="10">
        <v>0.0</v>
      </c>
      <c r="L26" s="3">
        <f t="shared" si="3"/>
        <v>1</v>
      </c>
      <c r="M26" s="39" t="s">
        <v>213</v>
      </c>
      <c r="N26" s="10">
        <v>25.0</v>
      </c>
      <c r="O26" s="10">
        <v>5.0</v>
      </c>
      <c r="P26" s="10">
        <v>25.0</v>
      </c>
      <c r="Q26" s="10">
        <v>0.0</v>
      </c>
      <c r="R26" s="3">
        <f t="shared" si="22"/>
        <v>11.37</v>
      </c>
      <c r="S26" s="3">
        <f t="shared" si="25"/>
        <v>9.77</v>
      </c>
      <c r="T26" s="10">
        <v>19.54</v>
      </c>
      <c r="U26" s="10">
        <v>2.0</v>
      </c>
      <c r="V26" s="3">
        <f t="shared" si="23"/>
        <v>10.47</v>
      </c>
      <c r="W26" s="10">
        <v>20.93</v>
      </c>
      <c r="X26" s="10">
        <v>2.0</v>
      </c>
      <c r="Y26" s="10">
        <f t="shared" si="24"/>
        <v>12.38</v>
      </c>
      <c r="Z26" s="10">
        <v>61.89</v>
      </c>
      <c r="AA26" s="10">
        <v>5.0</v>
      </c>
      <c r="AB26" s="10">
        <v>13.4</v>
      </c>
      <c r="AC26" s="51">
        <f t="array" ref="AC26">ROUND(AVERAGEIF({
    IFERROR(XLOOKUP(B26, 'Surfer Stats - Event 1 proper'!B:B, 'Surfer Stats - Event 1 proper'!AL:AL), ""),
    IFERROR(XLOOKUP(B26, 'Surfer Stats - Event 2'!B:B, 'Surfer Stats - Event 2'!AG:AG), ""),
    IFERROR(XLOOKUP(B26, 'Surfer Stats - Event 3'!B:B, 'Surfer Stats - Event 3'!AF:AF), "")
}, "&lt;&gt;"),2)
</f>
        <v>28.88</v>
      </c>
      <c r="AD26" s="51">
        <f t="array" ref="AD26">XLOOKUP(B26, 'Surfer Stats - Event 3'!B:B, 'Surfer Stats - Event 3'!AF:AF)
</f>
        <v>28.2</v>
      </c>
      <c r="AE26" s="75">
        <v>4000.0</v>
      </c>
      <c r="AF26" s="92">
        <v>26.07</v>
      </c>
    </row>
    <row r="27">
      <c r="A27" s="64">
        <v>1.0</v>
      </c>
      <c r="B27" s="51" t="s">
        <v>59</v>
      </c>
      <c r="C27" s="78">
        <v>2.0</v>
      </c>
      <c r="D27" s="78" t="str">
        <f>VLOOKUP(B27, 'Surfer Stats - Event 2'!$B$1:$AJ$37, 3, FALSE)</f>
        <v>Regular</v>
      </c>
      <c r="F27" s="3">
        <f t="shared" si="1"/>
        <v>0.44</v>
      </c>
      <c r="G27" s="10">
        <v>0.6</v>
      </c>
      <c r="H27" s="3">
        <f t="shared" si="2"/>
        <v>16</v>
      </c>
      <c r="I27" s="3">
        <f>5/7</f>
        <v>0.7142857143</v>
      </c>
      <c r="J27" s="10">
        <v>0.0</v>
      </c>
      <c r="K27" s="10">
        <v>0.0</v>
      </c>
      <c r="L27" s="3">
        <f t="shared" si="3"/>
        <v>0</v>
      </c>
      <c r="M27" s="35" t="s">
        <v>215</v>
      </c>
      <c r="N27" s="10">
        <v>5.0</v>
      </c>
      <c r="O27" s="10">
        <v>99.0</v>
      </c>
      <c r="P27" s="10">
        <v>2.0</v>
      </c>
      <c r="Q27" s="10">
        <v>1.0</v>
      </c>
      <c r="R27" s="3">
        <f t="shared" si="22"/>
        <v>13.05</v>
      </c>
      <c r="S27" s="3">
        <f t="shared" si="25"/>
        <v>13.46</v>
      </c>
      <c r="T27" s="10">
        <v>67.3</v>
      </c>
      <c r="U27" s="10">
        <v>5.0</v>
      </c>
      <c r="V27" s="3">
        <f t="shared" si="23"/>
        <v>13.46</v>
      </c>
      <c r="W27" s="10">
        <v>94.2</v>
      </c>
      <c r="X27" s="10">
        <v>7.0</v>
      </c>
      <c r="Y27" s="64">
        <v>11.84</v>
      </c>
      <c r="Z27" s="75">
        <f t="shared" ref="Z27:Z28" si="26">Y27*AA27</f>
        <v>47.36</v>
      </c>
      <c r="AA27" s="10">
        <v>4.0</v>
      </c>
      <c r="AB27" s="10">
        <v>16.33</v>
      </c>
      <c r="AC27" s="51">
        <f t="array" ref="AC27">ROUND(AVERAGEIF({
    IFERROR(XLOOKUP(B27, 'Surfer Stats - Event 1 proper'!B:B, 'Surfer Stats - Event 1 proper'!AL:AL), ""),
    IFERROR(XLOOKUP(B27, 'Surfer Stats - Event 2'!B:B, 'Surfer Stats - Event 2'!AG:AG), ""),
    IFERROR(XLOOKUP(B27, 'Surfer Stats - Event 3'!B:B, 'Surfer Stats - Event 3'!AF:AF), "")
}, "&lt;&gt;"),2)
</f>
        <v>34.75</v>
      </c>
      <c r="AD27" s="51">
        <f t="array" ref="AD27">XLOOKUP(B27, 'Surfer Stats - Event 3'!B:B, 'Surfer Stats - Event 3'!AF:AF)
</f>
        <v>45.27</v>
      </c>
      <c r="AE27" s="75">
        <v>4000.0</v>
      </c>
      <c r="AF27" s="89">
        <v>41.06</v>
      </c>
    </row>
    <row r="28">
      <c r="A28" s="51">
        <v>1.0</v>
      </c>
      <c r="B28" s="51" t="s">
        <v>67</v>
      </c>
      <c r="C28" s="78">
        <v>3.0</v>
      </c>
      <c r="D28" s="78" t="str">
        <f>VLOOKUP(B28, 'Surfer Stats - Event 2'!$B$1:$AJ$37, 3, FALSE)</f>
        <v>Goofy</v>
      </c>
      <c r="F28" s="3">
        <f t="shared" si="1"/>
        <v>0</v>
      </c>
      <c r="G28" s="10">
        <v>0.0</v>
      </c>
      <c r="H28" s="3">
        <f t="shared" si="2"/>
        <v>10</v>
      </c>
      <c r="I28" s="10">
        <v>0.0</v>
      </c>
      <c r="J28" s="10">
        <v>0.0</v>
      </c>
      <c r="K28" s="10">
        <v>0.0</v>
      </c>
      <c r="L28" s="3">
        <f t="shared" si="3"/>
        <v>1</v>
      </c>
      <c r="M28" s="39" t="s">
        <v>213</v>
      </c>
      <c r="N28" s="10">
        <v>99.0</v>
      </c>
      <c r="O28" s="10">
        <v>99.0</v>
      </c>
      <c r="P28" s="10">
        <v>99.0</v>
      </c>
      <c r="Q28" s="10">
        <v>0.0</v>
      </c>
      <c r="R28" s="10">
        <v>0.0</v>
      </c>
      <c r="S28" s="51">
        <v>11.04</v>
      </c>
      <c r="T28" s="3">
        <f>S28*U28</f>
        <v>33.12</v>
      </c>
      <c r="U28" s="10">
        <v>3.0</v>
      </c>
      <c r="V28" s="10">
        <v>11.32</v>
      </c>
      <c r="W28" s="3">
        <f>V28*X28</f>
        <v>33.96</v>
      </c>
      <c r="X28" s="10">
        <v>3.0</v>
      </c>
      <c r="Y28" s="64">
        <v>11.84</v>
      </c>
      <c r="Z28" s="75">
        <f t="shared" si="26"/>
        <v>47.36</v>
      </c>
      <c r="AA28" s="10">
        <v>4.0</v>
      </c>
      <c r="AB28" s="10">
        <v>14.89</v>
      </c>
      <c r="AC28" s="51">
        <f t="array" ref="AC28">ROUND(AVERAGEIF({
    IFERROR(XLOOKUP(B28, 'Surfer Stats - Event 1 proper'!B:B, 'Surfer Stats - Event 1 proper'!AL:AL), ""),
    IFERROR(XLOOKUP(B28, 'Surfer Stats - Event 2'!B:B, 'Surfer Stats - Event 2'!AG:AG), ""),
    IFERROR(XLOOKUP(B28, 'Surfer Stats - Event 3'!B:B, 'Surfer Stats - Event 3'!AF:AF), "")
}, "&lt;&gt;"),2)
</f>
        <v>27.7</v>
      </c>
      <c r="AD28" s="51">
        <f t="array" ref="AD28">XLOOKUP(B28, 'Surfer Stats - Event 3'!B:B, 'Surfer Stats - Event 3'!AF:AF)
</f>
        <v>24.67</v>
      </c>
      <c r="AE28" s="75">
        <v>4000.0</v>
      </c>
      <c r="AF28" s="88">
        <v>26.73</v>
      </c>
    </row>
    <row r="29">
      <c r="A29" s="78">
        <v>1.0</v>
      </c>
      <c r="B29" s="51" t="s">
        <v>56</v>
      </c>
      <c r="C29" s="78">
        <v>3.0</v>
      </c>
      <c r="D29" s="64" t="s">
        <v>247</v>
      </c>
      <c r="F29" s="3">
        <f t="shared" si="1"/>
        <v>0.41</v>
      </c>
      <c r="G29" s="10">
        <v>0.4</v>
      </c>
      <c r="H29" s="3">
        <f t="shared" si="2"/>
        <v>9</v>
      </c>
      <c r="I29" s="3">
        <f>1/3</f>
        <v>0.3333333333</v>
      </c>
      <c r="J29" s="10">
        <v>0.5</v>
      </c>
      <c r="K29" s="10">
        <v>0.0</v>
      </c>
      <c r="L29" s="3">
        <f t="shared" si="3"/>
        <v>0</v>
      </c>
      <c r="M29" s="39" t="s">
        <v>214</v>
      </c>
      <c r="N29" s="10">
        <v>5.0</v>
      </c>
      <c r="O29" s="10">
        <v>13.0</v>
      </c>
      <c r="P29" s="10">
        <v>13.0</v>
      </c>
      <c r="Q29" s="10">
        <v>0.0</v>
      </c>
      <c r="R29" s="3">
        <f t="shared" ref="R29:R31" si="27">ROUND(SUM(T29,W29,Z29)/H29,2)</f>
        <v>12.04</v>
      </c>
      <c r="S29" s="3">
        <f>IF(U29=0,0,ROUND(T29/U29,2))</f>
        <v>12.9</v>
      </c>
      <c r="T29" s="10">
        <v>51.6</v>
      </c>
      <c r="U29" s="10">
        <v>4.0</v>
      </c>
      <c r="V29" s="3">
        <f>ROUND(W29/X29,2)</f>
        <v>9.65</v>
      </c>
      <c r="W29" s="10">
        <v>28.94</v>
      </c>
      <c r="X29" s="10">
        <v>3.0</v>
      </c>
      <c r="Y29" s="10">
        <f t="shared" ref="Y29:Y31" si="28">ROUND(Z29/AA29,2)</f>
        <v>13.9</v>
      </c>
      <c r="Z29" s="10">
        <v>27.8</v>
      </c>
      <c r="AA29" s="10">
        <v>2.0</v>
      </c>
      <c r="AB29" s="10">
        <v>15.34</v>
      </c>
      <c r="AC29" s="51">
        <f t="array" ref="AC29">ROUND(AVERAGEIF({
    IFERROR(XLOOKUP(B29, 'Surfer Stats - Event 1 proper'!B:B, 'Surfer Stats - Event 1 proper'!AL:AL), ""),
    IFERROR(XLOOKUP(B29, 'Surfer Stats - Event 2'!B:B, 'Surfer Stats - Event 2'!AG:AG), ""),
    IFERROR(XLOOKUP(B29, 'Surfer Stats - Event 3'!B:B, 'Surfer Stats - Event 3'!AF:AF), "")
}, "&lt;&gt;"),2)
</f>
        <v>29.71</v>
      </c>
      <c r="AD29" s="51">
        <f t="array" ref="AD29">XLOOKUP(B29, 'Surfer Stats - Event 3'!B:B, 'Surfer Stats - Event 3'!AF:AF)
</f>
        <v>28.09</v>
      </c>
      <c r="AE29" s="75">
        <v>4000.0</v>
      </c>
      <c r="AF29" s="88">
        <v>29.7</v>
      </c>
    </row>
    <row r="30">
      <c r="A30" s="78">
        <v>1.0</v>
      </c>
      <c r="B30" s="51" t="s">
        <v>36</v>
      </c>
      <c r="C30" s="78">
        <v>3.0</v>
      </c>
      <c r="D30" s="78" t="str">
        <f>VLOOKUP(B30, 'Surfer Stats - Event 2'!$B$1:$AJ$37, 3, FALSE)</f>
        <v>Regular</v>
      </c>
      <c r="F30" s="3">
        <f t="shared" si="1"/>
        <v>0.11</v>
      </c>
      <c r="G30" s="10">
        <v>0.0</v>
      </c>
      <c r="H30" s="3">
        <f t="shared" si="2"/>
        <v>9</v>
      </c>
      <c r="I30" s="10">
        <v>0.0</v>
      </c>
      <c r="J30" s="3">
        <f t="shared" ref="J30:J31" si="29">1/3</f>
        <v>0.3333333333</v>
      </c>
      <c r="K30" s="10">
        <v>0.0</v>
      </c>
      <c r="L30" s="3">
        <f t="shared" si="3"/>
        <v>0</v>
      </c>
      <c r="M30" s="39" t="s">
        <v>214</v>
      </c>
      <c r="N30" s="10">
        <v>99.0</v>
      </c>
      <c r="O30" s="10">
        <v>13.0</v>
      </c>
      <c r="P30" s="10">
        <v>99.0</v>
      </c>
      <c r="Q30" s="10">
        <v>0.0</v>
      </c>
      <c r="R30" s="3">
        <f t="shared" si="27"/>
        <v>11.44</v>
      </c>
      <c r="S30" s="51">
        <v>11.04</v>
      </c>
      <c r="T30" s="3">
        <f t="shared" ref="T30:T32" si="30">S30*U30</f>
        <v>33.12</v>
      </c>
      <c r="U30" s="10">
        <v>3.0</v>
      </c>
      <c r="V30" s="10">
        <v>11.32</v>
      </c>
      <c r="W30" s="3">
        <f t="shared" ref="W30:W32" si="31">V30*X30</f>
        <v>33.96</v>
      </c>
      <c r="X30" s="10">
        <v>3.0</v>
      </c>
      <c r="Y30" s="10">
        <f t="shared" si="28"/>
        <v>11.95</v>
      </c>
      <c r="Z30" s="10">
        <v>35.84</v>
      </c>
      <c r="AA30" s="10">
        <v>3.0</v>
      </c>
      <c r="AB30" s="10">
        <v>14.17</v>
      </c>
      <c r="AC30" s="51">
        <f t="array" ref="AC30">ROUND(AVERAGEIF({
    IFERROR(XLOOKUP(B30, 'Surfer Stats - Event 1 proper'!B:B, 'Surfer Stats - Event 1 proper'!AL:AL), ""),
    IFERROR(XLOOKUP(B30, 'Surfer Stats - Event 2'!B:B, 'Surfer Stats - Event 2'!AG:AG), ""),
    IFERROR(XLOOKUP(B30, 'Surfer Stats - Event 3'!B:B, 'Surfer Stats - Event 3'!AF:AF), "")
}, "&lt;&gt;"),2)
</f>
        <v>24.44</v>
      </c>
      <c r="AD30" s="51">
        <f t="array" ref="AD30">XLOOKUP(B30, 'Surfer Stats - Event 3'!B:B, 'Surfer Stats - Event 3'!AF:AF)
</f>
        <v>25.77</v>
      </c>
      <c r="AE30" s="75">
        <v>2750.0</v>
      </c>
      <c r="AF30" s="88">
        <v>28.02</v>
      </c>
    </row>
    <row r="31">
      <c r="A31" s="78">
        <v>1.0</v>
      </c>
      <c r="B31" s="51" t="s">
        <v>53</v>
      </c>
      <c r="C31" s="78">
        <v>3.0</v>
      </c>
      <c r="D31" s="78" t="str">
        <f>VLOOKUP(B31, 'Surfer Stats - Event 2'!$B$1:$AJ$37, 3, FALSE)</f>
        <v>Regular</v>
      </c>
      <c r="F31" s="3">
        <f t="shared" si="1"/>
        <v>0.11</v>
      </c>
      <c r="G31" s="10">
        <v>0.0</v>
      </c>
      <c r="H31" s="3">
        <f t="shared" si="2"/>
        <v>9</v>
      </c>
      <c r="I31" s="10">
        <v>0.0</v>
      </c>
      <c r="J31" s="3">
        <f t="shared" si="29"/>
        <v>0.3333333333</v>
      </c>
      <c r="K31" s="10">
        <v>0.0</v>
      </c>
      <c r="L31" s="3">
        <f t="shared" si="3"/>
        <v>0</v>
      </c>
      <c r="M31" s="39" t="s">
        <v>217</v>
      </c>
      <c r="N31" s="10">
        <v>99.0</v>
      </c>
      <c r="O31" s="10">
        <v>13.0</v>
      </c>
      <c r="P31" s="10">
        <v>99.0</v>
      </c>
      <c r="Q31" s="10">
        <v>0.0</v>
      </c>
      <c r="R31" s="3">
        <f t="shared" si="27"/>
        <v>11.87</v>
      </c>
      <c r="S31" s="51">
        <v>11.04</v>
      </c>
      <c r="T31" s="3">
        <f t="shared" si="30"/>
        <v>33.12</v>
      </c>
      <c r="U31" s="10">
        <v>3.0</v>
      </c>
      <c r="V31" s="10">
        <v>11.32</v>
      </c>
      <c r="W31" s="3">
        <f t="shared" si="31"/>
        <v>33.96</v>
      </c>
      <c r="X31" s="10">
        <v>3.0</v>
      </c>
      <c r="Y31" s="10">
        <f t="shared" si="28"/>
        <v>13.24</v>
      </c>
      <c r="Z31" s="10">
        <v>39.73</v>
      </c>
      <c r="AA31" s="10">
        <v>3.0</v>
      </c>
      <c r="AB31" s="10">
        <v>15.33</v>
      </c>
      <c r="AC31" s="51">
        <f t="array" ref="AC31">ROUND(AVERAGEIF({
    IFERROR(XLOOKUP(B31, 'Surfer Stats - Event 1 proper'!B:B, 'Surfer Stats - Event 1 proper'!AL:AL), ""),
    IFERROR(XLOOKUP(B31, 'Surfer Stats - Event 2'!B:B, 'Surfer Stats - Event 2'!AG:AG), ""),
    IFERROR(XLOOKUP(B31, 'Surfer Stats - Event 3'!B:B, 'Surfer Stats - Event 3'!AF:AF), "")
}, "&lt;&gt;"),2)
</f>
        <v>24.12</v>
      </c>
      <c r="AD31" s="51">
        <f t="array" ref="AD31">XLOOKUP(B31, 'Surfer Stats - Event 3'!B:B, 'Surfer Stats - Event 3'!AF:AF)
</f>
        <v>30.23</v>
      </c>
      <c r="AE31" s="75">
        <v>2750.0</v>
      </c>
      <c r="AF31" s="89">
        <v>52.14</v>
      </c>
    </row>
    <row r="32">
      <c r="A32" s="64">
        <v>1.0</v>
      </c>
      <c r="B32" s="51" t="s">
        <v>65</v>
      </c>
      <c r="C32" s="78">
        <v>3.0</v>
      </c>
      <c r="D32" s="78" t="str">
        <f>VLOOKUP(B32, 'Surfer Stats - Event 2'!$B$1:$AJ$37, 3, FALSE)</f>
        <v>Goofy</v>
      </c>
      <c r="F32" s="3">
        <f t="shared" si="1"/>
        <v>0</v>
      </c>
      <c r="G32" s="10">
        <v>0.0</v>
      </c>
      <c r="H32" s="3">
        <f t="shared" si="2"/>
        <v>10</v>
      </c>
      <c r="I32" s="10">
        <v>0.0</v>
      </c>
      <c r="J32" s="10">
        <v>0.0</v>
      </c>
      <c r="K32" s="10">
        <v>0.0</v>
      </c>
      <c r="L32" s="3">
        <f t="shared" si="3"/>
        <v>0</v>
      </c>
      <c r="M32" s="39" t="s">
        <v>220</v>
      </c>
      <c r="N32" s="10">
        <v>99.0</v>
      </c>
      <c r="O32" s="10">
        <v>99.0</v>
      </c>
      <c r="P32" s="10">
        <v>99.0</v>
      </c>
      <c r="Q32" s="10">
        <v>0.0</v>
      </c>
      <c r="R32" s="10">
        <v>0.0</v>
      </c>
      <c r="S32" s="51">
        <v>11.04</v>
      </c>
      <c r="T32" s="3">
        <f t="shared" si="30"/>
        <v>33.12</v>
      </c>
      <c r="U32" s="10">
        <v>3.0</v>
      </c>
      <c r="V32" s="10">
        <v>11.32</v>
      </c>
      <c r="W32" s="3">
        <f t="shared" si="31"/>
        <v>33.96</v>
      </c>
      <c r="X32" s="10">
        <v>3.0</v>
      </c>
      <c r="Y32" s="64">
        <v>11.84</v>
      </c>
      <c r="Z32" s="75">
        <f>Y32*AA32</f>
        <v>47.36</v>
      </c>
      <c r="AA32" s="10">
        <v>4.0</v>
      </c>
      <c r="AB32" s="10">
        <v>14.89</v>
      </c>
      <c r="AC32" s="51">
        <f t="array" ref="AC32">ROUND(AVERAGEIF({
    IFERROR(XLOOKUP(B32, 'Surfer Stats - Event 1 proper'!B:B, 'Surfer Stats - Event 1 proper'!AL:AL), ""),
    IFERROR(XLOOKUP(B32, 'Surfer Stats - Event 2'!B:B, 'Surfer Stats - Event 2'!AG:AG), ""),
    IFERROR(XLOOKUP(B32, 'Surfer Stats - Event 3'!B:B, 'Surfer Stats - Event 3'!AF:AF), "")
}, "&lt;&gt;"),2)
</f>
        <v>29.44</v>
      </c>
      <c r="AD32" s="51">
        <f t="array" ref="AD32">XLOOKUP(B32, 'Surfer Stats - Event 3'!B:B, 'Surfer Stats - Event 3'!AF:AF)
</f>
        <v>44.85</v>
      </c>
      <c r="AE32" s="75">
        <v>2750.0</v>
      </c>
      <c r="AF32" s="88">
        <v>28.1</v>
      </c>
    </row>
    <row r="33">
      <c r="A33" s="78">
        <v>1.0</v>
      </c>
      <c r="B33" s="51" t="s">
        <v>35</v>
      </c>
      <c r="C33" s="78">
        <v>3.0</v>
      </c>
      <c r="D33" s="78" t="str">
        <f>VLOOKUP(B33, 'Surfer Stats - Event 2'!$B$1:$AJ$37, 3, FALSE)</f>
        <v>Goofy</v>
      </c>
      <c r="F33" s="3">
        <f t="shared" si="1"/>
        <v>0.42</v>
      </c>
      <c r="G33" s="10">
        <v>0.5</v>
      </c>
      <c r="H33" s="3">
        <f t="shared" si="2"/>
        <v>8</v>
      </c>
      <c r="I33" s="3">
        <f>3/4</f>
        <v>0.75</v>
      </c>
      <c r="J33" s="10">
        <v>0.0</v>
      </c>
      <c r="K33" s="10">
        <v>0.0</v>
      </c>
      <c r="L33" s="3">
        <f t="shared" si="3"/>
        <v>1</v>
      </c>
      <c r="M33" s="35" t="s">
        <v>213</v>
      </c>
      <c r="N33" s="10">
        <v>13.0</v>
      </c>
      <c r="O33" s="10">
        <v>25.0</v>
      </c>
      <c r="P33" s="10">
        <v>5.0</v>
      </c>
      <c r="Q33" s="10">
        <v>0.0</v>
      </c>
      <c r="R33" s="3">
        <f>ROUND(SUM(T33,W33,Z33)/H33,2)</f>
        <v>12.39</v>
      </c>
      <c r="S33" s="3">
        <f>IF(U33=0,0,ROUND(T33/U33,2))</f>
        <v>10.98</v>
      </c>
      <c r="T33" s="10">
        <v>21.96</v>
      </c>
      <c r="U33" s="10">
        <v>2.0</v>
      </c>
      <c r="V33" s="3">
        <f>ROUND(W33/X33,2)</f>
        <v>13.73</v>
      </c>
      <c r="W33" s="10">
        <v>54.91</v>
      </c>
      <c r="X33" s="10">
        <v>4.0</v>
      </c>
      <c r="Y33" s="10">
        <f>ROUND(Z33/AA33,2)</f>
        <v>11.12</v>
      </c>
      <c r="Z33" s="10">
        <v>22.24</v>
      </c>
      <c r="AA33" s="10">
        <v>2.0</v>
      </c>
      <c r="AB33" s="10">
        <v>14.5</v>
      </c>
      <c r="AC33" s="51">
        <f t="array" ref="AC33">ROUND(AVERAGEIF({
    IFERROR(XLOOKUP(B33, 'Surfer Stats - Event 1 proper'!B:B, 'Surfer Stats - Event 1 proper'!AL:AL), ""),
    IFERROR(XLOOKUP(B33, 'Surfer Stats - Event 2'!B:B, 'Surfer Stats - Event 2'!AG:AG), ""),
    IFERROR(XLOOKUP(B33, 'Surfer Stats - Event 3'!B:B, 'Surfer Stats - Event 3'!AF:AF), "")
}, "&lt;&gt;"),2)
</f>
        <v>19.32</v>
      </c>
      <c r="AD33" s="51">
        <f t="array" ref="AD33">XLOOKUP(B33, 'Surfer Stats - Event 3'!B:B, 'Surfer Stats - Event 3'!AF:AF)
</f>
        <v>18.03</v>
      </c>
      <c r="AE33" s="75">
        <v>2750.0</v>
      </c>
      <c r="AF33" s="89">
        <v>35.43</v>
      </c>
    </row>
    <row r="34">
      <c r="A34" s="78">
        <v>1.0</v>
      </c>
      <c r="B34" s="51" t="s">
        <v>142</v>
      </c>
      <c r="C34" s="78">
        <v>3.0</v>
      </c>
      <c r="D34" s="78" t="str">
        <f>VLOOKUP(B34, 'Surfer Stats - Event 2'!$B$1:$AJ$37, 3, FALSE)</f>
        <v>Goofy</v>
      </c>
      <c r="F34" s="3">
        <f t="shared" si="1"/>
        <v>0</v>
      </c>
      <c r="G34" s="10">
        <v>0.0</v>
      </c>
      <c r="H34" s="3">
        <f t="shared" si="2"/>
        <v>10</v>
      </c>
      <c r="I34" s="10">
        <v>0.0</v>
      </c>
      <c r="J34" s="10">
        <v>0.0</v>
      </c>
      <c r="K34" s="10">
        <v>0.0</v>
      </c>
      <c r="L34" s="3">
        <f t="shared" si="3"/>
        <v>1</v>
      </c>
      <c r="M34" s="39" t="s">
        <v>213</v>
      </c>
      <c r="N34" s="10">
        <v>99.0</v>
      </c>
      <c r="O34" s="10">
        <v>99.0</v>
      </c>
      <c r="P34" s="10">
        <v>99.0</v>
      </c>
      <c r="Q34" s="10">
        <v>0.0</v>
      </c>
      <c r="R34" s="10">
        <v>0.0</v>
      </c>
      <c r="S34" s="51">
        <v>11.04</v>
      </c>
      <c r="T34" s="3">
        <f t="shared" ref="T34:T43" si="32">S34*U34</f>
        <v>33.12</v>
      </c>
      <c r="U34" s="10">
        <v>3.0</v>
      </c>
      <c r="V34" s="10">
        <v>11.32</v>
      </c>
      <c r="W34" s="3">
        <f t="shared" ref="W34:W36" si="33">V34*X34</f>
        <v>33.96</v>
      </c>
      <c r="X34" s="10">
        <v>3.0</v>
      </c>
      <c r="Y34" s="64">
        <v>11.84</v>
      </c>
      <c r="Z34" s="75">
        <f t="shared" ref="Z34:Z36" si="34">Y34*AA34</f>
        <v>47.36</v>
      </c>
      <c r="AA34" s="10">
        <v>4.0</v>
      </c>
      <c r="AB34" s="10">
        <v>14.89</v>
      </c>
      <c r="AC34" s="51">
        <f t="array" ref="AC34">ROUND(AVERAGEIF({
    IFERROR(XLOOKUP(B34, 'Surfer Stats - Event 1 proper'!B:B, 'Surfer Stats - Event 1 proper'!AL:AL), ""),
    IFERROR(XLOOKUP(B34, 'Surfer Stats - Event 2'!B:B, 'Surfer Stats - Event 2'!AG:AG), ""),
    IFERROR(XLOOKUP(B34, 'Surfer Stats - Event 3'!B:B, 'Surfer Stats - Event 3'!AF:AF), "")
}, "&lt;&gt;"),2)
</f>
        <v>10.37</v>
      </c>
      <c r="AD34" s="51">
        <f t="array" ref="AD34">XLOOKUP(B34, 'Surfer Stats - Event 3'!B:B, 'Surfer Stats - Event 3'!AF:AF)
</f>
        <v>0</v>
      </c>
      <c r="AE34" s="75">
        <v>1750.0</v>
      </c>
      <c r="AF34" s="89">
        <v>23.29</v>
      </c>
    </row>
    <row r="35">
      <c r="A35" s="64">
        <v>0.0</v>
      </c>
      <c r="B35" s="93" t="s">
        <v>262</v>
      </c>
      <c r="C35" s="91">
        <v>3.0</v>
      </c>
      <c r="D35" s="91" t="str">
        <f>VLOOKUP(B35, 'Surfer Stats - Event 2'!$B$1:$AJ$37, 3, FALSE)</f>
        <v>Goofy</v>
      </c>
      <c r="F35" s="3">
        <f t="shared" si="1"/>
        <v>0</v>
      </c>
      <c r="G35" s="10">
        <v>0.0</v>
      </c>
      <c r="H35" s="3">
        <f t="shared" si="2"/>
        <v>10</v>
      </c>
      <c r="I35" s="10">
        <v>0.0</v>
      </c>
      <c r="J35" s="10">
        <v>0.0</v>
      </c>
      <c r="K35" s="10">
        <v>0.0</v>
      </c>
      <c r="L35" s="3">
        <f t="shared" si="3"/>
        <v>0</v>
      </c>
      <c r="M35" s="39" t="s">
        <v>215</v>
      </c>
      <c r="N35" s="10">
        <v>99.0</v>
      </c>
      <c r="O35" s="10">
        <v>99.0</v>
      </c>
      <c r="P35" s="10">
        <v>99.0</v>
      </c>
      <c r="Q35" s="10">
        <v>0.0</v>
      </c>
      <c r="R35" s="10">
        <v>0.0</v>
      </c>
      <c r="S35" s="51">
        <v>11.04</v>
      </c>
      <c r="T35" s="3">
        <f t="shared" si="32"/>
        <v>33.12</v>
      </c>
      <c r="U35" s="10">
        <v>3.0</v>
      </c>
      <c r="V35" s="10">
        <v>11.32</v>
      </c>
      <c r="W35" s="3">
        <f t="shared" si="33"/>
        <v>33.96</v>
      </c>
      <c r="X35" s="10">
        <v>3.0</v>
      </c>
      <c r="Y35" s="64">
        <v>11.84</v>
      </c>
      <c r="Z35" s="75">
        <f t="shared" si="34"/>
        <v>47.36</v>
      </c>
      <c r="AA35" s="10">
        <v>4.0</v>
      </c>
      <c r="AB35" s="10">
        <v>14.89</v>
      </c>
      <c r="AC35" s="51">
        <f t="array" ref="AC35">ROUND(AVERAGEIF({
    IFERROR(XLOOKUP(B35, 'Surfer Stats - Event 1 proper'!B:B, 'Surfer Stats - Event 1 proper'!AL:AL), ""),
    IFERROR(XLOOKUP(B35, 'Surfer Stats - Event 2'!B:B, 'Surfer Stats - Event 2'!AG:AG), ""),
    IFERROR(XLOOKUP(B35, 'Surfer Stats - Event 3'!B:B, 'Surfer Stats - Event 3'!AF:AF), "")
}, "&lt;&gt;"),2)
</f>
        <v>29.87</v>
      </c>
      <c r="AD35" s="51">
        <v>0.0</v>
      </c>
      <c r="AE35" s="75">
        <v>1750.0</v>
      </c>
      <c r="AF35" s="88"/>
    </row>
    <row r="36">
      <c r="A36" s="51">
        <v>0.0</v>
      </c>
      <c r="B36" s="93" t="s">
        <v>46</v>
      </c>
      <c r="C36" s="91">
        <v>3.0</v>
      </c>
      <c r="D36" s="94" t="s">
        <v>244</v>
      </c>
      <c r="F36" s="3">
        <f t="shared" si="1"/>
        <v>0</v>
      </c>
      <c r="G36" s="10">
        <v>0.0</v>
      </c>
      <c r="H36" s="3">
        <f t="shared" si="2"/>
        <v>10</v>
      </c>
      <c r="I36" s="10">
        <v>0.0</v>
      </c>
      <c r="J36" s="10">
        <v>0.0</v>
      </c>
      <c r="K36" s="10">
        <v>0.0</v>
      </c>
      <c r="L36" s="3">
        <f t="shared" si="3"/>
        <v>0</v>
      </c>
      <c r="M36" s="39" t="s">
        <v>215</v>
      </c>
      <c r="N36" s="10">
        <v>99.0</v>
      </c>
      <c r="O36" s="10">
        <v>99.0</v>
      </c>
      <c r="P36" s="10">
        <v>99.0</v>
      </c>
      <c r="Q36" s="10">
        <v>0.0</v>
      </c>
      <c r="R36" s="10">
        <v>0.0</v>
      </c>
      <c r="S36" s="51">
        <v>11.04</v>
      </c>
      <c r="T36" s="3">
        <f t="shared" si="32"/>
        <v>33.12</v>
      </c>
      <c r="U36" s="10">
        <v>3.0</v>
      </c>
      <c r="V36" s="10">
        <v>11.32</v>
      </c>
      <c r="W36" s="3">
        <f t="shared" si="33"/>
        <v>33.96</v>
      </c>
      <c r="X36" s="10">
        <v>3.0</v>
      </c>
      <c r="Y36" s="64">
        <v>11.84</v>
      </c>
      <c r="Z36" s="75">
        <f t="shared" si="34"/>
        <v>47.36</v>
      </c>
      <c r="AA36" s="10">
        <v>4.0</v>
      </c>
      <c r="AB36" s="10">
        <v>14.89</v>
      </c>
      <c r="AC36" s="51">
        <f t="array" ref="AC36">ROUND(AVERAGEIF({
    IFERROR(XLOOKUP(B36, 'Surfer Stats - Event 1 proper'!B:B, 'Surfer Stats - Event 1 proper'!AL:AL), ""),
    IFERROR(XLOOKUP(B36, 'Surfer Stats - Event 2'!B:B, 'Surfer Stats - Event 2'!AG:AG), ""),
    IFERROR(XLOOKUP(B36, 'Surfer Stats - Event 3'!B:B, 'Surfer Stats - Event 3'!AF:AF), "")
}, "&lt;&gt;"),2)
</f>
        <v>20.92</v>
      </c>
      <c r="AD36" s="51">
        <f t="array" ref="AD36">XLOOKUP(B36, 'Surfer Stats - Event 3'!B:B, 'Surfer Stats - Event 3'!AF:AF)
</f>
        <v>0</v>
      </c>
      <c r="AE36" s="75">
        <v>1750.0</v>
      </c>
      <c r="AF36" s="88"/>
    </row>
    <row r="37">
      <c r="A37" s="78">
        <v>1.0</v>
      </c>
      <c r="B37" s="51" t="s">
        <v>45</v>
      </c>
      <c r="C37" s="78">
        <v>3.0</v>
      </c>
      <c r="D37" s="78" t="str">
        <f>VLOOKUP(B37, 'Surfer Stats - Event 2'!$B$1:$AJ$37, 3, FALSE)</f>
        <v>Regular</v>
      </c>
      <c r="F37" s="3">
        <f t="shared" si="1"/>
        <v>0.43</v>
      </c>
      <c r="G37" s="10">
        <v>0.5</v>
      </c>
      <c r="H37" s="3">
        <f t="shared" si="2"/>
        <v>10</v>
      </c>
      <c r="I37" s="3">
        <f>4/5</f>
        <v>0.8</v>
      </c>
      <c r="J37" s="10">
        <v>0.0</v>
      </c>
      <c r="K37" s="10">
        <v>0.0</v>
      </c>
      <c r="L37" s="3">
        <f t="shared" si="3"/>
        <v>0</v>
      </c>
      <c r="M37" s="39" t="s">
        <v>214</v>
      </c>
      <c r="N37" s="10">
        <v>9.0</v>
      </c>
      <c r="O37" s="10">
        <v>25.0</v>
      </c>
      <c r="P37" s="10">
        <v>5.0</v>
      </c>
      <c r="Q37" s="10">
        <v>0.0</v>
      </c>
      <c r="R37" s="3">
        <f>ROUND(SUM(T37,W37,Z37)/H37,2)</f>
        <v>11.92</v>
      </c>
      <c r="S37" s="51">
        <v>11.04</v>
      </c>
      <c r="T37" s="3">
        <f t="shared" si="32"/>
        <v>33.12</v>
      </c>
      <c r="U37" s="10">
        <v>3.0</v>
      </c>
      <c r="V37" s="3">
        <f>ROUND(W37/X37,2)</f>
        <v>11.56</v>
      </c>
      <c r="W37" s="10">
        <v>57.8</v>
      </c>
      <c r="X37" s="10">
        <v>5.0</v>
      </c>
      <c r="Y37" s="10">
        <f>ROUND(Z37/AA37,2)</f>
        <v>14.16</v>
      </c>
      <c r="Z37" s="10">
        <v>28.31</v>
      </c>
      <c r="AA37" s="10">
        <v>2.0</v>
      </c>
      <c r="AB37" s="10">
        <v>13.03</v>
      </c>
      <c r="AC37" s="51">
        <f t="array" ref="AC37">ROUND(AVERAGEIF({
    IFERROR(XLOOKUP(B37, 'Surfer Stats - Event 1 proper'!B:B, 'Surfer Stats - Event 1 proper'!AL:AL), ""),
    IFERROR(XLOOKUP(B37, 'Surfer Stats - Event 2'!B:B, 'Surfer Stats - Event 2'!AG:AG), ""),
    IFERROR(XLOOKUP(B37, 'Surfer Stats - Event 3'!B:B, 'Surfer Stats - Event 3'!AF:AF), "")
}, "&lt;&gt;"),2)
</f>
        <v>19.89</v>
      </c>
      <c r="AD37" s="51">
        <f t="array" ref="AD37">XLOOKUP(B37, 'Surfer Stats - Event 3'!B:B, 'Surfer Stats - Event 3'!AF:AF)
</f>
        <v>26.9</v>
      </c>
      <c r="AE37" s="75">
        <v>1500.0</v>
      </c>
      <c r="AF37" s="89">
        <v>27.0</v>
      </c>
    </row>
    <row r="38">
      <c r="A38" s="51">
        <v>1.0</v>
      </c>
      <c r="B38" s="51" t="s">
        <v>63</v>
      </c>
      <c r="C38" s="78">
        <v>3.0</v>
      </c>
      <c r="D38" s="78" t="str">
        <f>VLOOKUP(B38, 'Surfer Stats - Event 2'!$B$1:$AJ$37, 3, FALSE)</f>
        <v>Regular</v>
      </c>
      <c r="F38" s="3">
        <f t="shared" si="1"/>
        <v>0</v>
      </c>
      <c r="G38" s="10">
        <v>0.0</v>
      </c>
      <c r="H38" s="3">
        <f t="shared" si="2"/>
        <v>10</v>
      </c>
      <c r="I38" s="10">
        <v>0.0</v>
      </c>
      <c r="J38" s="10">
        <v>0.0</v>
      </c>
      <c r="K38" s="10">
        <v>0.0</v>
      </c>
      <c r="L38" s="3">
        <f t="shared" si="3"/>
        <v>0</v>
      </c>
      <c r="M38" s="10" t="s">
        <v>215</v>
      </c>
      <c r="N38" s="10">
        <v>99.0</v>
      </c>
      <c r="O38" s="10">
        <v>99.0</v>
      </c>
      <c r="P38" s="10">
        <v>99.0</v>
      </c>
      <c r="Q38" s="10">
        <v>0.0</v>
      </c>
      <c r="R38" s="10">
        <v>0.0</v>
      </c>
      <c r="S38" s="51">
        <v>11.04</v>
      </c>
      <c r="T38" s="3">
        <f t="shared" si="32"/>
        <v>33.12</v>
      </c>
      <c r="U38" s="10">
        <v>3.0</v>
      </c>
      <c r="V38" s="10">
        <v>11.32</v>
      </c>
      <c r="W38" s="3">
        <f t="shared" ref="W38:W43" si="35">V38*X38</f>
        <v>33.96</v>
      </c>
      <c r="X38" s="10">
        <v>3.0</v>
      </c>
      <c r="Y38" s="64">
        <v>11.84</v>
      </c>
      <c r="Z38" s="75">
        <f>Y38*AA38</f>
        <v>47.36</v>
      </c>
      <c r="AA38" s="10">
        <v>4.0</v>
      </c>
      <c r="AB38" s="10">
        <v>14.89</v>
      </c>
      <c r="AC38" s="51">
        <f t="array" ref="AC38">ROUND(AVERAGEIF({
    IFERROR(XLOOKUP(B38, 'Surfer Stats - Event 1 proper'!B:B, 'Surfer Stats - Event 1 proper'!AL:AL), ""),
    IFERROR(XLOOKUP(B38, 'Surfer Stats - Event 2'!B:B, 'Surfer Stats - Event 2'!AG:AG), ""),
    IFERROR(XLOOKUP(B38, 'Surfer Stats - Event 3'!B:B, 'Surfer Stats - Event 3'!AF:AF), "")
}, "&lt;&gt;"),2)
</f>
        <v>24.49</v>
      </c>
      <c r="AD38" s="51">
        <f t="array" ref="AD38">XLOOKUP(B38, 'Surfer Stats - Event 3'!B:B, 'Surfer Stats - Event 3'!AF:AF)
</f>
        <v>26.89</v>
      </c>
      <c r="AE38" s="75">
        <v>1500.0</v>
      </c>
      <c r="AF38" s="89">
        <v>15.91</v>
      </c>
    </row>
    <row r="39">
      <c r="A39" s="51">
        <v>1.0</v>
      </c>
      <c r="B39" s="51" t="s">
        <v>66</v>
      </c>
      <c r="C39" s="78">
        <v>3.0</v>
      </c>
      <c r="D39" s="78" t="str">
        <f>VLOOKUP(B39, 'Surfer Stats - Event 2'!$B$1:$AJ$37, 3, FALSE)</f>
        <v>Regular</v>
      </c>
      <c r="F39" s="3">
        <f t="shared" si="1"/>
        <v>0.17</v>
      </c>
      <c r="G39" s="10">
        <v>0.0</v>
      </c>
      <c r="H39" s="3">
        <f t="shared" si="2"/>
        <v>8</v>
      </c>
      <c r="I39" s="10">
        <v>0.0</v>
      </c>
      <c r="J39" s="10">
        <v>0.5</v>
      </c>
      <c r="K39" s="10">
        <v>0.0</v>
      </c>
      <c r="L39" s="3">
        <f t="shared" si="3"/>
        <v>0</v>
      </c>
      <c r="M39" s="10" t="s">
        <v>221</v>
      </c>
      <c r="N39" s="10">
        <v>99.0</v>
      </c>
      <c r="O39" s="10">
        <v>13.0</v>
      </c>
      <c r="P39" s="10">
        <v>99.0</v>
      </c>
      <c r="Q39" s="10">
        <v>0.0</v>
      </c>
      <c r="R39" s="3">
        <f>ROUND(SUM(T39,W39,Z39)/H39,2)</f>
        <v>10.8</v>
      </c>
      <c r="S39" s="51">
        <v>11.04</v>
      </c>
      <c r="T39" s="3">
        <f t="shared" si="32"/>
        <v>33.12</v>
      </c>
      <c r="U39" s="10">
        <v>3.0</v>
      </c>
      <c r="V39" s="10">
        <v>11.32</v>
      </c>
      <c r="W39" s="3">
        <f t="shared" si="35"/>
        <v>33.96</v>
      </c>
      <c r="X39" s="10">
        <v>3.0</v>
      </c>
      <c r="Y39" s="10">
        <f>ROUND(Z39/AA39,2)</f>
        <v>9.65</v>
      </c>
      <c r="Z39" s="10">
        <v>19.3</v>
      </c>
      <c r="AA39" s="10">
        <v>2.0</v>
      </c>
      <c r="AB39" s="10">
        <v>14.3</v>
      </c>
      <c r="AC39" s="51">
        <f t="array" ref="AC39">ROUND(AVERAGEIF({
    IFERROR(XLOOKUP(B39, 'Surfer Stats - Event 1 proper'!B:B, 'Surfer Stats - Event 1 proper'!AL:AL), ""),
    IFERROR(XLOOKUP(B39, 'Surfer Stats - Event 2'!B:B, 'Surfer Stats - Event 2'!AG:AG), ""),
    IFERROR(XLOOKUP(B39, 'Surfer Stats - Event 3'!B:B, 'Surfer Stats - Event 3'!AF:AF), "")
}, "&lt;&gt;"),2)
</f>
        <v>20.87</v>
      </c>
      <c r="AD39" s="51">
        <f t="array" ref="AD39">XLOOKUP(B39, 'Surfer Stats - Event 3'!B:B, 'Surfer Stats - Event 3'!AF:AF)
</f>
        <v>23.01</v>
      </c>
      <c r="AE39" s="75">
        <v>1500.0</v>
      </c>
      <c r="AF39" s="92">
        <v>20.53</v>
      </c>
    </row>
    <row r="40">
      <c r="A40" s="51">
        <v>0.0</v>
      </c>
      <c r="B40" s="93" t="s">
        <v>143</v>
      </c>
      <c r="C40" s="91">
        <v>3.0</v>
      </c>
      <c r="D40" s="94" t="s">
        <v>244</v>
      </c>
      <c r="F40" s="3">
        <f t="shared" si="1"/>
        <v>0</v>
      </c>
      <c r="G40" s="10">
        <v>0.0</v>
      </c>
      <c r="H40" s="3">
        <f t="shared" si="2"/>
        <v>10</v>
      </c>
      <c r="I40" s="10">
        <v>0.0</v>
      </c>
      <c r="J40" s="10">
        <v>0.0</v>
      </c>
      <c r="K40" s="10">
        <v>0.0</v>
      </c>
      <c r="L40" s="3">
        <f t="shared" si="3"/>
        <v>1</v>
      </c>
      <c r="M40" s="10" t="s">
        <v>213</v>
      </c>
      <c r="N40" s="10">
        <v>99.0</v>
      </c>
      <c r="O40" s="10">
        <v>99.0</v>
      </c>
      <c r="P40" s="10">
        <v>99.0</v>
      </c>
      <c r="Q40" s="10">
        <v>0.0</v>
      </c>
      <c r="R40" s="10">
        <v>0.0</v>
      </c>
      <c r="S40" s="51">
        <v>11.04</v>
      </c>
      <c r="T40" s="3">
        <f t="shared" si="32"/>
        <v>33.12</v>
      </c>
      <c r="U40" s="10">
        <v>3.0</v>
      </c>
      <c r="V40" s="10">
        <v>11.32</v>
      </c>
      <c r="W40" s="3">
        <f t="shared" si="35"/>
        <v>33.96</v>
      </c>
      <c r="X40" s="10">
        <v>3.0</v>
      </c>
      <c r="Y40" s="64">
        <v>11.84</v>
      </c>
      <c r="Z40" s="75">
        <f t="shared" ref="Z40:Z43" si="36">Y40*AA40</f>
        <v>47.36</v>
      </c>
      <c r="AA40" s="10">
        <v>4.0</v>
      </c>
      <c r="AB40" s="10">
        <v>14.89</v>
      </c>
      <c r="AC40" s="51">
        <f t="array" ref="AC40">ROUND(AVERAGEIF({
    IFERROR(XLOOKUP(B40, 'Surfer Stats - Event 1 proper'!B:B, 'Surfer Stats - Event 1 proper'!AL:AL), ""),
    IFERROR(XLOOKUP(B40, 'Surfer Stats - Event 2'!B:B, 'Surfer Stats - Event 2'!AG:AG), ""),
    IFERROR(XLOOKUP(B40, 'Surfer Stats - Event 3'!B:B, 'Surfer Stats - Event 3'!AF:AF), "")
}, "&lt;&gt;"),2)
</f>
        <v>19.03</v>
      </c>
      <c r="AD40" s="51">
        <f t="array" ref="AD40">XLOOKUP(B40, 'Surfer Stats - Event 3'!B:B, 'Surfer Stats - Event 3'!AF:AF)
</f>
        <v>19.03</v>
      </c>
      <c r="AE40" s="75">
        <v>500.0</v>
      </c>
      <c r="AF40" s="95"/>
    </row>
    <row r="41">
      <c r="A41" s="51">
        <v>0.0</v>
      </c>
      <c r="B41" s="93" t="s">
        <v>144</v>
      </c>
      <c r="C41" s="91">
        <v>3.0</v>
      </c>
      <c r="D41" s="94" t="s">
        <v>244</v>
      </c>
      <c r="F41" s="3">
        <f t="shared" si="1"/>
        <v>0</v>
      </c>
      <c r="G41" s="10">
        <v>0.0</v>
      </c>
      <c r="H41" s="3">
        <f t="shared" si="2"/>
        <v>10</v>
      </c>
      <c r="I41" s="10">
        <v>0.0</v>
      </c>
      <c r="J41" s="10">
        <v>0.0</v>
      </c>
      <c r="K41" s="10">
        <v>0.0</v>
      </c>
      <c r="L41" s="3">
        <f t="shared" si="3"/>
        <v>0</v>
      </c>
      <c r="M41" s="10" t="s">
        <v>215</v>
      </c>
      <c r="N41" s="10">
        <v>99.0</v>
      </c>
      <c r="O41" s="10">
        <v>99.0</v>
      </c>
      <c r="P41" s="10">
        <v>99.0</v>
      </c>
      <c r="Q41" s="10">
        <v>0.0</v>
      </c>
      <c r="R41" s="10">
        <v>0.0</v>
      </c>
      <c r="S41" s="51">
        <v>11.04</v>
      </c>
      <c r="T41" s="3">
        <f t="shared" si="32"/>
        <v>33.12</v>
      </c>
      <c r="U41" s="10">
        <v>3.0</v>
      </c>
      <c r="V41" s="10">
        <v>11.32</v>
      </c>
      <c r="W41" s="3">
        <f t="shared" si="35"/>
        <v>33.96</v>
      </c>
      <c r="X41" s="10">
        <v>3.0</v>
      </c>
      <c r="Y41" s="64">
        <v>11.84</v>
      </c>
      <c r="Z41" s="75">
        <f t="shared" si="36"/>
        <v>47.36</v>
      </c>
      <c r="AA41" s="10">
        <v>4.0</v>
      </c>
      <c r="AB41" s="10">
        <v>14.89</v>
      </c>
      <c r="AC41" s="51">
        <f t="array" ref="AC41">ROUND(AVERAGEIF({
    IFERROR(XLOOKUP(B41, 'Surfer Stats - Event 1 proper'!B:B, 'Surfer Stats - Event 1 proper'!AL:AL), ""),
    IFERROR(XLOOKUP(B41, 'Surfer Stats - Event 2'!B:B, 'Surfer Stats - Event 2'!AG:AG), ""),
    IFERROR(XLOOKUP(B41, 'Surfer Stats - Event 3'!B:B, 'Surfer Stats - Event 3'!AF:AF), "")
}, "&lt;&gt;"),2)
</f>
        <v>20.07</v>
      </c>
      <c r="AD41" s="51">
        <f t="array" ref="AD41">XLOOKUP(B41, 'Surfer Stats - Event 3'!B:B, 'Surfer Stats - Event 3'!AF:AF)
</f>
        <v>20.07</v>
      </c>
      <c r="AE41" s="75">
        <v>500.0</v>
      </c>
      <c r="AF41" s="95"/>
    </row>
    <row r="42">
      <c r="A42" s="51">
        <v>1.0</v>
      </c>
      <c r="B42" s="85" t="s">
        <v>168</v>
      </c>
      <c r="C42" s="78">
        <v>3.0</v>
      </c>
      <c r="D42" s="64" t="s">
        <v>244</v>
      </c>
      <c r="F42" s="3">
        <f t="shared" si="1"/>
        <v>0</v>
      </c>
      <c r="G42" s="10">
        <v>0.0</v>
      </c>
      <c r="H42" s="3">
        <f t="shared" si="2"/>
        <v>10</v>
      </c>
      <c r="I42" s="10">
        <v>0.0</v>
      </c>
      <c r="J42" s="10">
        <v>0.0</v>
      </c>
      <c r="K42" s="10">
        <v>0.0</v>
      </c>
      <c r="L42" s="3">
        <f t="shared" si="3"/>
        <v>1</v>
      </c>
      <c r="M42" s="10" t="s">
        <v>213</v>
      </c>
      <c r="N42" s="10">
        <v>99.0</v>
      </c>
      <c r="O42" s="10">
        <v>25.0</v>
      </c>
      <c r="P42" s="10">
        <v>99.0</v>
      </c>
      <c r="Q42" s="10">
        <v>0.0</v>
      </c>
      <c r="R42" s="10">
        <v>0.0</v>
      </c>
      <c r="S42" s="51">
        <v>11.04</v>
      </c>
      <c r="T42" s="3">
        <f t="shared" si="32"/>
        <v>33.12</v>
      </c>
      <c r="U42" s="10">
        <v>3.0</v>
      </c>
      <c r="V42" s="10">
        <v>11.32</v>
      </c>
      <c r="W42" s="3">
        <f t="shared" si="35"/>
        <v>33.96</v>
      </c>
      <c r="X42" s="10">
        <v>3.0</v>
      </c>
      <c r="Y42" s="64">
        <v>11.84</v>
      </c>
      <c r="Z42" s="75">
        <f t="shared" si="36"/>
        <v>47.36</v>
      </c>
      <c r="AA42" s="10">
        <v>4.0</v>
      </c>
      <c r="AB42" s="10">
        <v>14.89</v>
      </c>
      <c r="AC42" s="51">
        <v>0.0</v>
      </c>
      <c r="AD42" s="51">
        <v>0.0</v>
      </c>
      <c r="AE42" s="51">
        <v>0.0</v>
      </c>
      <c r="AF42" s="88">
        <v>20.03</v>
      </c>
    </row>
    <row r="43">
      <c r="A43" s="78">
        <v>1.0</v>
      </c>
      <c r="B43" s="85" t="s">
        <v>169</v>
      </c>
      <c r="C43" s="78">
        <v>3.0</v>
      </c>
      <c r="D43" s="64" t="s">
        <v>247</v>
      </c>
      <c r="F43" s="3">
        <f t="shared" si="1"/>
        <v>0</v>
      </c>
      <c r="G43" s="10">
        <v>0.0</v>
      </c>
      <c r="H43" s="3">
        <f t="shared" si="2"/>
        <v>10</v>
      </c>
      <c r="I43" s="10">
        <v>0.0</v>
      </c>
      <c r="J43" s="10">
        <v>0.0</v>
      </c>
      <c r="K43" s="10">
        <v>0.0</v>
      </c>
      <c r="L43" s="3">
        <f t="shared" si="3"/>
        <v>1</v>
      </c>
      <c r="M43" s="10" t="s">
        <v>213</v>
      </c>
      <c r="N43" s="10">
        <v>99.0</v>
      </c>
      <c r="O43" s="10">
        <v>99.0</v>
      </c>
      <c r="P43" s="10">
        <v>99.0</v>
      </c>
      <c r="Q43" s="10">
        <v>0.0</v>
      </c>
      <c r="R43" s="10">
        <v>0.0</v>
      </c>
      <c r="S43" s="51">
        <v>11.04</v>
      </c>
      <c r="T43" s="3">
        <f t="shared" si="32"/>
        <v>33.12</v>
      </c>
      <c r="U43" s="10">
        <v>3.0</v>
      </c>
      <c r="V43" s="10">
        <v>11.32</v>
      </c>
      <c r="W43" s="3">
        <f t="shared" si="35"/>
        <v>33.96</v>
      </c>
      <c r="X43" s="10">
        <v>3.0</v>
      </c>
      <c r="Y43" s="64">
        <v>11.84</v>
      </c>
      <c r="Z43" s="75">
        <f t="shared" si="36"/>
        <v>47.36</v>
      </c>
      <c r="AA43" s="10">
        <v>4.0</v>
      </c>
      <c r="AB43" s="10">
        <v>14.89</v>
      </c>
      <c r="AC43" s="51">
        <v>0.0</v>
      </c>
      <c r="AD43" s="51">
        <v>0.0</v>
      </c>
      <c r="AE43" s="51">
        <v>0.0</v>
      </c>
      <c r="AF43" s="89">
        <v>99.62</v>
      </c>
    </row>
    <row r="44">
      <c r="A44" s="64"/>
      <c r="B44" s="74"/>
      <c r="C44" s="74"/>
      <c r="D44" s="74"/>
      <c r="AC44" s="51"/>
      <c r="AD44" s="51"/>
      <c r="AF44" s="95"/>
    </row>
    <row r="45">
      <c r="A45" s="78"/>
      <c r="B45" s="74"/>
      <c r="C45" s="74"/>
      <c r="D45" s="74"/>
      <c r="AC45" s="51"/>
      <c r="AD45" s="51"/>
      <c r="AF45" s="95"/>
    </row>
    <row r="46">
      <c r="A46" s="78"/>
      <c r="B46" s="96" t="s">
        <v>25</v>
      </c>
      <c r="C46" s="74"/>
      <c r="D46" s="74"/>
      <c r="S46" s="75">
        <f t="shared" ref="S46:S51" si="37">IF(T46=0,0,ROUND(T46/U46,2))</f>
        <v>0</v>
      </c>
      <c r="T46" s="75">
        <f>SUMIFS( '2014Data'!I:I, '2014Data'!F:F, B46,'2014Data'!B:B, "2" )</f>
        <v>0</v>
      </c>
      <c r="U46" s="75">
        <f>COUNTIFS('2014Data'!N:N, J46,'2014Data'!J:J, "6" )</f>
        <v>0</v>
      </c>
      <c r="V46" s="75">
        <f t="shared" ref="V46:V51" si="38">IF(W46=0,0,ROUND(W46/X46,2))</f>
        <v>9.99</v>
      </c>
      <c r="W46" s="75">
        <f>SUMIFS( historical_events_FACT!J:J, historical_events_FACT!G:G, B46,historical_events_FACT!B:B, "2015",historical_events_FACT!C:C, "4" )</f>
        <v>49.94</v>
      </c>
      <c r="X46" s="75">
        <f>COUNTIFS(historical_events_FACT!G:G, B46,historical_events_FACT!B:B, "2015",historical_events_FACT!C:C, "4" )</f>
        <v>5</v>
      </c>
      <c r="Y46" s="75">
        <f t="shared" ref="Y46:Y51" si="39">IF(AA46=0,0,ROUND(Z46/AA46,2))</f>
        <v>12.8</v>
      </c>
      <c r="Z46" s="75">
        <f>SUMIFS( historical_events_FACT!J:J, historical_events_FACT!G:G, B46,historical_events_FACT!B:B, "2016",historical_events_FACT!C:C, "4" )</f>
        <v>25.6</v>
      </c>
      <c r="AA46" s="3">
        <f>COUNTIFS(historical_events_FACT!G:G, B46,historical_events_FACT!B:B, "2016",historical_events_FACT!C:C, "4" )</f>
        <v>2</v>
      </c>
      <c r="AB46" s="75">
        <f>MAXIFS( historical_events_FACT!J:J, historical_events_FACT!G:G, B46,historical_events_FACT!C:C, "4" )</f>
        <v>14.17</v>
      </c>
      <c r="AC46" s="51"/>
      <c r="AD46" s="51"/>
      <c r="AE46" s="10"/>
      <c r="AF46" s="95"/>
    </row>
    <row r="47">
      <c r="A47" s="78"/>
      <c r="B47" s="96" t="s">
        <v>149</v>
      </c>
      <c r="C47" s="74"/>
      <c r="D47" s="74"/>
      <c r="S47" s="75">
        <f t="shared" si="37"/>
        <v>0</v>
      </c>
      <c r="T47" s="75">
        <f>SUMIFS( '2014Data'!I:I, '2014Data'!F:F, B47,'2014Data'!B:B, "2" )</f>
        <v>0</v>
      </c>
      <c r="U47" s="75">
        <f>COUNTIFS('2014Data'!N:N, J47,'2014Data'!J:J, "6" )</f>
        <v>0</v>
      </c>
      <c r="V47" s="75">
        <f t="shared" si="38"/>
        <v>0</v>
      </c>
      <c r="W47" s="75">
        <f>SUMIFS( historical_events_FACT!J:J, historical_events_FACT!G:G, B47,historical_events_FACT!B:B, "2015",historical_events_FACT!C:C, "2" )</f>
        <v>0</v>
      </c>
      <c r="X47" s="75">
        <f>COUNTIFS(historical_events_FACT!G:G, B47,historical_events_FACT!B:B, "2015",historical_events_FACT!C:C, "2" )</f>
        <v>0</v>
      </c>
      <c r="Y47" s="75">
        <f t="shared" si="39"/>
        <v>0</v>
      </c>
      <c r="Z47" s="75">
        <f>SUMIFS( historical_events_FACT!J:J, historical_events_FACT!G:G, B47,historical_events_FACT!B:B, "2016",historical_events_FACT!C:C, "4" )</f>
        <v>0</v>
      </c>
      <c r="AA47" s="3">
        <f>COUNTIFS(historical_events_FACT!G:G, B47,historical_events_FACT!B:B, "2016",historical_events_FACT!C:C, "4" )</f>
        <v>0</v>
      </c>
      <c r="AB47" s="75">
        <f>MAXIFS( historical_events_FACT!J:J, historical_events_FACT!G:G, B47,historical_events_FACT!C:C, "4" )</f>
        <v>0</v>
      </c>
      <c r="AC47" s="51"/>
      <c r="AD47" s="51">
        <v>100.67</v>
      </c>
      <c r="AE47" s="10">
        <v>7.0</v>
      </c>
      <c r="AF47" s="95"/>
    </row>
    <row r="48">
      <c r="A48" s="78"/>
      <c r="B48" s="96" t="s">
        <v>17</v>
      </c>
      <c r="C48" s="74"/>
      <c r="D48" s="74"/>
      <c r="S48" s="75">
        <f t="shared" si="37"/>
        <v>0</v>
      </c>
      <c r="T48" s="75">
        <f>SUMIFS( '2014Data'!I:I, '2014Data'!F:F, B48,'2014Data'!B:B, "2" )</f>
        <v>0</v>
      </c>
      <c r="U48" s="75">
        <f>COUNTIFS('2014Data'!N:N, J48,'2014Data'!J:J, "6" )</f>
        <v>0</v>
      </c>
      <c r="V48" s="75">
        <f t="shared" si="38"/>
        <v>11.29</v>
      </c>
      <c r="W48" s="75">
        <f>SUMIFS( historical_events_FACT!J:J, historical_events_FACT!G:G, B48,historical_events_FACT!B:B, "2015",historical_events_FACT!C:C, "2" )</f>
        <v>22.57</v>
      </c>
      <c r="X48" s="75">
        <f>COUNTIFS(historical_events_FACT!G:G, B48,historical_events_FACT!B:B, "2015",historical_events_FACT!C:C, "2" )</f>
        <v>2</v>
      </c>
      <c r="Y48" s="75">
        <f t="shared" si="39"/>
        <v>13.2</v>
      </c>
      <c r="Z48" s="75">
        <f>SUMIFS( historical_events_FACT!J:J, historical_events_FACT!G:G, B48,historical_events_FACT!B:B, "2016",historical_events_FACT!C:C, "4" )</f>
        <v>52.8</v>
      </c>
      <c r="AA48" s="3">
        <f>COUNTIFS(historical_events_FACT!G:G, B48,historical_events_FACT!B:B, "2016",historical_events_FACT!C:C, "4" )</f>
        <v>4</v>
      </c>
      <c r="AB48" s="75">
        <f>MAXIFS( historical_events_FACT!J:J, historical_events_FACT!G:G, B48,historical_events_FACT!C:C, "4" )</f>
        <v>16.5</v>
      </c>
      <c r="AC48" s="51"/>
      <c r="AD48" s="51">
        <v>77.97</v>
      </c>
      <c r="AE48" s="10">
        <v>5.0</v>
      </c>
      <c r="AF48" s="95"/>
    </row>
    <row r="49">
      <c r="A49" s="78"/>
      <c r="B49" s="96" t="s">
        <v>54</v>
      </c>
      <c r="C49" s="74"/>
      <c r="D49" s="74"/>
      <c r="S49" s="75">
        <f t="shared" si="37"/>
        <v>0</v>
      </c>
      <c r="T49" s="75">
        <f>SUMIFS( '2014Data'!I:I, '2014Data'!F:F, B49,'2014Data'!B:B, "2" )</f>
        <v>0</v>
      </c>
      <c r="U49" s="75">
        <f>COUNTIFS('2014Data'!N:N, J49,'2014Data'!J:J, "6" )</f>
        <v>0</v>
      </c>
      <c r="V49" s="75">
        <f t="shared" si="38"/>
        <v>11.79</v>
      </c>
      <c r="W49" s="75">
        <f>SUMIFS( historical_events_FACT!J:J, historical_events_FACT!G:G, B49,historical_events_FACT!B:B, "2015",historical_events_FACT!C:C, "2" )</f>
        <v>23.57</v>
      </c>
      <c r="X49" s="75">
        <f>COUNTIFS(historical_events_FACT!G:G, B49,historical_events_FACT!B:B, "2015",historical_events_FACT!C:C, "2" )</f>
        <v>2</v>
      </c>
      <c r="Y49" s="75">
        <f t="shared" si="39"/>
        <v>12.44</v>
      </c>
      <c r="Z49" s="75">
        <f>SUMIFS( historical_events_FACT!J:J, historical_events_FACT!G:G, B49,historical_events_FACT!B:B, "2016",historical_events_FACT!C:C, "4" )</f>
        <v>24.88</v>
      </c>
      <c r="AA49" s="3">
        <f>COUNTIFS(historical_events_FACT!G:G, B49,historical_events_FACT!B:B, "2016",historical_events_FACT!C:C, "4" )</f>
        <v>2</v>
      </c>
      <c r="AB49" s="75">
        <f>MAXIFS( historical_events_FACT!J:J, historical_events_FACT!G:G, B49,historical_events_FACT!C:C, "4" )</f>
        <v>15.97</v>
      </c>
      <c r="AC49" s="51"/>
      <c r="AD49" s="51"/>
      <c r="AF49" s="95"/>
    </row>
    <row r="50">
      <c r="A50" s="78"/>
      <c r="B50" s="96" t="s">
        <v>96</v>
      </c>
      <c r="C50" s="74"/>
      <c r="D50" s="74"/>
      <c r="S50" s="75">
        <f t="shared" si="37"/>
        <v>0</v>
      </c>
      <c r="T50" s="75">
        <f>SUMIFS( '2014Data'!I:I, '2014Data'!F:F, B50,'2014Data'!B:B, "2" )</f>
        <v>0</v>
      </c>
      <c r="U50" s="75">
        <f>COUNTIFS('2014Data'!N:N, J50,'2014Data'!J:J, "6" )</f>
        <v>0</v>
      </c>
      <c r="V50" s="75">
        <f t="shared" si="38"/>
        <v>11.5</v>
      </c>
      <c r="W50" s="75">
        <f>SUMIFS( historical_events_FACT!J:J, historical_events_FACT!G:G, B50,historical_events_FACT!B:B, "2015",historical_events_FACT!C:C, "2" )</f>
        <v>23</v>
      </c>
      <c r="X50" s="75">
        <f>COUNTIFS(historical_events_FACT!G:G, B50,historical_events_FACT!B:B, "2015",historical_events_FACT!C:C, "2" )</f>
        <v>2</v>
      </c>
      <c r="Y50" s="75">
        <f t="shared" si="39"/>
        <v>0</v>
      </c>
      <c r="Z50" s="75">
        <f>SUMIFS( historical_events_FACT!J:J, historical_events_FACT!G:G, B50,historical_events_FACT!B:B, "2016",historical_events_FACT!C:C, "4" )</f>
        <v>0</v>
      </c>
      <c r="AA50" s="3">
        <f>COUNTIFS(historical_events_FACT!G:G, B50,historical_events_FACT!B:B, "2016",historical_events_FACT!C:C, "4" )</f>
        <v>0</v>
      </c>
      <c r="AB50" s="75">
        <f>MAXIFS( historical_events_FACT!J:J, historical_events_FACT!G:G, B50,historical_events_FACT!C:C, "4" )</f>
        <v>16.57</v>
      </c>
      <c r="AC50" s="51"/>
      <c r="AD50" s="51"/>
      <c r="AF50" s="95"/>
    </row>
    <row r="51">
      <c r="A51" s="78"/>
      <c r="B51" s="96" t="s">
        <v>44</v>
      </c>
      <c r="C51" s="74"/>
      <c r="D51" s="74"/>
      <c r="S51" s="75">
        <f t="shared" si="37"/>
        <v>0</v>
      </c>
      <c r="T51" s="75">
        <f>SUMIFS( '2014Data'!I:I, '2014Data'!F:F, B51,'2014Data'!B:B, "2" )</f>
        <v>0</v>
      </c>
      <c r="U51" s="75">
        <f>COUNTIFS('2014Data'!N:N, J51,'2014Data'!J:J, "6" )</f>
        <v>0</v>
      </c>
      <c r="V51" s="75">
        <f t="shared" si="38"/>
        <v>13.14</v>
      </c>
      <c r="W51" s="75">
        <f>SUMIFS( historical_events_FACT!J:J, historical_events_FACT!G:G, B51,historical_events_FACT!B:B, "2015",historical_events_FACT!C:C, "2" )</f>
        <v>39.43</v>
      </c>
      <c r="X51" s="75">
        <f>COUNTIFS(historical_events_FACT!G:G, B51,historical_events_FACT!B:B, "2015",historical_events_FACT!C:C, "2" )</f>
        <v>3</v>
      </c>
      <c r="Y51" s="75">
        <f t="shared" si="39"/>
        <v>11.7</v>
      </c>
      <c r="Z51" s="75">
        <f>SUMIFS( historical_events_FACT!J:J, historical_events_FACT!G:G, B51,historical_events_FACT!B:B, "2016",historical_events_FACT!C:C, "4" )</f>
        <v>35.1</v>
      </c>
      <c r="AA51" s="3">
        <f>COUNTIFS(historical_events_FACT!G:G, B51,historical_events_FACT!B:B, "2016",historical_events_FACT!C:C, "4" )</f>
        <v>3</v>
      </c>
      <c r="AB51" s="75">
        <f>MAXIFS( historical_events_FACT!J:J, historical_events_FACT!G:G, B51,historical_events_FACT!C:C, "4" )</f>
        <v>14.76</v>
      </c>
      <c r="AC51" s="51"/>
      <c r="AD51" s="51"/>
      <c r="AF51" s="95"/>
    </row>
    <row r="52">
      <c r="A52" s="78"/>
      <c r="B52" s="96"/>
      <c r="C52" s="74"/>
      <c r="D52" s="74"/>
      <c r="Y52" s="75"/>
      <c r="Z52" s="75"/>
      <c r="AB52" s="75"/>
      <c r="AC52" s="51"/>
      <c r="AD52" s="51"/>
      <c r="AF52" s="95"/>
    </row>
    <row r="53">
      <c r="A53" s="78"/>
      <c r="B53" s="51" t="s">
        <v>124</v>
      </c>
      <c r="C53" s="74"/>
      <c r="D53" s="74"/>
      <c r="E53" s="10">
        <v>20.4</v>
      </c>
      <c r="F53" s="10">
        <v>2.0</v>
      </c>
      <c r="V53" s="10">
        <v>11.32</v>
      </c>
      <c r="W53" s="3">
        <f>V53*X53</f>
        <v>33.96</v>
      </c>
      <c r="X53" s="10">
        <v>3.0</v>
      </c>
      <c r="Y53" s="75">
        <f>IF(AA53=0,0,ROUND(Z53/AA53,2))</f>
        <v>0</v>
      </c>
      <c r="Z53" s="75">
        <f>SUMIFS( historical_events_FACT!J:J, historical_events_FACT!G:G, B53,historical_events_FACT!B:B, "2016",historical_events_FACT!C:C, "2" )</f>
        <v>0</v>
      </c>
      <c r="AA53" s="3">
        <f>COUNTIFS(historical_events_FACT!G:G, B53,historical_events_FACT!B:B, "2016",historical_events_FACT!C:C, "2" )</f>
        <v>0</v>
      </c>
      <c r="AB53" s="75">
        <f>MAXIFS( historical_events_FACT!J:J, historical_events_FACT!G:G, B53,historical_events_FACT!C:C, "2" )</f>
        <v>0</v>
      </c>
      <c r="AC53" s="51"/>
      <c r="AD53" s="51"/>
      <c r="AF53" s="95"/>
    </row>
    <row r="54">
      <c r="A54" s="78"/>
      <c r="B54" s="51" t="s">
        <v>274</v>
      </c>
      <c r="C54" s="74"/>
      <c r="D54" s="74"/>
      <c r="E54" s="10">
        <v>35.75</v>
      </c>
      <c r="F54" s="10">
        <v>3.0</v>
      </c>
      <c r="Y54" s="64">
        <v>11.84</v>
      </c>
      <c r="Z54" s="75">
        <f>Y54*AA54</f>
        <v>47.36</v>
      </c>
      <c r="AA54" s="10">
        <v>4.0</v>
      </c>
      <c r="AB54" s="75">
        <f>MAXIFS( historical_events_FACT!J:J, historical_events_FACT!G:G, B54,historical_events_FACT!C:C, "2" )</f>
        <v>0</v>
      </c>
      <c r="AC54" s="51"/>
      <c r="AD54" s="51"/>
      <c r="AF54" s="95"/>
    </row>
    <row r="55">
      <c r="A55" s="75"/>
      <c r="B55" s="51" t="s">
        <v>107</v>
      </c>
      <c r="C55" s="74"/>
      <c r="D55" s="74"/>
      <c r="E55" s="10">
        <v>32.16</v>
      </c>
      <c r="F55" s="10">
        <v>3.0</v>
      </c>
      <c r="AC55" s="51"/>
      <c r="AD55" s="51"/>
      <c r="AF55" s="95"/>
    </row>
    <row r="56">
      <c r="A56" s="74"/>
      <c r="B56" s="74"/>
      <c r="C56" s="74"/>
      <c r="D56" s="51">
        <v>11.04</v>
      </c>
      <c r="E56" s="3">
        <f>D56*F56</f>
        <v>33.12</v>
      </c>
      <c r="F56" s="10">
        <v>3.0</v>
      </c>
      <c r="AC56" s="51"/>
      <c r="AD56" s="51"/>
      <c r="AF56" s="74"/>
    </row>
    <row r="57">
      <c r="A57" s="74"/>
      <c r="B57" s="74"/>
      <c r="C57" s="74"/>
      <c r="D57" s="74"/>
      <c r="AC57" s="51"/>
      <c r="AD57" s="51"/>
      <c r="AF57" s="74"/>
    </row>
    <row r="58">
      <c r="A58" s="74"/>
      <c r="B58" s="74"/>
      <c r="C58" s="74"/>
      <c r="D58" s="74"/>
      <c r="AC58" s="51"/>
      <c r="AD58" s="51"/>
      <c r="AF58" s="74"/>
    </row>
    <row r="59">
      <c r="A59" s="74"/>
      <c r="B59" s="74"/>
      <c r="C59" s="74"/>
      <c r="D59" s="74"/>
      <c r="AC59" s="51"/>
      <c r="AD59" s="51"/>
      <c r="AF59" s="74"/>
    </row>
    <row r="60">
      <c r="A60" s="74"/>
      <c r="B60" s="74"/>
      <c r="C60" s="74"/>
      <c r="D60" s="74"/>
      <c r="AF60" s="74"/>
    </row>
    <row r="61">
      <c r="A61" s="74"/>
      <c r="B61" s="74"/>
      <c r="C61" s="74"/>
      <c r="D61" s="74"/>
      <c r="AF61" s="74"/>
    </row>
    <row r="62">
      <c r="A62" s="74"/>
      <c r="B62" s="74"/>
      <c r="C62" s="74"/>
      <c r="D62" s="74"/>
      <c r="AF62" s="74"/>
    </row>
    <row r="63">
      <c r="A63" s="74"/>
      <c r="B63" s="74"/>
      <c r="C63" s="74"/>
      <c r="D63" s="74"/>
      <c r="AF63" s="74"/>
    </row>
    <row r="64">
      <c r="A64" s="74"/>
      <c r="B64" s="74"/>
      <c r="C64" s="74"/>
      <c r="D64" s="74"/>
      <c r="AF64" s="74"/>
    </row>
    <row r="65">
      <c r="A65" s="74"/>
      <c r="B65" s="74"/>
      <c r="C65" s="74"/>
      <c r="D65" s="74"/>
      <c r="AF65" s="74"/>
    </row>
    <row r="66">
      <c r="A66" s="74"/>
      <c r="B66" s="74"/>
      <c r="C66" s="74"/>
      <c r="D66" s="74"/>
      <c r="AF66" s="74"/>
    </row>
    <row r="67">
      <c r="A67" s="74"/>
      <c r="B67" s="74"/>
      <c r="C67" s="74"/>
      <c r="D67" s="74"/>
      <c r="AF67" s="74"/>
    </row>
    <row r="68">
      <c r="A68" s="74"/>
      <c r="B68" s="74"/>
      <c r="C68" s="74"/>
      <c r="D68" s="74"/>
      <c r="AF68" s="74"/>
    </row>
    <row r="69">
      <c r="A69" s="74"/>
      <c r="B69" s="74"/>
      <c r="C69" s="74"/>
      <c r="D69" s="74"/>
      <c r="AF69" s="74"/>
    </row>
    <row r="70">
      <c r="A70" s="74"/>
      <c r="B70" s="74"/>
      <c r="C70" s="74"/>
      <c r="D70" s="74"/>
      <c r="AF70" s="74"/>
    </row>
    <row r="71">
      <c r="A71" s="74"/>
      <c r="B71" s="74"/>
      <c r="C71" s="74"/>
      <c r="D71" s="74"/>
      <c r="AF71" s="74"/>
    </row>
    <row r="72">
      <c r="A72" s="74"/>
      <c r="B72" s="74"/>
      <c r="C72" s="74"/>
      <c r="D72" s="74"/>
      <c r="AF72" s="74"/>
    </row>
    <row r="73">
      <c r="A73" s="74"/>
      <c r="B73" s="74"/>
      <c r="C73" s="74"/>
      <c r="D73" s="74"/>
      <c r="AF73" s="74"/>
    </row>
    <row r="74">
      <c r="A74" s="74"/>
      <c r="B74" s="74"/>
      <c r="C74" s="74"/>
      <c r="D74" s="74"/>
      <c r="AF74" s="74"/>
    </row>
    <row r="75">
      <c r="A75" s="74"/>
      <c r="B75" s="74"/>
      <c r="C75" s="74"/>
      <c r="D75" s="74"/>
      <c r="AF75" s="74"/>
    </row>
    <row r="76">
      <c r="A76" s="74"/>
      <c r="B76" s="74"/>
      <c r="C76" s="74"/>
      <c r="D76" s="74"/>
      <c r="AF76" s="74"/>
    </row>
    <row r="77">
      <c r="A77" s="74"/>
      <c r="B77" s="74"/>
      <c r="C77" s="74"/>
      <c r="D77" s="74"/>
      <c r="AF77" s="74"/>
    </row>
    <row r="78">
      <c r="A78" s="74"/>
      <c r="B78" s="74"/>
      <c r="C78" s="74"/>
      <c r="D78" s="74"/>
      <c r="AF78" s="74"/>
    </row>
    <row r="79">
      <c r="A79" s="74"/>
      <c r="B79" s="74"/>
      <c r="C79" s="74"/>
      <c r="D79" s="74"/>
      <c r="AF79" s="74"/>
    </row>
    <row r="80">
      <c r="A80" s="74"/>
      <c r="B80" s="74"/>
      <c r="C80" s="74"/>
      <c r="D80" s="74"/>
      <c r="AF80" s="74"/>
    </row>
    <row r="81">
      <c r="A81" s="74"/>
      <c r="B81" s="74"/>
      <c r="C81" s="74"/>
      <c r="D81" s="74"/>
      <c r="AF81" s="74"/>
    </row>
    <row r="82">
      <c r="A82" s="74"/>
      <c r="B82" s="74"/>
      <c r="C82" s="74"/>
      <c r="D82" s="74"/>
      <c r="AF82" s="74"/>
    </row>
    <row r="83">
      <c r="A83" s="74"/>
      <c r="B83" s="74"/>
      <c r="C83" s="74"/>
      <c r="D83" s="74"/>
      <c r="AF83" s="74"/>
    </row>
    <row r="84">
      <c r="A84" s="74"/>
      <c r="B84" s="74"/>
      <c r="C84" s="74"/>
      <c r="D84" s="74"/>
      <c r="AF84" s="74"/>
    </row>
    <row r="85">
      <c r="A85" s="74"/>
      <c r="B85" s="74"/>
      <c r="C85" s="74"/>
      <c r="D85" s="74"/>
      <c r="AF85" s="74"/>
    </row>
    <row r="86">
      <c r="A86" s="74"/>
      <c r="B86" s="74"/>
      <c r="C86" s="74"/>
      <c r="D86" s="74"/>
      <c r="AF86" s="74"/>
    </row>
    <row r="87">
      <c r="A87" s="74"/>
      <c r="B87" s="74"/>
      <c r="C87" s="74"/>
      <c r="D87" s="74"/>
      <c r="AF87" s="74"/>
    </row>
    <row r="88">
      <c r="A88" s="74"/>
      <c r="B88" s="74"/>
      <c r="C88" s="74"/>
      <c r="D88" s="74"/>
      <c r="AF88" s="74"/>
    </row>
    <row r="89">
      <c r="A89" s="74"/>
      <c r="B89" s="74"/>
      <c r="C89" s="74"/>
      <c r="D89" s="74"/>
      <c r="AF89" s="74"/>
    </row>
    <row r="90">
      <c r="A90" s="74"/>
      <c r="B90" s="74"/>
      <c r="C90" s="74"/>
      <c r="D90" s="74"/>
      <c r="AF90" s="74"/>
    </row>
    <row r="91">
      <c r="A91" s="74"/>
      <c r="B91" s="74"/>
      <c r="C91" s="74"/>
      <c r="D91" s="74"/>
      <c r="AF91" s="74"/>
    </row>
    <row r="92">
      <c r="A92" s="74"/>
      <c r="B92" s="74"/>
      <c r="C92" s="74"/>
      <c r="D92" s="74"/>
      <c r="AF92" s="74"/>
    </row>
    <row r="93">
      <c r="A93" s="74"/>
      <c r="B93" s="74"/>
      <c r="C93" s="74"/>
      <c r="D93" s="74"/>
      <c r="AF93" s="74"/>
    </row>
    <row r="94">
      <c r="A94" s="74"/>
      <c r="B94" s="74"/>
      <c r="C94" s="74"/>
      <c r="D94" s="74"/>
      <c r="AF94" s="74"/>
    </row>
    <row r="95">
      <c r="A95" s="74"/>
      <c r="B95" s="74"/>
      <c r="C95" s="74"/>
      <c r="D95" s="74"/>
      <c r="AF95" s="74"/>
    </row>
    <row r="96">
      <c r="A96" s="74"/>
      <c r="B96" s="74"/>
      <c r="C96" s="74"/>
      <c r="D96" s="74"/>
      <c r="AF96" s="74"/>
    </row>
    <row r="97">
      <c r="A97" s="74"/>
      <c r="B97" s="74"/>
      <c r="C97" s="74"/>
      <c r="D97" s="74"/>
      <c r="AF97" s="74"/>
    </row>
    <row r="98">
      <c r="A98" s="74"/>
      <c r="B98" s="74"/>
      <c r="C98" s="74"/>
      <c r="D98" s="74"/>
      <c r="AF98" s="74"/>
    </row>
    <row r="99">
      <c r="A99" s="74"/>
      <c r="B99" s="74"/>
      <c r="C99" s="74"/>
      <c r="D99" s="74"/>
      <c r="AF99" s="74"/>
    </row>
    <row r="100">
      <c r="A100" s="74"/>
      <c r="B100" s="74"/>
      <c r="C100" s="74"/>
      <c r="D100" s="74"/>
      <c r="AF100" s="74"/>
    </row>
    <row r="101">
      <c r="A101" s="74"/>
      <c r="B101" s="74"/>
      <c r="C101" s="74"/>
      <c r="D101" s="74"/>
      <c r="AF101" s="74"/>
    </row>
    <row r="102">
      <c r="A102" s="74"/>
      <c r="B102" s="74"/>
      <c r="C102" s="74"/>
      <c r="D102" s="74"/>
      <c r="AF102" s="74"/>
    </row>
    <row r="103">
      <c r="A103" s="74"/>
      <c r="B103" s="74"/>
      <c r="C103" s="74"/>
      <c r="D103" s="74"/>
      <c r="AF103" s="74"/>
    </row>
    <row r="104">
      <c r="A104" s="74"/>
      <c r="B104" s="74"/>
      <c r="C104" s="74"/>
      <c r="D104" s="74"/>
      <c r="AF104" s="74"/>
    </row>
    <row r="105">
      <c r="A105" s="74"/>
      <c r="B105" s="74"/>
      <c r="C105" s="74"/>
      <c r="D105" s="74"/>
      <c r="AF105" s="74"/>
    </row>
    <row r="106">
      <c r="A106" s="74"/>
      <c r="B106" s="74"/>
      <c r="C106" s="74"/>
      <c r="D106" s="74"/>
      <c r="AF106" s="74"/>
    </row>
    <row r="107">
      <c r="A107" s="74"/>
      <c r="B107" s="74"/>
      <c r="C107" s="74"/>
      <c r="D107" s="74"/>
      <c r="AF107" s="74"/>
    </row>
    <row r="108">
      <c r="A108" s="74"/>
      <c r="B108" s="74"/>
      <c r="C108" s="74"/>
      <c r="D108" s="74"/>
      <c r="AF108" s="74"/>
    </row>
    <row r="109">
      <c r="A109" s="74"/>
      <c r="B109" s="74"/>
      <c r="C109" s="74"/>
      <c r="D109" s="74"/>
      <c r="AF109" s="74"/>
    </row>
    <row r="110">
      <c r="A110" s="74"/>
      <c r="B110" s="74"/>
      <c r="C110" s="74"/>
      <c r="D110" s="74"/>
      <c r="AF110" s="74"/>
    </row>
    <row r="111">
      <c r="A111" s="74"/>
      <c r="B111" s="74"/>
      <c r="C111" s="74"/>
      <c r="D111" s="74"/>
      <c r="AF111" s="74"/>
    </row>
    <row r="112">
      <c r="A112" s="74"/>
      <c r="B112" s="74"/>
      <c r="C112" s="74"/>
      <c r="D112" s="74"/>
      <c r="AF112" s="74"/>
    </row>
    <row r="113">
      <c r="A113" s="74"/>
      <c r="B113" s="74"/>
      <c r="C113" s="74"/>
      <c r="D113" s="74"/>
      <c r="AF113" s="74"/>
    </row>
    <row r="114">
      <c r="A114" s="74"/>
      <c r="B114" s="74"/>
      <c r="C114" s="74"/>
      <c r="D114" s="74"/>
      <c r="AF114" s="74"/>
    </row>
    <row r="115">
      <c r="A115" s="74"/>
      <c r="B115" s="74"/>
      <c r="C115" s="74"/>
      <c r="D115" s="74"/>
      <c r="AF115" s="74"/>
    </row>
    <row r="116">
      <c r="A116" s="74"/>
      <c r="B116" s="74"/>
      <c r="C116" s="74"/>
      <c r="D116" s="74"/>
      <c r="AF116" s="74"/>
    </row>
    <row r="117">
      <c r="A117" s="74"/>
      <c r="B117" s="74"/>
      <c r="C117" s="74"/>
      <c r="D117" s="74"/>
      <c r="AF117" s="74"/>
    </row>
    <row r="118">
      <c r="A118" s="74"/>
      <c r="B118" s="74"/>
      <c r="C118" s="74"/>
      <c r="D118" s="74"/>
      <c r="AF118" s="74"/>
    </row>
    <row r="119">
      <c r="A119" s="74"/>
      <c r="B119" s="74"/>
      <c r="C119" s="74"/>
      <c r="D119" s="74"/>
      <c r="AF119" s="74"/>
    </row>
    <row r="120">
      <c r="A120" s="74"/>
      <c r="B120" s="74"/>
      <c r="C120" s="74"/>
      <c r="D120" s="74"/>
      <c r="AF120" s="74"/>
    </row>
    <row r="121">
      <c r="A121" s="74"/>
      <c r="B121" s="74"/>
      <c r="C121" s="74"/>
      <c r="D121" s="74"/>
      <c r="AF121" s="74"/>
    </row>
    <row r="122">
      <c r="A122" s="74"/>
      <c r="B122" s="74"/>
      <c r="C122" s="74"/>
      <c r="D122" s="74"/>
      <c r="AF122" s="74"/>
    </row>
    <row r="123">
      <c r="A123" s="74"/>
      <c r="B123" s="74"/>
      <c r="C123" s="74"/>
      <c r="D123" s="74"/>
      <c r="AF123" s="74"/>
    </row>
    <row r="124">
      <c r="A124" s="74"/>
      <c r="B124" s="74"/>
      <c r="C124" s="74"/>
      <c r="D124" s="74"/>
      <c r="AF124" s="74"/>
    </row>
    <row r="125">
      <c r="A125" s="74"/>
      <c r="B125" s="74"/>
      <c r="C125" s="74"/>
      <c r="D125" s="74"/>
      <c r="AF125" s="74"/>
    </row>
    <row r="126">
      <c r="A126" s="74"/>
      <c r="B126" s="74"/>
      <c r="C126" s="74"/>
      <c r="D126" s="74"/>
      <c r="AF126" s="74"/>
    </row>
    <row r="127">
      <c r="A127" s="74"/>
      <c r="B127" s="74"/>
      <c r="C127" s="74"/>
      <c r="D127" s="74"/>
      <c r="AF127" s="74"/>
    </row>
    <row r="128">
      <c r="A128" s="74"/>
      <c r="B128" s="74"/>
      <c r="C128" s="74"/>
      <c r="D128" s="74"/>
      <c r="AF128" s="74"/>
    </row>
    <row r="129">
      <c r="A129" s="74"/>
      <c r="B129" s="74"/>
      <c r="C129" s="74"/>
      <c r="D129" s="74"/>
      <c r="AF129" s="74"/>
    </row>
    <row r="130">
      <c r="A130" s="74"/>
      <c r="B130" s="74"/>
      <c r="C130" s="74"/>
      <c r="D130" s="74"/>
      <c r="AF130" s="74"/>
    </row>
    <row r="131">
      <c r="A131" s="74"/>
      <c r="B131" s="74"/>
      <c r="C131" s="74"/>
      <c r="D131" s="74"/>
      <c r="AF131" s="74"/>
    </row>
    <row r="132">
      <c r="A132" s="74"/>
      <c r="B132" s="74"/>
      <c r="C132" s="74"/>
      <c r="D132" s="74"/>
      <c r="AF132" s="74"/>
    </row>
    <row r="133">
      <c r="A133" s="74"/>
      <c r="B133" s="74"/>
      <c r="C133" s="74"/>
      <c r="D133" s="74"/>
      <c r="AF133" s="74"/>
    </row>
    <row r="134">
      <c r="A134" s="74"/>
      <c r="B134" s="74"/>
      <c r="C134" s="74"/>
      <c r="D134" s="74"/>
      <c r="AF134" s="74"/>
    </row>
    <row r="135">
      <c r="A135" s="74"/>
      <c r="B135" s="74"/>
      <c r="C135" s="74"/>
      <c r="D135" s="74"/>
      <c r="AF135" s="74"/>
    </row>
    <row r="136">
      <c r="A136" s="74"/>
      <c r="B136" s="74"/>
      <c r="C136" s="74"/>
      <c r="D136" s="74"/>
      <c r="AF136" s="74"/>
    </row>
    <row r="137">
      <c r="A137" s="74"/>
      <c r="B137" s="74"/>
      <c r="C137" s="74"/>
      <c r="D137" s="74"/>
      <c r="AF137" s="74"/>
    </row>
    <row r="138">
      <c r="A138" s="74"/>
      <c r="B138" s="74"/>
      <c r="C138" s="74"/>
      <c r="D138" s="74"/>
      <c r="AF138" s="74"/>
    </row>
    <row r="139">
      <c r="A139" s="74"/>
      <c r="B139" s="74"/>
      <c r="C139" s="74"/>
      <c r="D139" s="74"/>
      <c r="AF139" s="74"/>
    </row>
    <row r="140">
      <c r="A140" s="74"/>
      <c r="B140" s="74"/>
      <c r="C140" s="74"/>
      <c r="D140" s="74"/>
      <c r="AF140" s="74"/>
    </row>
    <row r="141">
      <c r="A141" s="74"/>
      <c r="B141" s="74"/>
      <c r="C141" s="74"/>
      <c r="D141" s="74"/>
      <c r="AF141" s="74"/>
    </row>
    <row r="142">
      <c r="A142" s="74"/>
      <c r="B142" s="74"/>
      <c r="C142" s="74"/>
      <c r="D142" s="74"/>
      <c r="AF142" s="74"/>
    </row>
    <row r="143">
      <c r="A143" s="74"/>
      <c r="B143" s="74"/>
      <c r="C143" s="74"/>
      <c r="D143" s="74"/>
      <c r="AF143" s="74"/>
    </row>
    <row r="144">
      <c r="A144" s="74"/>
      <c r="B144" s="74"/>
      <c r="C144" s="74"/>
      <c r="D144" s="74"/>
      <c r="AF144" s="74"/>
    </row>
    <row r="145">
      <c r="A145" s="74"/>
      <c r="B145" s="74"/>
      <c r="C145" s="74"/>
      <c r="D145" s="74"/>
      <c r="AF145" s="74"/>
    </row>
    <row r="146">
      <c r="A146" s="74"/>
      <c r="B146" s="74"/>
      <c r="C146" s="74"/>
      <c r="D146" s="74"/>
      <c r="AF146" s="74"/>
    </row>
    <row r="147">
      <c r="A147" s="74"/>
      <c r="B147" s="74"/>
      <c r="C147" s="74"/>
      <c r="D147" s="74"/>
      <c r="AF147" s="74"/>
    </row>
    <row r="148">
      <c r="A148" s="74"/>
      <c r="B148" s="74"/>
      <c r="C148" s="74"/>
      <c r="D148" s="74"/>
      <c r="AF148" s="74"/>
    </row>
    <row r="149">
      <c r="A149" s="74"/>
      <c r="B149" s="74"/>
      <c r="C149" s="74"/>
      <c r="D149" s="74"/>
      <c r="AF149" s="74"/>
    </row>
    <row r="150">
      <c r="A150" s="74"/>
      <c r="B150" s="74"/>
      <c r="C150" s="74"/>
      <c r="D150" s="74"/>
      <c r="AF150" s="74"/>
    </row>
    <row r="151">
      <c r="A151" s="74"/>
      <c r="B151" s="74"/>
      <c r="C151" s="74"/>
      <c r="D151" s="74"/>
      <c r="AF151" s="74"/>
    </row>
    <row r="152">
      <c r="A152" s="74"/>
      <c r="B152" s="74"/>
      <c r="C152" s="74"/>
      <c r="D152" s="74"/>
      <c r="AF152" s="74"/>
    </row>
    <row r="153">
      <c r="A153" s="74"/>
      <c r="B153" s="74"/>
      <c r="C153" s="74"/>
      <c r="D153" s="74"/>
      <c r="AF153" s="74"/>
    </row>
    <row r="154">
      <c r="A154" s="74"/>
      <c r="B154" s="74"/>
      <c r="C154" s="74"/>
      <c r="D154" s="74"/>
      <c r="AF154" s="74"/>
    </row>
    <row r="155">
      <c r="A155" s="74"/>
      <c r="B155" s="74"/>
      <c r="C155" s="74"/>
      <c r="D155" s="74"/>
      <c r="AF155" s="74"/>
    </row>
    <row r="156">
      <c r="A156" s="74"/>
      <c r="B156" s="74"/>
      <c r="C156" s="74"/>
      <c r="D156" s="74"/>
      <c r="AF156" s="74"/>
    </row>
    <row r="157">
      <c r="A157" s="74"/>
      <c r="B157" s="74"/>
      <c r="C157" s="74"/>
      <c r="D157" s="74"/>
      <c r="AF157" s="74"/>
    </row>
    <row r="158">
      <c r="A158" s="74"/>
      <c r="B158" s="74"/>
      <c r="C158" s="74"/>
      <c r="D158" s="74"/>
      <c r="AF158" s="74"/>
    </row>
    <row r="159">
      <c r="A159" s="74"/>
      <c r="B159" s="74"/>
      <c r="C159" s="74"/>
      <c r="D159" s="74"/>
      <c r="AF159" s="74"/>
    </row>
    <row r="160">
      <c r="A160" s="74"/>
      <c r="B160" s="74"/>
      <c r="C160" s="74"/>
      <c r="D160" s="74"/>
      <c r="AF160" s="74"/>
    </row>
    <row r="161">
      <c r="A161" s="74"/>
      <c r="B161" s="74"/>
      <c r="C161" s="74"/>
      <c r="D161" s="74"/>
      <c r="AF161" s="74"/>
    </row>
    <row r="162">
      <c r="A162" s="74"/>
      <c r="B162" s="74"/>
      <c r="C162" s="74"/>
      <c r="D162" s="74"/>
      <c r="AF162" s="74"/>
    </row>
    <row r="163">
      <c r="A163" s="74"/>
      <c r="B163" s="74"/>
      <c r="C163" s="74"/>
      <c r="D163" s="74"/>
      <c r="AF163" s="74"/>
    </row>
    <row r="164">
      <c r="A164" s="74"/>
      <c r="B164" s="74"/>
      <c r="C164" s="74"/>
      <c r="D164" s="74"/>
      <c r="AF164" s="74"/>
    </row>
    <row r="165">
      <c r="A165" s="74"/>
      <c r="B165" s="74"/>
      <c r="C165" s="74"/>
      <c r="D165" s="74"/>
      <c r="AF165" s="74"/>
    </row>
    <row r="166">
      <c r="A166" s="74"/>
      <c r="B166" s="74"/>
      <c r="C166" s="74"/>
      <c r="D166" s="74"/>
      <c r="AF166" s="74"/>
    </row>
    <row r="167">
      <c r="A167" s="74"/>
      <c r="B167" s="74"/>
      <c r="C167" s="74"/>
      <c r="D167" s="74"/>
      <c r="AF167" s="74"/>
    </row>
    <row r="168">
      <c r="A168" s="74"/>
      <c r="B168" s="74"/>
      <c r="C168" s="74"/>
      <c r="D168" s="74"/>
      <c r="AF168" s="74"/>
    </row>
    <row r="169">
      <c r="A169" s="74"/>
      <c r="B169" s="74"/>
      <c r="C169" s="74"/>
      <c r="D169" s="74"/>
      <c r="AF169" s="74"/>
    </row>
    <row r="170">
      <c r="A170" s="74"/>
      <c r="B170" s="74"/>
      <c r="C170" s="74"/>
      <c r="D170" s="74"/>
      <c r="AF170" s="74"/>
    </row>
    <row r="171">
      <c r="A171" s="74"/>
      <c r="B171" s="74"/>
      <c r="C171" s="74"/>
      <c r="D171" s="74"/>
      <c r="AF171" s="74"/>
    </row>
    <row r="172">
      <c r="A172" s="74"/>
      <c r="B172" s="74"/>
      <c r="C172" s="74"/>
      <c r="D172" s="74"/>
      <c r="AF172" s="74"/>
    </row>
    <row r="173">
      <c r="A173" s="74"/>
      <c r="B173" s="74"/>
      <c r="C173" s="74"/>
      <c r="D173" s="74"/>
      <c r="AF173" s="74"/>
    </row>
    <row r="174">
      <c r="A174" s="74"/>
      <c r="B174" s="74"/>
      <c r="C174" s="74"/>
      <c r="D174" s="74"/>
      <c r="AF174" s="74"/>
    </row>
    <row r="175">
      <c r="A175" s="74"/>
      <c r="B175" s="74"/>
      <c r="C175" s="74"/>
      <c r="D175" s="74"/>
      <c r="AF175" s="74"/>
    </row>
    <row r="176">
      <c r="A176" s="74"/>
      <c r="B176" s="74"/>
      <c r="C176" s="74"/>
      <c r="D176" s="74"/>
      <c r="AF176" s="74"/>
    </row>
    <row r="177">
      <c r="A177" s="74"/>
      <c r="B177" s="74"/>
      <c r="C177" s="74"/>
      <c r="D177" s="74"/>
      <c r="AF177" s="74"/>
    </row>
    <row r="178">
      <c r="A178" s="74"/>
      <c r="B178" s="74"/>
      <c r="C178" s="74"/>
      <c r="D178" s="74"/>
      <c r="AF178" s="74"/>
    </row>
    <row r="179">
      <c r="A179" s="74"/>
      <c r="B179" s="74"/>
      <c r="C179" s="74"/>
      <c r="D179" s="74"/>
      <c r="AF179" s="74"/>
    </row>
    <row r="180">
      <c r="A180" s="74"/>
      <c r="B180" s="74"/>
      <c r="C180" s="74"/>
      <c r="D180" s="74"/>
      <c r="AF180" s="74"/>
    </row>
    <row r="181">
      <c r="A181" s="74"/>
      <c r="B181" s="74"/>
      <c r="C181" s="74"/>
      <c r="D181" s="74"/>
      <c r="AF181" s="74"/>
    </row>
    <row r="182">
      <c r="A182" s="74"/>
      <c r="B182" s="74"/>
      <c r="C182" s="74"/>
      <c r="D182" s="74"/>
      <c r="AF182" s="74"/>
    </row>
    <row r="183">
      <c r="A183" s="74"/>
      <c r="B183" s="74"/>
      <c r="C183" s="74"/>
      <c r="D183" s="74"/>
      <c r="AF183" s="74"/>
    </row>
    <row r="184">
      <c r="A184" s="74"/>
      <c r="B184" s="74"/>
      <c r="C184" s="74"/>
      <c r="D184" s="74"/>
      <c r="AF184" s="74"/>
    </row>
    <row r="185">
      <c r="A185" s="74"/>
      <c r="B185" s="74"/>
      <c r="C185" s="74"/>
      <c r="D185" s="74"/>
      <c r="AF185" s="74"/>
    </row>
    <row r="186">
      <c r="A186" s="74"/>
      <c r="B186" s="74"/>
      <c r="C186" s="74"/>
      <c r="D186" s="74"/>
      <c r="AF186" s="74"/>
    </row>
    <row r="187">
      <c r="A187" s="74"/>
      <c r="B187" s="74"/>
      <c r="C187" s="74"/>
      <c r="D187" s="74"/>
      <c r="AF187" s="74"/>
    </row>
    <row r="188">
      <c r="A188" s="74"/>
      <c r="B188" s="74"/>
      <c r="C188" s="74"/>
      <c r="D188" s="74"/>
      <c r="AF188" s="74"/>
    </row>
    <row r="189">
      <c r="A189" s="74"/>
      <c r="B189" s="74"/>
      <c r="C189" s="74"/>
      <c r="D189" s="74"/>
      <c r="AF189" s="74"/>
    </row>
    <row r="190">
      <c r="A190" s="74"/>
      <c r="B190" s="74"/>
      <c r="C190" s="74"/>
      <c r="D190" s="74"/>
      <c r="AF190" s="74"/>
    </row>
    <row r="191">
      <c r="A191" s="74"/>
      <c r="B191" s="74"/>
      <c r="C191" s="74"/>
      <c r="D191" s="74"/>
      <c r="AF191" s="74"/>
    </row>
    <row r="192">
      <c r="A192" s="74"/>
      <c r="B192" s="74"/>
      <c r="C192" s="74"/>
      <c r="D192" s="74"/>
      <c r="AF192" s="74"/>
    </row>
    <row r="193">
      <c r="A193" s="74"/>
      <c r="B193" s="74"/>
      <c r="C193" s="74"/>
      <c r="D193" s="74"/>
      <c r="AF193" s="74"/>
    </row>
    <row r="194">
      <c r="A194" s="74"/>
      <c r="B194" s="74"/>
      <c r="C194" s="74"/>
      <c r="D194" s="74"/>
      <c r="AF194" s="74"/>
    </row>
    <row r="195">
      <c r="A195" s="74"/>
      <c r="B195" s="74"/>
      <c r="C195" s="74"/>
      <c r="D195" s="74"/>
      <c r="AF195" s="74"/>
    </row>
    <row r="196">
      <c r="A196" s="74"/>
      <c r="B196" s="74"/>
      <c r="C196" s="74"/>
      <c r="D196" s="74"/>
      <c r="AF196" s="74"/>
    </row>
    <row r="197">
      <c r="A197" s="74"/>
      <c r="B197" s="74"/>
      <c r="C197" s="74"/>
      <c r="D197" s="74"/>
      <c r="AF197" s="74"/>
    </row>
    <row r="198">
      <c r="A198" s="74"/>
      <c r="B198" s="74"/>
      <c r="C198" s="74"/>
      <c r="D198" s="74"/>
      <c r="AF198" s="74"/>
    </row>
    <row r="199">
      <c r="A199" s="74"/>
      <c r="B199" s="74"/>
      <c r="C199" s="74"/>
      <c r="D199" s="74"/>
      <c r="AF199" s="74"/>
    </row>
    <row r="200">
      <c r="A200" s="74"/>
      <c r="B200" s="74"/>
      <c r="C200" s="74"/>
      <c r="D200" s="74"/>
      <c r="AF200" s="74"/>
    </row>
    <row r="201">
      <c r="A201" s="74"/>
      <c r="B201" s="74"/>
      <c r="C201" s="74"/>
      <c r="D201" s="74"/>
      <c r="AF201" s="74"/>
    </row>
    <row r="202">
      <c r="A202" s="74"/>
      <c r="B202" s="74"/>
      <c r="C202" s="74"/>
      <c r="D202" s="74"/>
      <c r="AF202" s="74"/>
    </row>
    <row r="203">
      <c r="A203" s="74"/>
      <c r="B203" s="74"/>
      <c r="C203" s="74"/>
      <c r="D203" s="74"/>
      <c r="AF203" s="74"/>
    </row>
    <row r="204">
      <c r="A204" s="74"/>
      <c r="B204" s="74"/>
      <c r="C204" s="74"/>
      <c r="D204" s="74"/>
      <c r="AF204" s="74"/>
    </row>
    <row r="205">
      <c r="A205" s="74"/>
      <c r="B205" s="74"/>
      <c r="C205" s="74"/>
      <c r="D205" s="74"/>
      <c r="AF205" s="74"/>
    </row>
    <row r="206">
      <c r="A206" s="74"/>
      <c r="B206" s="74"/>
      <c r="C206" s="74"/>
      <c r="D206" s="74"/>
      <c r="AF206" s="74"/>
    </row>
    <row r="207">
      <c r="A207" s="74"/>
      <c r="B207" s="74"/>
      <c r="C207" s="74"/>
      <c r="D207" s="74"/>
      <c r="AF207" s="74"/>
    </row>
    <row r="208">
      <c r="A208" s="74"/>
      <c r="B208" s="74"/>
      <c r="C208" s="74"/>
      <c r="D208" s="74"/>
      <c r="AF208" s="74"/>
    </row>
    <row r="209">
      <c r="A209" s="74"/>
      <c r="B209" s="74"/>
      <c r="C209" s="74"/>
      <c r="D209" s="74"/>
      <c r="AF209" s="74"/>
    </row>
    <row r="210">
      <c r="A210" s="74"/>
      <c r="B210" s="74"/>
      <c r="C210" s="74"/>
      <c r="D210" s="74"/>
      <c r="AF210" s="74"/>
    </row>
    <row r="211">
      <c r="A211" s="74"/>
      <c r="B211" s="74"/>
      <c r="C211" s="74"/>
      <c r="D211" s="74"/>
      <c r="AF211" s="74"/>
    </row>
    <row r="212">
      <c r="A212" s="74"/>
      <c r="B212" s="74"/>
      <c r="C212" s="74"/>
      <c r="D212" s="74"/>
      <c r="AF212" s="74"/>
    </row>
    <row r="213">
      <c r="A213" s="74"/>
      <c r="B213" s="74"/>
      <c r="C213" s="74"/>
      <c r="D213" s="74"/>
      <c r="AF213" s="74"/>
    </row>
    <row r="214">
      <c r="A214" s="74"/>
      <c r="B214" s="74"/>
      <c r="C214" s="74"/>
      <c r="D214" s="74"/>
      <c r="AF214" s="74"/>
    </row>
    <row r="215">
      <c r="A215" s="74"/>
      <c r="B215" s="74"/>
      <c r="C215" s="74"/>
      <c r="D215" s="74"/>
      <c r="AF215" s="74"/>
    </row>
    <row r="216">
      <c r="A216" s="74"/>
      <c r="B216" s="74"/>
      <c r="C216" s="74"/>
      <c r="D216" s="74"/>
      <c r="AF216" s="74"/>
    </row>
    <row r="217">
      <c r="A217" s="74"/>
      <c r="B217" s="74"/>
      <c r="C217" s="74"/>
      <c r="D217" s="74"/>
      <c r="AF217" s="74"/>
    </row>
    <row r="218">
      <c r="A218" s="74"/>
      <c r="B218" s="74"/>
      <c r="C218" s="74"/>
      <c r="D218" s="74"/>
      <c r="AF218" s="74"/>
    </row>
    <row r="219">
      <c r="A219" s="74"/>
      <c r="B219" s="74"/>
      <c r="C219" s="74"/>
      <c r="D219" s="74"/>
      <c r="AF219" s="74"/>
    </row>
    <row r="220">
      <c r="A220" s="74"/>
      <c r="B220" s="74"/>
      <c r="C220" s="74"/>
      <c r="D220" s="74"/>
      <c r="AF220" s="74"/>
    </row>
    <row r="221">
      <c r="A221" s="74"/>
      <c r="B221" s="74"/>
      <c r="C221" s="74"/>
      <c r="D221" s="74"/>
      <c r="AF221" s="74"/>
    </row>
    <row r="222">
      <c r="A222" s="74"/>
      <c r="B222" s="74"/>
      <c r="C222" s="74"/>
      <c r="D222" s="74"/>
      <c r="AF222" s="74"/>
    </row>
    <row r="223">
      <c r="A223" s="74"/>
      <c r="B223" s="74"/>
      <c r="C223" s="74"/>
      <c r="D223" s="74"/>
      <c r="AF223" s="74"/>
    </row>
    <row r="224">
      <c r="A224" s="74"/>
      <c r="B224" s="74"/>
      <c r="C224" s="74"/>
      <c r="D224" s="74"/>
      <c r="AF224" s="74"/>
    </row>
    <row r="225">
      <c r="A225" s="74"/>
      <c r="B225" s="74"/>
      <c r="C225" s="74"/>
      <c r="D225" s="74"/>
      <c r="AF225" s="74"/>
    </row>
    <row r="226">
      <c r="A226" s="74"/>
      <c r="B226" s="74"/>
      <c r="C226" s="74"/>
      <c r="D226" s="74"/>
      <c r="AF226" s="74"/>
    </row>
    <row r="227">
      <c r="A227" s="74"/>
      <c r="B227" s="74"/>
      <c r="C227" s="74"/>
      <c r="D227" s="74"/>
      <c r="AF227" s="74"/>
    </row>
    <row r="228">
      <c r="A228" s="74"/>
      <c r="B228" s="74"/>
      <c r="C228" s="74"/>
      <c r="D228" s="74"/>
      <c r="AF228" s="74"/>
    </row>
    <row r="229">
      <c r="A229" s="74"/>
      <c r="B229" s="74"/>
      <c r="C229" s="74"/>
      <c r="D229" s="74"/>
      <c r="AF229" s="74"/>
    </row>
    <row r="230">
      <c r="A230" s="74"/>
      <c r="B230" s="74"/>
      <c r="C230" s="74"/>
      <c r="D230" s="74"/>
      <c r="AF230" s="74"/>
    </row>
    <row r="231">
      <c r="A231" s="74"/>
      <c r="B231" s="74"/>
      <c r="C231" s="74"/>
      <c r="D231" s="74"/>
      <c r="AF231" s="74"/>
    </row>
    <row r="232">
      <c r="A232" s="74"/>
      <c r="B232" s="74"/>
      <c r="C232" s="74"/>
      <c r="D232" s="74"/>
      <c r="AF232" s="74"/>
    </row>
    <row r="233">
      <c r="A233" s="74"/>
      <c r="B233" s="74"/>
      <c r="C233" s="74"/>
      <c r="D233" s="74"/>
      <c r="AF233" s="74"/>
    </row>
    <row r="234">
      <c r="A234" s="74"/>
      <c r="B234" s="74"/>
      <c r="C234" s="74"/>
      <c r="D234" s="74"/>
      <c r="AF234" s="74"/>
    </row>
    <row r="235">
      <c r="A235" s="74"/>
      <c r="B235" s="74"/>
      <c r="C235" s="74"/>
      <c r="D235" s="74"/>
      <c r="AF235" s="74"/>
    </row>
    <row r="236">
      <c r="A236" s="74"/>
      <c r="B236" s="74"/>
      <c r="C236" s="74"/>
      <c r="D236" s="74"/>
      <c r="AF236" s="74"/>
    </row>
    <row r="237">
      <c r="A237" s="74"/>
      <c r="B237" s="74"/>
      <c r="C237" s="74"/>
      <c r="D237" s="74"/>
      <c r="AF237" s="74"/>
    </row>
    <row r="238">
      <c r="A238" s="74"/>
      <c r="B238" s="74"/>
      <c r="C238" s="74"/>
      <c r="D238" s="74"/>
      <c r="AF238" s="74"/>
    </row>
    <row r="239">
      <c r="A239" s="74"/>
      <c r="B239" s="74"/>
      <c r="C239" s="74"/>
      <c r="D239" s="74"/>
      <c r="AF239" s="74"/>
    </row>
    <row r="240">
      <c r="A240" s="74"/>
      <c r="B240" s="74"/>
      <c r="C240" s="74"/>
      <c r="D240" s="74"/>
      <c r="AF240" s="74"/>
    </row>
    <row r="241">
      <c r="A241" s="74"/>
      <c r="B241" s="74"/>
      <c r="C241" s="74"/>
      <c r="D241" s="74"/>
      <c r="AF241" s="74"/>
    </row>
    <row r="242">
      <c r="A242" s="74"/>
      <c r="B242" s="74"/>
      <c r="C242" s="74"/>
      <c r="D242" s="74"/>
      <c r="AF242" s="74"/>
    </row>
    <row r="243">
      <c r="A243" s="74"/>
      <c r="B243" s="74"/>
      <c r="C243" s="74"/>
      <c r="D243" s="74"/>
      <c r="AF243" s="74"/>
    </row>
    <row r="244">
      <c r="A244" s="74"/>
      <c r="B244" s="74"/>
      <c r="C244" s="74"/>
      <c r="D244" s="74"/>
      <c r="AF244" s="74"/>
    </row>
    <row r="245">
      <c r="A245" s="74"/>
      <c r="B245" s="74"/>
      <c r="C245" s="74"/>
      <c r="D245" s="74"/>
      <c r="AF245" s="74"/>
    </row>
    <row r="246">
      <c r="A246" s="74"/>
      <c r="B246" s="74"/>
      <c r="C246" s="74"/>
      <c r="D246" s="74"/>
      <c r="AF246" s="74"/>
    </row>
    <row r="247">
      <c r="A247" s="74"/>
      <c r="B247" s="74"/>
      <c r="C247" s="74"/>
      <c r="D247" s="74"/>
      <c r="AF247" s="74"/>
    </row>
    <row r="248">
      <c r="A248" s="74"/>
      <c r="B248" s="74"/>
      <c r="C248" s="74"/>
      <c r="D248" s="74"/>
      <c r="AF248" s="74"/>
    </row>
    <row r="249">
      <c r="A249" s="74"/>
      <c r="B249" s="74"/>
      <c r="C249" s="74"/>
      <c r="D249" s="74"/>
      <c r="AF249" s="74"/>
    </row>
    <row r="250">
      <c r="A250" s="74"/>
      <c r="B250" s="74"/>
      <c r="C250" s="74"/>
      <c r="D250" s="74"/>
      <c r="AF250" s="74"/>
    </row>
    <row r="251">
      <c r="A251" s="74"/>
      <c r="B251" s="74"/>
      <c r="C251" s="74"/>
      <c r="D251" s="74"/>
      <c r="AF251" s="74"/>
    </row>
    <row r="252">
      <c r="A252" s="74"/>
      <c r="B252" s="74"/>
      <c r="C252" s="74"/>
      <c r="D252" s="74"/>
      <c r="AF252" s="74"/>
    </row>
    <row r="253">
      <c r="A253" s="74"/>
      <c r="B253" s="74"/>
      <c r="C253" s="74"/>
      <c r="D253" s="74"/>
      <c r="AF253" s="74"/>
    </row>
    <row r="254">
      <c r="A254" s="74"/>
      <c r="B254" s="74"/>
      <c r="C254" s="74"/>
      <c r="D254" s="74"/>
      <c r="AF254" s="74"/>
    </row>
    <row r="255">
      <c r="A255" s="74"/>
      <c r="B255" s="74"/>
      <c r="C255" s="74"/>
      <c r="D255" s="74"/>
      <c r="AF255" s="74"/>
    </row>
    <row r="256">
      <c r="A256" s="74"/>
      <c r="B256" s="74"/>
      <c r="C256" s="74"/>
      <c r="D256" s="74"/>
      <c r="AF256" s="74"/>
    </row>
    <row r="257">
      <c r="A257" s="74"/>
      <c r="B257" s="74"/>
      <c r="C257" s="74"/>
      <c r="D257" s="74"/>
      <c r="AF257" s="74"/>
    </row>
    <row r="258">
      <c r="A258" s="74"/>
      <c r="B258" s="74"/>
      <c r="C258" s="74"/>
      <c r="D258" s="74"/>
      <c r="AF258" s="74"/>
    </row>
    <row r="259">
      <c r="A259" s="74"/>
      <c r="B259" s="74"/>
      <c r="C259" s="74"/>
      <c r="D259" s="74"/>
      <c r="AF259" s="74"/>
    </row>
    <row r="260">
      <c r="A260" s="74"/>
      <c r="B260" s="74"/>
      <c r="C260" s="74"/>
      <c r="D260" s="74"/>
      <c r="AF260" s="74"/>
    </row>
    <row r="261">
      <c r="A261" s="74"/>
      <c r="B261" s="74"/>
      <c r="C261" s="74"/>
      <c r="D261" s="74"/>
      <c r="AF261" s="74"/>
    </row>
    <row r="262">
      <c r="A262" s="74"/>
      <c r="B262" s="74"/>
      <c r="C262" s="74"/>
      <c r="D262" s="74"/>
      <c r="AF262" s="74"/>
    </row>
    <row r="263">
      <c r="A263" s="74"/>
      <c r="B263" s="74"/>
      <c r="C263" s="74"/>
      <c r="D263" s="74"/>
      <c r="AF263" s="74"/>
    </row>
    <row r="264">
      <c r="A264" s="74"/>
      <c r="B264" s="74"/>
      <c r="C264" s="74"/>
      <c r="D264" s="74"/>
      <c r="AF264" s="74"/>
    </row>
    <row r="265">
      <c r="A265" s="74"/>
      <c r="B265" s="74"/>
      <c r="C265" s="74"/>
      <c r="D265" s="74"/>
      <c r="AF265" s="74"/>
    </row>
    <row r="266">
      <c r="A266" s="74"/>
      <c r="B266" s="74"/>
      <c r="C266" s="74"/>
      <c r="D266" s="74"/>
      <c r="AF266" s="74"/>
    </row>
    <row r="267">
      <c r="A267" s="74"/>
      <c r="B267" s="74"/>
      <c r="C267" s="74"/>
      <c r="D267" s="74"/>
      <c r="AF267" s="74"/>
    </row>
    <row r="268">
      <c r="A268" s="74"/>
      <c r="B268" s="74"/>
      <c r="C268" s="74"/>
      <c r="D268" s="74"/>
      <c r="AF268" s="74"/>
    </row>
    <row r="269">
      <c r="A269" s="74"/>
      <c r="B269" s="74"/>
      <c r="C269" s="74"/>
      <c r="D269" s="74"/>
      <c r="AF269" s="74"/>
    </row>
    <row r="270">
      <c r="A270" s="74"/>
      <c r="B270" s="74"/>
      <c r="C270" s="74"/>
      <c r="D270" s="74"/>
      <c r="AF270" s="74"/>
    </row>
    <row r="271">
      <c r="A271" s="74"/>
      <c r="B271" s="74"/>
      <c r="C271" s="74"/>
      <c r="D271" s="74"/>
      <c r="AF271" s="74"/>
    </row>
    <row r="272">
      <c r="A272" s="74"/>
      <c r="B272" s="74"/>
      <c r="C272" s="74"/>
      <c r="D272" s="74"/>
      <c r="AF272" s="74"/>
    </row>
    <row r="273">
      <c r="A273" s="74"/>
      <c r="B273" s="74"/>
      <c r="C273" s="74"/>
      <c r="D273" s="74"/>
      <c r="AF273" s="74"/>
    </row>
    <row r="274">
      <c r="A274" s="74"/>
      <c r="B274" s="74"/>
      <c r="C274" s="74"/>
      <c r="D274" s="74"/>
      <c r="AF274" s="74"/>
    </row>
    <row r="275">
      <c r="A275" s="74"/>
      <c r="B275" s="74"/>
      <c r="C275" s="74"/>
      <c r="D275" s="74"/>
      <c r="AF275" s="74"/>
    </row>
    <row r="276">
      <c r="A276" s="74"/>
      <c r="B276" s="74"/>
      <c r="C276" s="74"/>
      <c r="D276" s="74"/>
      <c r="AF276" s="74"/>
    </row>
    <row r="277">
      <c r="A277" s="74"/>
      <c r="B277" s="74"/>
      <c r="C277" s="74"/>
      <c r="D277" s="74"/>
      <c r="AF277" s="74"/>
    </row>
    <row r="278">
      <c r="A278" s="74"/>
      <c r="B278" s="74"/>
      <c r="C278" s="74"/>
      <c r="D278" s="74"/>
      <c r="AF278" s="74"/>
    </row>
    <row r="279">
      <c r="A279" s="74"/>
      <c r="B279" s="74"/>
      <c r="C279" s="74"/>
      <c r="D279" s="74"/>
      <c r="AF279" s="74"/>
    </row>
    <row r="280">
      <c r="A280" s="74"/>
      <c r="B280" s="74"/>
      <c r="C280" s="74"/>
      <c r="D280" s="74"/>
      <c r="AF280" s="74"/>
    </row>
    <row r="281">
      <c r="A281" s="74"/>
      <c r="B281" s="74"/>
      <c r="C281" s="74"/>
      <c r="D281" s="74"/>
      <c r="AF281" s="74"/>
    </row>
    <row r="282">
      <c r="A282" s="74"/>
      <c r="B282" s="74"/>
      <c r="C282" s="74"/>
      <c r="D282" s="74"/>
      <c r="AF282" s="74"/>
    </row>
    <row r="283">
      <c r="A283" s="74"/>
      <c r="B283" s="74"/>
      <c r="C283" s="74"/>
      <c r="D283" s="74"/>
      <c r="AF283" s="74"/>
    </row>
    <row r="284">
      <c r="A284" s="74"/>
      <c r="B284" s="74"/>
      <c r="C284" s="74"/>
      <c r="D284" s="74"/>
      <c r="AF284" s="74"/>
    </row>
    <row r="285">
      <c r="A285" s="74"/>
      <c r="B285" s="74"/>
      <c r="C285" s="74"/>
      <c r="D285" s="74"/>
      <c r="AF285" s="74"/>
    </row>
    <row r="286">
      <c r="A286" s="74"/>
      <c r="B286" s="74"/>
      <c r="C286" s="74"/>
      <c r="D286" s="74"/>
      <c r="AF286" s="74"/>
    </row>
    <row r="287">
      <c r="A287" s="74"/>
      <c r="B287" s="74"/>
      <c r="C287" s="74"/>
      <c r="D287" s="74"/>
      <c r="AF287" s="74"/>
    </row>
    <row r="288">
      <c r="A288" s="74"/>
      <c r="B288" s="74"/>
      <c r="C288" s="74"/>
      <c r="D288" s="74"/>
      <c r="AF288" s="74"/>
    </row>
    <row r="289">
      <c r="A289" s="74"/>
      <c r="B289" s="74"/>
      <c r="C289" s="74"/>
      <c r="D289" s="74"/>
      <c r="AF289" s="74"/>
    </row>
    <row r="290">
      <c r="A290" s="74"/>
      <c r="B290" s="74"/>
      <c r="C290" s="74"/>
      <c r="D290" s="74"/>
      <c r="AF290" s="74"/>
    </row>
    <row r="291">
      <c r="A291" s="74"/>
      <c r="B291" s="74"/>
      <c r="C291" s="74"/>
      <c r="D291" s="74"/>
      <c r="AF291" s="74"/>
    </row>
    <row r="292">
      <c r="A292" s="74"/>
      <c r="B292" s="74"/>
      <c r="C292" s="74"/>
      <c r="D292" s="74"/>
      <c r="AF292" s="74"/>
    </row>
    <row r="293">
      <c r="A293" s="74"/>
      <c r="B293" s="74"/>
      <c r="C293" s="74"/>
      <c r="D293" s="74"/>
      <c r="AF293" s="74"/>
    </row>
    <row r="294">
      <c r="A294" s="74"/>
      <c r="B294" s="74"/>
      <c r="C294" s="74"/>
      <c r="D294" s="74"/>
      <c r="AF294" s="74"/>
    </row>
    <row r="295">
      <c r="A295" s="74"/>
      <c r="B295" s="74"/>
      <c r="C295" s="74"/>
      <c r="D295" s="74"/>
      <c r="AF295" s="74"/>
    </row>
    <row r="296">
      <c r="A296" s="74"/>
      <c r="B296" s="74"/>
      <c r="C296" s="74"/>
      <c r="D296" s="74"/>
      <c r="AF296" s="74"/>
    </row>
    <row r="297">
      <c r="A297" s="74"/>
      <c r="B297" s="74"/>
      <c r="C297" s="74"/>
      <c r="D297" s="74"/>
      <c r="AF297" s="74"/>
    </row>
    <row r="298">
      <c r="A298" s="74"/>
      <c r="B298" s="74"/>
      <c r="C298" s="74"/>
      <c r="D298" s="74"/>
      <c r="AF298" s="74"/>
    </row>
    <row r="299">
      <c r="A299" s="74"/>
      <c r="B299" s="74"/>
      <c r="C299" s="74"/>
      <c r="D299" s="74"/>
      <c r="AF299" s="74"/>
    </row>
    <row r="300">
      <c r="A300" s="74"/>
      <c r="B300" s="74"/>
      <c r="C300" s="74"/>
      <c r="D300" s="74"/>
      <c r="AF300" s="74"/>
    </row>
    <row r="301">
      <c r="A301" s="74"/>
      <c r="B301" s="74"/>
      <c r="C301" s="74"/>
      <c r="D301" s="74"/>
      <c r="AF301" s="74"/>
    </row>
    <row r="302">
      <c r="A302" s="74"/>
      <c r="B302" s="74"/>
      <c r="C302" s="74"/>
      <c r="D302" s="74"/>
      <c r="AF302" s="74"/>
    </row>
    <row r="303">
      <c r="A303" s="74"/>
      <c r="B303" s="74"/>
      <c r="C303" s="74"/>
      <c r="D303" s="74"/>
      <c r="AF303" s="74"/>
    </row>
    <row r="304">
      <c r="A304" s="74"/>
      <c r="B304" s="74"/>
      <c r="C304" s="74"/>
      <c r="D304" s="74"/>
      <c r="AF304" s="74"/>
    </row>
    <row r="305">
      <c r="A305" s="74"/>
      <c r="B305" s="74"/>
      <c r="C305" s="74"/>
      <c r="D305" s="74"/>
      <c r="AF305" s="74"/>
    </row>
    <row r="306">
      <c r="A306" s="74"/>
      <c r="B306" s="74"/>
      <c r="C306" s="74"/>
      <c r="D306" s="74"/>
      <c r="AF306" s="74"/>
    </row>
    <row r="307">
      <c r="A307" s="74"/>
      <c r="B307" s="74"/>
      <c r="C307" s="74"/>
      <c r="D307" s="74"/>
      <c r="AF307" s="74"/>
    </row>
    <row r="308">
      <c r="A308" s="74"/>
      <c r="B308" s="74"/>
      <c r="C308" s="74"/>
      <c r="D308" s="74"/>
      <c r="AF308" s="74"/>
    </row>
    <row r="309">
      <c r="A309" s="74"/>
      <c r="B309" s="74"/>
      <c r="C309" s="74"/>
      <c r="D309" s="74"/>
      <c r="AF309" s="74"/>
    </row>
    <row r="310">
      <c r="A310" s="74"/>
      <c r="B310" s="74"/>
      <c r="C310" s="74"/>
      <c r="D310" s="74"/>
      <c r="AF310" s="74"/>
    </row>
    <row r="311">
      <c r="A311" s="74"/>
      <c r="B311" s="74"/>
      <c r="C311" s="74"/>
      <c r="D311" s="74"/>
      <c r="AF311" s="74"/>
    </row>
    <row r="312">
      <c r="A312" s="74"/>
      <c r="B312" s="74"/>
      <c r="C312" s="74"/>
      <c r="D312" s="74"/>
      <c r="AF312" s="74"/>
    </row>
    <row r="313">
      <c r="A313" s="74"/>
      <c r="B313" s="74"/>
      <c r="C313" s="74"/>
      <c r="D313" s="74"/>
      <c r="AF313" s="74"/>
    </row>
    <row r="314">
      <c r="A314" s="74"/>
      <c r="B314" s="74"/>
      <c r="C314" s="74"/>
      <c r="D314" s="74"/>
      <c r="AF314" s="74"/>
    </row>
    <row r="315">
      <c r="A315" s="74"/>
      <c r="B315" s="74"/>
      <c r="C315" s="74"/>
      <c r="D315" s="74"/>
      <c r="AF315" s="74"/>
    </row>
    <row r="316">
      <c r="A316" s="74"/>
      <c r="B316" s="74"/>
      <c r="C316" s="74"/>
      <c r="D316" s="74"/>
      <c r="AF316" s="74"/>
    </row>
    <row r="317">
      <c r="A317" s="74"/>
      <c r="B317" s="74"/>
      <c r="C317" s="74"/>
      <c r="D317" s="74"/>
      <c r="AF317" s="74"/>
    </row>
    <row r="318">
      <c r="A318" s="74"/>
      <c r="B318" s="74"/>
      <c r="C318" s="74"/>
      <c r="D318" s="74"/>
      <c r="AF318" s="74"/>
    </row>
    <row r="319">
      <c r="A319" s="74"/>
      <c r="B319" s="74"/>
      <c r="C319" s="74"/>
      <c r="D319" s="74"/>
      <c r="AF319" s="74"/>
    </row>
    <row r="320">
      <c r="A320" s="74"/>
      <c r="B320" s="74"/>
      <c r="C320" s="74"/>
      <c r="D320" s="74"/>
      <c r="AF320" s="74"/>
    </row>
    <row r="321">
      <c r="A321" s="74"/>
      <c r="B321" s="74"/>
      <c r="C321" s="74"/>
      <c r="D321" s="74"/>
      <c r="AF321" s="74"/>
    </row>
    <row r="322">
      <c r="A322" s="74"/>
      <c r="B322" s="74"/>
      <c r="C322" s="74"/>
      <c r="D322" s="74"/>
      <c r="AF322" s="74"/>
    </row>
    <row r="323">
      <c r="A323" s="74"/>
      <c r="B323" s="74"/>
      <c r="C323" s="74"/>
      <c r="D323" s="74"/>
      <c r="AF323" s="74"/>
    </row>
    <row r="324">
      <c r="A324" s="74"/>
      <c r="B324" s="74"/>
      <c r="C324" s="74"/>
      <c r="D324" s="74"/>
      <c r="AF324" s="74"/>
    </row>
    <row r="325">
      <c r="A325" s="74"/>
      <c r="B325" s="74"/>
      <c r="C325" s="74"/>
      <c r="D325" s="74"/>
      <c r="AF325" s="74"/>
    </row>
    <row r="326">
      <c r="A326" s="74"/>
      <c r="B326" s="74"/>
      <c r="C326" s="74"/>
      <c r="D326" s="74"/>
      <c r="AF326" s="74"/>
    </row>
    <row r="327">
      <c r="A327" s="74"/>
      <c r="B327" s="74"/>
      <c r="C327" s="74"/>
      <c r="D327" s="74"/>
      <c r="AF327" s="74"/>
    </row>
    <row r="328">
      <c r="A328" s="74"/>
      <c r="B328" s="74"/>
      <c r="C328" s="74"/>
      <c r="D328" s="74"/>
      <c r="AF328" s="74"/>
    </row>
    <row r="329">
      <c r="A329" s="74"/>
      <c r="B329" s="74"/>
      <c r="C329" s="74"/>
      <c r="D329" s="74"/>
      <c r="AF329" s="74"/>
    </row>
    <row r="330">
      <c r="A330" s="74"/>
      <c r="B330" s="74"/>
      <c r="C330" s="74"/>
      <c r="D330" s="74"/>
      <c r="AF330" s="74"/>
    </row>
    <row r="331">
      <c r="A331" s="74"/>
      <c r="B331" s="74"/>
      <c r="C331" s="74"/>
      <c r="D331" s="74"/>
      <c r="AF331" s="74"/>
    </row>
    <row r="332">
      <c r="A332" s="74"/>
      <c r="B332" s="74"/>
      <c r="C332" s="74"/>
      <c r="D332" s="74"/>
      <c r="AF332" s="74"/>
    </row>
    <row r="333">
      <c r="A333" s="74"/>
      <c r="B333" s="74"/>
      <c r="C333" s="74"/>
      <c r="D333" s="74"/>
      <c r="AF333" s="74"/>
    </row>
    <row r="334">
      <c r="A334" s="74"/>
      <c r="B334" s="74"/>
      <c r="C334" s="74"/>
      <c r="D334" s="74"/>
      <c r="AF334" s="74"/>
    </row>
    <row r="335">
      <c r="A335" s="74"/>
      <c r="B335" s="74"/>
      <c r="C335" s="74"/>
      <c r="D335" s="74"/>
      <c r="AF335" s="74"/>
    </row>
    <row r="336">
      <c r="A336" s="74"/>
      <c r="B336" s="74"/>
      <c r="C336" s="74"/>
      <c r="D336" s="74"/>
      <c r="AF336" s="74"/>
    </row>
    <row r="337">
      <c r="A337" s="74"/>
      <c r="B337" s="74"/>
      <c r="C337" s="74"/>
      <c r="D337" s="74"/>
      <c r="AF337" s="74"/>
    </row>
    <row r="338">
      <c r="A338" s="74"/>
      <c r="B338" s="74"/>
      <c r="C338" s="74"/>
      <c r="D338" s="74"/>
      <c r="AF338" s="74"/>
    </row>
    <row r="339">
      <c r="A339" s="74"/>
      <c r="B339" s="74"/>
      <c r="C339" s="74"/>
      <c r="D339" s="74"/>
      <c r="AF339" s="74"/>
    </row>
    <row r="340">
      <c r="A340" s="74"/>
      <c r="B340" s="74"/>
      <c r="C340" s="74"/>
      <c r="D340" s="74"/>
      <c r="AF340" s="74"/>
    </row>
    <row r="341">
      <c r="A341" s="74"/>
      <c r="B341" s="74"/>
      <c r="C341" s="74"/>
      <c r="D341" s="74"/>
      <c r="AF341" s="74"/>
    </row>
    <row r="342">
      <c r="A342" s="74"/>
      <c r="B342" s="74"/>
      <c r="C342" s="74"/>
      <c r="D342" s="74"/>
      <c r="AF342" s="74"/>
    </row>
    <row r="343">
      <c r="A343" s="74"/>
      <c r="B343" s="74"/>
      <c r="C343" s="74"/>
      <c r="D343" s="74"/>
      <c r="AF343" s="74"/>
    </row>
    <row r="344">
      <c r="A344" s="74"/>
      <c r="B344" s="74"/>
      <c r="C344" s="74"/>
      <c r="D344" s="74"/>
      <c r="AF344" s="74"/>
    </row>
    <row r="345">
      <c r="A345" s="74"/>
      <c r="B345" s="74"/>
      <c r="C345" s="74"/>
      <c r="D345" s="74"/>
      <c r="AF345" s="74"/>
    </row>
    <row r="346">
      <c r="A346" s="74"/>
      <c r="B346" s="74"/>
      <c r="C346" s="74"/>
      <c r="D346" s="74"/>
      <c r="AF346" s="74"/>
    </row>
    <row r="347">
      <c r="A347" s="74"/>
      <c r="B347" s="74"/>
      <c r="C347" s="74"/>
      <c r="D347" s="74"/>
      <c r="AF347" s="74"/>
    </row>
    <row r="348">
      <c r="A348" s="74"/>
      <c r="B348" s="74"/>
      <c r="C348" s="74"/>
      <c r="D348" s="74"/>
      <c r="AF348" s="74"/>
    </row>
    <row r="349">
      <c r="A349" s="74"/>
      <c r="B349" s="74"/>
      <c r="C349" s="74"/>
      <c r="D349" s="74"/>
      <c r="AF349" s="74"/>
    </row>
    <row r="350">
      <c r="A350" s="74"/>
      <c r="B350" s="74"/>
      <c r="C350" s="74"/>
      <c r="D350" s="74"/>
      <c r="AF350" s="74"/>
    </row>
    <row r="351">
      <c r="A351" s="74"/>
      <c r="B351" s="74"/>
      <c r="C351" s="74"/>
      <c r="D351" s="74"/>
      <c r="AF351" s="74"/>
    </row>
    <row r="352">
      <c r="A352" s="74"/>
      <c r="B352" s="74"/>
      <c r="C352" s="74"/>
      <c r="D352" s="74"/>
      <c r="AF352" s="74"/>
    </row>
    <row r="353">
      <c r="A353" s="74"/>
      <c r="B353" s="74"/>
      <c r="C353" s="74"/>
      <c r="D353" s="74"/>
      <c r="AF353" s="74"/>
    </row>
    <row r="354">
      <c r="A354" s="74"/>
      <c r="B354" s="74"/>
      <c r="C354" s="74"/>
      <c r="D354" s="74"/>
      <c r="AF354" s="74"/>
    </row>
    <row r="355">
      <c r="A355" s="74"/>
      <c r="B355" s="74"/>
      <c r="C355" s="74"/>
      <c r="D355" s="74"/>
      <c r="AF355" s="74"/>
    </row>
    <row r="356">
      <c r="A356" s="74"/>
      <c r="B356" s="74"/>
      <c r="C356" s="74"/>
      <c r="D356" s="74"/>
      <c r="AF356" s="74"/>
    </row>
    <row r="357">
      <c r="A357" s="74"/>
      <c r="B357" s="74"/>
      <c r="C357" s="74"/>
      <c r="D357" s="74"/>
      <c r="AF357" s="74"/>
    </row>
    <row r="358">
      <c r="A358" s="74"/>
      <c r="B358" s="74"/>
      <c r="C358" s="74"/>
      <c r="D358" s="74"/>
      <c r="AF358" s="74"/>
    </row>
    <row r="359">
      <c r="A359" s="74"/>
      <c r="B359" s="74"/>
      <c r="C359" s="74"/>
      <c r="D359" s="74"/>
      <c r="AF359" s="74"/>
    </row>
    <row r="360">
      <c r="A360" s="74"/>
      <c r="B360" s="74"/>
      <c r="C360" s="74"/>
      <c r="D360" s="74"/>
      <c r="AF360" s="74"/>
    </row>
    <row r="361">
      <c r="A361" s="74"/>
      <c r="B361" s="74"/>
      <c r="C361" s="74"/>
      <c r="D361" s="74"/>
      <c r="AF361" s="74"/>
    </row>
    <row r="362">
      <c r="A362" s="74"/>
      <c r="B362" s="74"/>
      <c r="C362" s="74"/>
      <c r="D362" s="74"/>
      <c r="AF362" s="74"/>
    </row>
    <row r="363">
      <c r="A363" s="74"/>
      <c r="B363" s="74"/>
      <c r="C363" s="74"/>
      <c r="D363" s="74"/>
      <c r="AF363" s="74"/>
    </row>
    <row r="364">
      <c r="A364" s="74"/>
      <c r="B364" s="74"/>
      <c r="C364" s="74"/>
      <c r="D364" s="74"/>
      <c r="AF364" s="74"/>
    </row>
    <row r="365">
      <c r="A365" s="74"/>
      <c r="B365" s="74"/>
      <c r="C365" s="74"/>
      <c r="D365" s="74"/>
      <c r="AF365" s="74"/>
    </row>
    <row r="366">
      <c r="A366" s="74"/>
      <c r="B366" s="74"/>
      <c r="C366" s="74"/>
      <c r="D366" s="74"/>
      <c r="AF366" s="74"/>
    </row>
    <row r="367">
      <c r="A367" s="74"/>
      <c r="B367" s="74"/>
      <c r="C367" s="74"/>
      <c r="D367" s="74"/>
      <c r="AF367" s="74"/>
    </row>
    <row r="368">
      <c r="A368" s="74"/>
      <c r="B368" s="74"/>
      <c r="C368" s="74"/>
      <c r="D368" s="74"/>
      <c r="AF368" s="74"/>
    </row>
    <row r="369">
      <c r="A369" s="74"/>
      <c r="B369" s="74"/>
      <c r="C369" s="74"/>
      <c r="D369" s="74"/>
      <c r="AF369" s="74"/>
    </row>
    <row r="370">
      <c r="A370" s="74"/>
      <c r="B370" s="74"/>
      <c r="C370" s="74"/>
      <c r="D370" s="74"/>
      <c r="AF370" s="74"/>
    </row>
    <row r="371">
      <c r="A371" s="74"/>
      <c r="B371" s="74"/>
      <c r="C371" s="74"/>
      <c r="D371" s="74"/>
      <c r="AF371" s="74"/>
    </row>
    <row r="372">
      <c r="A372" s="74"/>
      <c r="B372" s="74"/>
      <c r="C372" s="74"/>
      <c r="D372" s="74"/>
      <c r="AF372" s="74"/>
    </row>
    <row r="373">
      <c r="A373" s="74"/>
      <c r="B373" s="74"/>
      <c r="C373" s="74"/>
      <c r="D373" s="74"/>
      <c r="AF373" s="74"/>
    </row>
    <row r="374">
      <c r="A374" s="74"/>
      <c r="B374" s="74"/>
      <c r="C374" s="74"/>
      <c r="D374" s="74"/>
      <c r="AF374" s="74"/>
    </row>
    <row r="375">
      <c r="A375" s="74"/>
      <c r="B375" s="74"/>
      <c r="C375" s="74"/>
      <c r="D375" s="74"/>
      <c r="AF375" s="74"/>
    </row>
    <row r="376">
      <c r="A376" s="74"/>
      <c r="B376" s="74"/>
      <c r="C376" s="74"/>
      <c r="D376" s="74"/>
      <c r="AF376" s="74"/>
    </row>
    <row r="377">
      <c r="A377" s="74"/>
      <c r="B377" s="74"/>
      <c r="C377" s="74"/>
      <c r="D377" s="74"/>
      <c r="AF377" s="74"/>
    </row>
    <row r="378">
      <c r="A378" s="74"/>
      <c r="B378" s="74"/>
      <c r="C378" s="74"/>
      <c r="D378" s="74"/>
      <c r="AF378" s="74"/>
    </row>
    <row r="379">
      <c r="A379" s="74"/>
      <c r="B379" s="74"/>
      <c r="C379" s="74"/>
      <c r="D379" s="74"/>
      <c r="AF379" s="74"/>
    </row>
    <row r="380">
      <c r="A380" s="74"/>
      <c r="B380" s="74"/>
      <c r="C380" s="74"/>
      <c r="D380" s="74"/>
      <c r="AF380" s="74"/>
    </row>
    <row r="381">
      <c r="A381" s="74"/>
      <c r="B381" s="74"/>
      <c r="C381" s="74"/>
      <c r="D381" s="74"/>
      <c r="AF381" s="74"/>
    </row>
    <row r="382">
      <c r="A382" s="74"/>
      <c r="B382" s="74"/>
      <c r="C382" s="74"/>
      <c r="D382" s="74"/>
      <c r="AF382" s="74"/>
    </row>
    <row r="383">
      <c r="A383" s="74"/>
      <c r="B383" s="74"/>
      <c r="C383" s="74"/>
      <c r="D383" s="74"/>
      <c r="AF383" s="74"/>
    </row>
    <row r="384">
      <c r="A384" s="74"/>
      <c r="B384" s="74"/>
      <c r="C384" s="74"/>
      <c r="D384" s="74"/>
      <c r="AF384" s="74"/>
    </row>
    <row r="385">
      <c r="A385" s="74"/>
      <c r="B385" s="74"/>
      <c r="C385" s="74"/>
      <c r="D385" s="74"/>
      <c r="AF385" s="74"/>
    </row>
    <row r="386">
      <c r="A386" s="74"/>
      <c r="B386" s="74"/>
      <c r="C386" s="74"/>
      <c r="D386" s="74"/>
      <c r="AF386" s="74"/>
    </row>
    <row r="387">
      <c r="A387" s="74"/>
      <c r="B387" s="74"/>
      <c r="C387" s="74"/>
      <c r="D387" s="74"/>
      <c r="AF387" s="74"/>
    </row>
    <row r="388">
      <c r="A388" s="74"/>
      <c r="B388" s="74"/>
      <c r="C388" s="74"/>
      <c r="D388" s="74"/>
      <c r="AF388" s="74"/>
    </row>
    <row r="389">
      <c r="A389" s="74"/>
      <c r="B389" s="74"/>
      <c r="C389" s="74"/>
      <c r="D389" s="74"/>
      <c r="AF389" s="74"/>
    </row>
    <row r="390">
      <c r="A390" s="74"/>
      <c r="B390" s="74"/>
      <c r="C390" s="74"/>
      <c r="D390" s="74"/>
      <c r="AF390" s="74"/>
    </row>
    <row r="391">
      <c r="A391" s="74"/>
      <c r="B391" s="74"/>
      <c r="C391" s="74"/>
      <c r="D391" s="74"/>
      <c r="AF391" s="74"/>
    </row>
    <row r="392">
      <c r="A392" s="74"/>
      <c r="B392" s="74"/>
      <c r="C392" s="74"/>
      <c r="D392" s="74"/>
      <c r="AF392" s="74"/>
    </row>
    <row r="393">
      <c r="A393" s="74"/>
      <c r="B393" s="74"/>
      <c r="C393" s="74"/>
      <c r="D393" s="74"/>
      <c r="AF393" s="74"/>
    </row>
    <row r="394">
      <c r="A394" s="74"/>
      <c r="B394" s="74"/>
      <c r="C394" s="74"/>
      <c r="D394" s="74"/>
      <c r="AF394" s="74"/>
    </row>
    <row r="395">
      <c r="A395" s="74"/>
      <c r="B395" s="74"/>
      <c r="C395" s="74"/>
      <c r="D395" s="74"/>
      <c r="AF395" s="74"/>
    </row>
    <row r="396">
      <c r="A396" s="74"/>
      <c r="B396" s="74"/>
      <c r="C396" s="74"/>
      <c r="D396" s="74"/>
      <c r="AF396" s="74"/>
    </row>
    <row r="397">
      <c r="A397" s="74"/>
      <c r="B397" s="74"/>
      <c r="C397" s="74"/>
      <c r="D397" s="74"/>
      <c r="AF397" s="74"/>
    </row>
    <row r="398">
      <c r="A398" s="74"/>
      <c r="B398" s="74"/>
      <c r="C398" s="74"/>
      <c r="D398" s="74"/>
      <c r="AF398" s="74"/>
    </row>
    <row r="399">
      <c r="A399" s="74"/>
      <c r="B399" s="74"/>
      <c r="C399" s="74"/>
      <c r="D399" s="74"/>
      <c r="AF399" s="74"/>
    </row>
    <row r="400">
      <c r="A400" s="74"/>
      <c r="B400" s="74"/>
      <c r="C400" s="74"/>
      <c r="D400" s="74"/>
      <c r="AF400" s="74"/>
    </row>
    <row r="401">
      <c r="A401" s="74"/>
      <c r="B401" s="74"/>
      <c r="C401" s="74"/>
      <c r="D401" s="74"/>
      <c r="AF401" s="74"/>
    </row>
    <row r="402">
      <c r="A402" s="74"/>
      <c r="B402" s="74"/>
      <c r="C402" s="74"/>
      <c r="D402" s="74"/>
      <c r="AF402" s="74"/>
    </row>
    <row r="403">
      <c r="A403" s="74"/>
      <c r="B403" s="74"/>
      <c r="C403" s="74"/>
      <c r="D403" s="74"/>
      <c r="AF403" s="74"/>
    </row>
    <row r="404">
      <c r="A404" s="74"/>
      <c r="B404" s="74"/>
      <c r="C404" s="74"/>
      <c r="D404" s="74"/>
      <c r="AF404" s="74"/>
    </row>
    <row r="405">
      <c r="A405" s="74"/>
      <c r="B405" s="74"/>
      <c r="C405" s="74"/>
      <c r="D405" s="74"/>
      <c r="AF405" s="74"/>
    </row>
    <row r="406">
      <c r="A406" s="74"/>
      <c r="B406" s="74"/>
      <c r="C406" s="74"/>
      <c r="D406" s="74"/>
      <c r="AF406" s="74"/>
    </row>
    <row r="407">
      <c r="A407" s="74"/>
      <c r="B407" s="74"/>
      <c r="C407" s="74"/>
      <c r="D407" s="74"/>
      <c r="AF407" s="74"/>
    </row>
    <row r="408">
      <c r="A408" s="74"/>
      <c r="B408" s="74"/>
      <c r="C408" s="74"/>
      <c r="D408" s="74"/>
      <c r="AF408" s="74"/>
    </row>
    <row r="409">
      <c r="A409" s="74"/>
      <c r="B409" s="74"/>
      <c r="C409" s="74"/>
      <c r="D409" s="74"/>
      <c r="AF409" s="74"/>
    </row>
    <row r="410">
      <c r="A410" s="74"/>
      <c r="B410" s="74"/>
      <c r="C410" s="74"/>
      <c r="D410" s="74"/>
      <c r="AF410" s="74"/>
    </row>
    <row r="411">
      <c r="A411" s="74"/>
      <c r="B411" s="74"/>
      <c r="C411" s="74"/>
      <c r="D411" s="74"/>
      <c r="AF411" s="74"/>
    </row>
    <row r="412">
      <c r="A412" s="74"/>
      <c r="B412" s="74"/>
      <c r="C412" s="74"/>
      <c r="D412" s="74"/>
      <c r="AF412" s="74"/>
    </row>
    <row r="413">
      <c r="A413" s="74"/>
      <c r="B413" s="74"/>
      <c r="C413" s="74"/>
      <c r="D413" s="74"/>
      <c r="AF413" s="74"/>
    </row>
    <row r="414">
      <c r="A414" s="74"/>
      <c r="B414" s="74"/>
      <c r="C414" s="74"/>
      <c r="D414" s="74"/>
      <c r="AF414" s="74"/>
    </row>
    <row r="415">
      <c r="A415" s="74"/>
      <c r="B415" s="74"/>
      <c r="C415" s="74"/>
      <c r="D415" s="74"/>
      <c r="AF415" s="74"/>
    </row>
    <row r="416">
      <c r="A416" s="74"/>
      <c r="B416" s="74"/>
      <c r="C416" s="74"/>
      <c r="D416" s="74"/>
      <c r="AF416" s="74"/>
    </row>
    <row r="417">
      <c r="A417" s="74"/>
      <c r="B417" s="74"/>
      <c r="C417" s="74"/>
      <c r="D417" s="74"/>
      <c r="AF417" s="74"/>
    </row>
    <row r="418">
      <c r="A418" s="74"/>
      <c r="B418" s="74"/>
      <c r="C418" s="74"/>
      <c r="D418" s="74"/>
      <c r="AF418" s="74"/>
    </row>
    <row r="419">
      <c r="A419" s="74"/>
      <c r="B419" s="74"/>
      <c r="C419" s="74"/>
      <c r="D419" s="74"/>
      <c r="AF419" s="74"/>
    </row>
    <row r="420">
      <c r="A420" s="74"/>
      <c r="B420" s="74"/>
      <c r="C420" s="74"/>
      <c r="D420" s="74"/>
      <c r="AF420" s="74"/>
    </row>
    <row r="421">
      <c r="A421" s="74"/>
      <c r="B421" s="74"/>
      <c r="C421" s="74"/>
      <c r="D421" s="74"/>
      <c r="AF421" s="74"/>
    </row>
    <row r="422">
      <c r="A422" s="74"/>
      <c r="B422" s="74"/>
      <c r="C422" s="74"/>
      <c r="D422" s="74"/>
      <c r="AF422" s="74"/>
    </row>
    <row r="423">
      <c r="A423" s="74"/>
      <c r="B423" s="74"/>
      <c r="C423" s="74"/>
      <c r="D423" s="74"/>
      <c r="AF423" s="74"/>
    </row>
    <row r="424">
      <c r="A424" s="74"/>
      <c r="B424" s="74"/>
      <c r="C424" s="74"/>
      <c r="D424" s="74"/>
      <c r="AF424" s="74"/>
    </row>
    <row r="425">
      <c r="A425" s="74"/>
      <c r="B425" s="74"/>
      <c r="C425" s="74"/>
      <c r="D425" s="74"/>
      <c r="AF425" s="74"/>
    </row>
    <row r="426">
      <c r="A426" s="74"/>
      <c r="B426" s="74"/>
      <c r="C426" s="74"/>
      <c r="D426" s="74"/>
      <c r="AF426" s="74"/>
    </row>
    <row r="427">
      <c r="A427" s="74"/>
      <c r="B427" s="74"/>
      <c r="C427" s="74"/>
      <c r="D427" s="74"/>
      <c r="AF427" s="74"/>
    </row>
    <row r="428">
      <c r="A428" s="74"/>
      <c r="B428" s="74"/>
      <c r="C428" s="74"/>
      <c r="D428" s="74"/>
      <c r="AF428" s="74"/>
    </row>
    <row r="429">
      <c r="A429" s="74"/>
      <c r="B429" s="74"/>
      <c r="C429" s="74"/>
      <c r="D429" s="74"/>
      <c r="AF429" s="74"/>
    </row>
    <row r="430">
      <c r="A430" s="74"/>
      <c r="B430" s="74"/>
      <c r="C430" s="74"/>
      <c r="D430" s="74"/>
      <c r="AF430" s="74"/>
    </row>
    <row r="431">
      <c r="A431" s="74"/>
      <c r="B431" s="74"/>
      <c r="C431" s="74"/>
      <c r="D431" s="74"/>
      <c r="AF431" s="74"/>
    </row>
    <row r="432">
      <c r="A432" s="74"/>
      <c r="B432" s="74"/>
      <c r="C432" s="74"/>
      <c r="D432" s="74"/>
      <c r="AF432" s="74"/>
    </row>
    <row r="433">
      <c r="A433" s="74"/>
      <c r="B433" s="74"/>
      <c r="C433" s="74"/>
      <c r="D433" s="74"/>
      <c r="AF433" s="74"/>
    </row>
    <row r="434">
      <c r="A434" s="74"/>
      <c r="B434" s="74"/>
      <c r="C434" s="74"/>
      <c r="D434" s="74"/>
      <c r="AF434" s="74"/>
    </row>
    <row r="435">
      <c r="A435" s="74"/>
      <c r="B435" s="74"/>
      <c r="C435" s="74"/>
      <c r="D435" s="74"/>
      <c r="AF435" s="74"/>
    </row>
    <row r="436">
      <c r="A436" s="74"/>
      <c r="B436" s="74"/>
      <c r="C436" s="74"/>
      <c r="D436" s="74"/>
      <c r="AF436" s="74"/>
    </row>
    <row r="437">
      <c r="A437" s="74"/>
      <c r="B437" s="74"/>
      <c r="C437" s="74"/>
      <c r="D437" s="74"/>
      <c r="AF437" s="74"/>
    </row>
    <row r="438">
      <c r="A438" s="74"/>
      <c r="B438" s="74"/>
      <c r="C438" s="74"/>
      <c r="D438" s="74"/>
      <c r="AF438" s="74"/>
    </row>
    <row r="439">
      <c r="A439" s="74"/>
      <c r="B439" s="74"/>
      <c r="C439" s="74"/>
      <c r="D439" s="74"/>
      <c r="AF439" s="74"/>
    </row>
    <row r="440">
      <c r="A440" s="74"/>
      <c r="B440" s="74"/>
      <c r="C440" s="74"/>
      <c r="D440" s="74"/>
      <c r="AF440" s="74"/>
    </row>
    <row r="441">
      <c r="A441" s="74"/>
      <c r="B441" s="74"/>
      <c r="C441" s="74"/>
      <c r="D441" s="74"/>
      <c r="AF441" s="74"/>
    </row>
    <row r="442">
      <c r="A442" s="74"/>
      <c r="B442" s="74"/>
      <c r="C442" s="74"/>
      <c r="D442" s="74"/>
      <c r="AF442" s="74"/>
    </row>
    <row r="443">
      <c r="A443" s="74"/>
      <c r="B443" s="74"/>
      <c r="C443" s="74"/>
      <c r="D443" s="74"/>
      <c r="AF443" s="74"/>
    </row>
    <row r="444">
      <c r="A444" s="74"/>
      <c r="B444" s="74"/>
      <c r="C444" s="74"/>
      <c r="D444" s="74"/>
      <c r="AF444" s="74"/>
    </row>
    <row r="445">
      <c r="A445" s="74"/>
      <c r="B445" s="74"/>
      <c r="C445" s="74"/>
      <c r="D445" s="74"/>
      <c r="AF445" s="74"/>
    </row>
    <row r="446">
      <c r="A446" s="74"/>
      <c r="B446" s="74"/>
      <c r="C446" s="74"/>
      <c r="D446" s="74"/>
      <c r="AF446" s="74"/>
    </row>
    <row r="447">
      <c r="A447" s="74"/>
      <c r="B447" s="74"/>
      <c r="C447" s="74"/>
      <c r="D447" s="74"/>
      <c r="AF447" s="74"/>
    </row>
    <row r="448">
      <c r="A448" s="74"/>
      <c r="B448" s="74"/>
      <c r="C448" s="74"/>
      <c r="D448" s="74"/>
      <c r="AF448" s="74"/>
    </row>
    <row r="449">
      <c r="A449" s="74"/>
      <c r="B449" s="74"/>
      <c r="C449" s="74"/>
      <c r="D449" s="74"/>
      <c r="AF449" s="74"/>
    </row>
    <row r="450">
      <c r="A450" s="74"/>
      <c r="B450" s="74"/>
      <c r="C450" s="74"/>
      <c r="D450" s="74"/>
      <c r="AF450" s="74"/>
    </row>
    <row r="451">
      <c r="A451" s="74"/>
      <c r="B451" s="74"/>
      <c r="C451" s="74"/>
      <c r="D451" s="74"/>
      <c r="AF451" s="74"/>
    </row>
    <row r="452">
      <c r="A452" s="74"/>
      <c r="B452" s="74"/>
      <c r="C452" s="74"/>
      <c r="D452" s="74"/>
      <c r="AF452" s="74"/>
    </row>
    <row r="453">
      <c r="A453" s="74"/>
      <c r="B453" s="74"/>
      <c r="C453" s="74"/>
      <c r="D453" s="74"/>
      <c r="AF453" s="74"/>
    </row>
    <row r="454">
      <c r="A454" s="74"/>
      <c r="B454" s="74"/>
      <c r="C454" s="74"/>
      <c r="D454" s="74"/>
      <c r="AF454" s="74"/>
    </row>
    <row r="455">
      <c r="A455" s="74"/>
      <c r="B455" s="74"/>
      <c r="C455" s="74"/>
      <c r="D455" s="74"/>
      <c r="AF455" s="74"/>
    </row>
    <row r="456">
      <c r="A456" s="74"/>
      <c r="B456" s="74"/>
      <c r="C456" s="74"/>
      <c r="D456" s="74"/>
      <c r="AF456" s="74"/>
    </row>
    <row r="457">
      <c r="A457" s="74"/>
      <c r="B457" s="74"/>
      <c r="C457" s="74"/>
      <c r="D457" s="74"/>
      <c r="AF457" s="74"/>
    </row>
    <row r="458">
      <c r="A458" s="74"/>
      <c r="B458" s="74"/>
      <c r="C458" s="74"/>
      <c r="D458" s="74"/>
      <c r="AF458" s="74"/>
    </row>
    <row r="459">
      <c r="A459" s="74"/>
      <c r="B459" s="74"/>
      <c r="C459" s="74"/>
      <c r="D459" s="74"/>
      <c r="AF459" s="74"/>
    </row>
    <row r="460">
      <c r="A460" s="74"/>
      <c r="B460" s="74"/>
      <c r="C460" s="74"/>
      <c r="D460" s="74"/>
      <c r="AF460" s="74"/>
    </row>
    <row r="461">
      <c r="A461" s="74"/>
      <c r="B461" s="74"/>
      <c r="C461" s="74"/>
      <c r="D461" s="74"/>
      <c r="AF461" s="74"/>
    </row>
    <row r="462">
      <c r="A462" s="74"/>
      <c r="B462" s="74"/>
      <c r="C462" s="74"/>
      <c r="D462" s="74"/>
      <c r="AF462" s="74"/>
    </row>
    <row r="463">
      <c r="A463" s="74"/>
      <c r="B463" s="74"/>
      <c r="C463" s="74"/>
      <c r="D463" s="74"/>
      <c r="AF463" s="74"/>
    </row>
    <row r="464">
      <c r="A464" s="74"/>
      <c r="B464" s="74"/>
      <c r="C464" s="74"/>
      <c r="D464" s="74"/>
      <c r="AF464" s="74"/>
    </row>
    <row r="465">
      <c r="A465" s="74"/>
      <c r="B465" s="74"/>
      <c r="C465" s="74"/>
      <c r="D465" s="74"/>
      <c r="AF465" s="74"/>
    </row>
    <row r="466">
      <c r="A466" s="74"/>
      <c r="B466" s="74"/>
      <c r="C466" s="74"/>
      <c r="D466" s="74"/>
      <c r="AF466" s="74"/>
    </row>
    <row r="467">
      <c r="A467" s="74"/>
      <c r="B467" s="74"/>
      <c r="C467" s="74"/>
      <c r="D467" s="74"/>
      <c r="AF467" s="74"/>
    </row>
    <row r="468">
      <c r="A468" s="74"/>
      <c r="B468" s="74"/>
      <c r="C468" s="74"/>
      <c r="D468" s="74"/>
      <c r="AF468" s="74"/>
    </row>
    <row r="469">
      <c r="A469" s="74"/>
      <c r="B469" s="74"/>
      <c r="C469" s="74"/>
      <c r="D469" s="74"/>
      <c r="AF469" s="74"/>
    </row>
    <row r="470">
      <c r="A470" s="74"/>
      <c r="B470" s="74"/>
      <c r="C470" s="74"/>
      <c r="D470" s="74"/>
      <c r="AF470" s="74"/>
    </row>
    <row r="471">
      <c r="A471" s="74"/>
      <c r="B471" s="74"/>
      <c r="C471" s="74"/>
      <c r="D471" s="74"/>
      <c r="AF471" s="74"/>
    </row>
    <row r="472">
      <c r="A472" s="74"/>
      <c r="B472" s="74"/>
      <c r="C472" s="74"/>
      <c r="D472" s="74"/>
      <c r="AF472" s="74"/>
    </row>
    <row r="473">
      <c r="A473" s="74"/>
      <c r="B473" s="74"/>
      <c r="C473" s="74"/>
      <c r="D473" s="74"/>
      <c r="AF473" s="74"/>
    </row>
    <row r="474">
      <c r="A474" s="74"/>
      <c r="B474" s="74"/>
      <c r="C474" s="74"/>
      <c r="D474" s="74"/>
      <c r="AF474" s="74"/>
    </row>
    <row r="475">
      <c r="A475" s="74"/>
      <c r="B475" s="74"/>
      <c r="C475" s="74"/>
      <c r="D475" s="74"/>
      <c r="AF475" s="74"/>
    </row>
    <row r="476">
      <c r="A476" s="74"/>
      <c r="B476" s="74"/>
      <c r="C476" s="74"/>
      <c r="D476" s="74"/>
      <c r="AF476" s="74"/>
    </row>
    <row r="477">
      <c r="A477" s="74"/>
      <c r="B477" s="74"/>
      <c r="C477" s="74"/>
      <c r="D477" s="74"/>
      <c r="AF477" s="74"/>
    </row>
    <row r="478">
      <c r="A478" s="74"/>
      <c r="B478" s="74"/>
      <c r="C478" s="74"/>
      <c r="D478" s="74"/>
      <c r="AF478" s="74"/>
    </row>
    <row r="479">
      <c r="A479" s="74"/>
      <c r="B479" s="74"/>
      <c r="C479" s="74"/>
      <c r="D479" s="74"/>
      <c r="AF479" s="74"/>
    </row>
    <row r="480">
      <c r="A480" s="74"/>
      <c r="B480" s="74"/>
      <c r="C480" s="74"/>
      <c r="D480" s="74"/>
      <c r="AF480" s="74"/>
    </row>
    <row r="481">
      <c r="A481" s="74"/>
      <c r="B481" s="74"/>
      <c r="C481" s="74"/>
      <c r="D481" s="74"/>
      <c r="AF481" s="74"/>
    </row>
    <row r="482">
      <c r="A482" s="74"/>
      <c r="B482" s="74"/>
      <c r="C482" s="74"/>
      <c r="D482" s="74"/>
      <c r="AF482" s="74"/>
    </row>
    <row r="483">
      <c r="A483" s="74"/>
      <c r="B483" s="74"/>
      <c r="C483" s="74"/>
      <c r="D483" s="74"/>
      <c r="AF483" s="74"/>
    </row>
    <row r="484">
      <c r="A484" s="74"/>
      <c r="B484" s="74"/>
      <c r="C484" s="74"/>
      <c r="D484" s="74"/>
      <c r="AF484" s="74"/>
    </row>
    <row r="485">
      <c r="A485" s="74"/>
      <c r="B485" s="74"/>
      <c r="C485" s="74"/>
      <c r="D485" s="74"/>
      <c r="AF485" s="74"/>
    </row>
    <row r="486">
      <c r="A486" s="74"/>
      <c r="B486" s="74"/>
      <c r="C486" s="74"/>
      <c r="D486" s="74"/>
      <c r="AF486" s="74"/>
    </row>
    <row r="487">
      <c r="A487" s="74"/>
      <c r="B487" s="74"/>
      <c r="C487" s="74"/>
      <c r="D487" s="74"/>
      <c r="AF487" s="74"/>
    </row>
    <row r="488">
      <c r="A488" s="74"/>
      <c r="B488" s="74"/>
      <c r="C488" s="74"/>
      <c r="D488" s="74"/>
      <c r="AF488" s="74"/>
    </row>
    <row r="489">
      <c r="A489" s="74"/>
      <c r="B489" s="74"/>
      <c r="C489" s="74"/>
      <c r="D489" s="74"/>
      <c r="AF489" s="74"/>
    </row>
    <row r="490">
      <c r="A490" s="74"/>
      <c r="B490" s="74"/>
      <c r="C490" s="74"/>
      <c r="D490" s="74"/>
      <c r="AF490" s="74"/>
    </row>
    <row r="491">
      <c r="A491" s="74"/>
      <c r="B491" s="74"/>
      <c r="C491" s="74"/>
      <c r="D491" s="74"/>
      <c r="AF491" s="74"/>
    </row>
    <row r="492">
      <c r="A492" s="74"/>
      <c r="B492" s="74"/>
      <c r="C492" s="74"/>
      <c r="D492" s="74"/>
      <c r="AF492" s="74"/>
    </row>
    <row r="493">
      <c r="A493" s="74"/>
      <c r="B493" s="74"/>
      <c r="C493" s="74"/>
      <c r="D493" s="74"/>
      <c r="AF493" s="74"/>
    </row>
    <row r="494">
      <c r="A494" s="74"/>
      <c r="B494" s="74"/>
      <c r="C494" s="74"/>
      <c r="D494" s="74"/>
      <c r="AF494" s="74"/>
    </row>
    <row r="495">
      <c r="A495" s="74"/>
      <c r="B495" s="74"/>
      <c r="C495" s="74"/>
      <c r="D495" s="74"/>
      <c r="AF495" s="74"/>
    </row>
    <row r="496">
      <c r="A496" s="74"/>
      <c r="B496" s="74"/>
      <c r="C496" s="74"/>
      <c r="D496" s="74"/>
      <c r="AF496" s="74"/>
    </row>
    <row r="497">
      <c r="A497" s="74"/>
      <c r="B497" s="74"/>
      <c r="C497" s="74"/>
      <c r="D497" s="74"/>
      <c r="AF497" s="74"/>
    </row>
    <row r="498">
      <c r="A498" s="74"/>
      <c r="B498" s="74"/>
      <c r="C498" s="74"/>
      <c r="D498" s="74"/>
      <c r="AF498" s="74"/>
    </row>
    <row r="499">
      <c r="A499" s="74"/>
      <c r="B499" s="74"/>
      <c r="C499" s="74"/>
      <c r="D499" s="74"/>
      <c r="AF499" s="74"/>
    </row>
    <row r="500">
      <c r="A500" s="74"/>
      <c r="B500" s="74"/>
      <c r="C500" s="74"/>
      <c r="D500" s="74"/>
      <c r="AF500" s="74"/>
    </row>
    <row r="501">
      <c r="A501" s="74"/>
      <c r="B501" s="74"/>
      <c r="C501" s="74"/>
      <c r="D501" s="74"/>
      <c r="AF501" s="74"/>
    </row>
    <row r="502">
      <c r="A502" s="74"/>
      <c r="B502" s="74"/>
      <c r="C502" s="74"/>
      <c r="D502" s="74"/>
      <c r="AF502" s="74"/>
    </row>
    <row r="503">
      <c r="A503" s="74"/>
      <c r="B503" s="74"/>
      <c r="C503" s="74"/>
      <c r="D503" s="74"/>
      <c r="AF503" s="74"/>
    </row>
    <row r="504">
      <c r="A504" s="74"/>
      <c r="B504" s="74"/>
      <c r="C504" s="74"/>
      <c r="D504" s="74"/>
      <c r="AF504" s="74"/>
    </row>
    <row r="505">
      <c r="A505" s="74"/>
      <c r="B505" s="74"/>
      <c r="C505" s="74"/>
      <c r="D505" s="74"/>
      <c r="AF505" s="74"/>
    </row>
    <row r="506">
      <c r="A506" s="74"/>
      <c r="B506" s="74"/>
      <c r="C506" s="74"/>
      <c r="D506" s="74"/>
      <c r="AF506" s="74"/>
    </row>
    <row r="507">
      <c r="A507" s="74"/>
      <c r="B507" s="74"/>
      <c r="C507" s="74"/>
      <c r="D507" s="74"/>
      <c r="AF507" s="74"/>
    </row>
    <row r="508">
      <c r="A508" s="74"/>
      <c r="B508" s="74"/>
      <c r="C508" s="74"/>
      <c r="D508" s="74"/>
      <c r="AF508" s="74"/>
    </row>
    <row r="509">
      <c r="A509" s="74"/>
      <c r="B509" s="74"/>
      <c r="C509" s="74"/>
      <c r="D509" s="74"/>
      <c r="AF509" s="74"/>
    </row>
    <row r="510">
      <c r="A510" s="74"/>
      <c r="B510" s="74"/>
      <c r="C510" s="74"/>
      <c r="D510" s="74"/>
      <c r="AF510" s="74"/>
    </row>
    <row r="511">
      <c r="A511" s="74"/>
      <c r="B511" s="74"/>
      <c r="C511" s="74"/>
      <c r="D511" s="74"/>
      <c r="AF511" s="74"/>
    </row>
    <row r="512">
      <c r="A512" s="74"/>
      <c r="B512" s="74"/>
      <c r="C512" s="74"/>
      <c r="D512" s="74"/>
      <c r="AF512" s="74"/>
    </row>
    <row r="513">
      <c r="A513" s="74"/>
      <c r="B513" s="74"/>
      <c r="C513" s="74"/>
      <c r="D513" s="74"/>
      <c r="AF513" s="74"/>
    </row>
    <row r="514">
      <c r="A514" s="74"/>
      <c r="B514" s="74"/>
      <c r="C514" s="74"/>
      <c r="D514" s="74"/>
      <c r="AF514" s="74"/>
    </row>
    <row r="515">
      <c r="A515" s="74"/>
      <c r="B515" s="74"/>
      <c r="C515" s="74"/>
      <c r="D515" s="74"/>
      <c r="AF515" s="74"/>
    </row>
    <row r="516">
      <c r="A516" s="74"/>
      <c r="B516" s="74"/>
      <c r="C516" s="74"/>
      <c r="D516" s="74"/>
      <c r="AF516" s="74"/>
    </row>
    <row r="517">
      <c r="A517" s="74"/>
      <c r="B517" s="74"/>
      <c r="C517" s="74"/>
      <c r="D517" s="74"/>
      <c r="AF517" s="74"/>
    </row>
    <row r="518">
      <c r="A518" s="74"/>
      <c r="B518" s="74"/>
      <c r="C518" s="74"/>
      <c r="D518" s="74"/>
      <c r="AF518" s="74"/>
    </row>
    <row r="519">
      <c r="A519" s="74"/>
      <c r="B519" s="74"/>
      <c r="C519" s="74"/>
      <c r="D519" s="74"/>
      <c r="AF519" s="74"/>
    </row>
    <row r="520">
      <c r="A520" s="74"/>
      <c r="B520" s="74"/>
      <c r="C520" s="74"/>
      <c r="D520" s="74"/>
      <c r="AF520" s="74"/>
    </row>
    <row r="521">
      <c r="A521" s="74"/>
      <c r="B521" s="74"/>
      <c r="C521" s="74"/>
      <c r="D521" s="74"/>
      <c r="AF521" s="74"/>
    </row>
    <row r="522">
      <c r="A522" s="74"/>
      <c r="B522" s="74"/>
      <c r="C522" s="74"/>
      <c r="D522" s="74"/>
      <c r="AF522" s="74"/>
    </row>
    <row r="523">
      <c r="A523" s="74"/>
      <c r="B523" s="74"/>
      <c r="C523" s="74"/>
      <c r="D523" s="74"/>
      <c r="AF523" s="74"/>
    </row>
    <row r="524">
      <c r="A524" s="74"/>
      <c r="B524" s="74"/>
      <c r="C524" s="74"/>
      <c r="D524" s="74"/>
      <c r="AF524" s="74"/>
    </row>
    <row r="525">
      <c r="A525" s="74"/>
      <c r="B525" s="74"/>
      <c r="C525" s="74"/>
      <c r="D525" s="74"/>
      <c r="AF525" s="74"/>
    </row>
    <row r="526">
      <c r="A526" s="74"/>
      <c r="B526" s="74"/>
      <c r="C526" s="74"/>
      <c r="D526" s="74"/>
      <c r="AF526" s="74"/>
    </row>
    <row r="527">
      <c r="A527" s="74"/>
      <c r="B527" s="74"/>
      <c r="C527" s="74"/>
      <c r="D527" s="74"/>
      <c r="AF527" s="74"/>
    </row>
    <row r="528">
      <c r="A528" s="74"/>
      <c r="B528" s="74"/>
      <c r="C528" s="74"/>
      <c r="D528" s="74"/>
      <c r="AF528" s="74"/>
    </row>
    <row r="529">
      <c r="A529" s="74"/>
      <c r="B529" s="74"/>
      <c r="C529" s="74"/>
      <c r="D529" s="74"/>
      <c r="AF529" s="74"/>
    </row>
    <row r="530">
      <c r="A530" s="74"/>
      <c r="B530" s="74"/>
      <c r="C530" s="74"/>
      <c r="D530" s="74"/>
      <c r="AF530" s="74"/>
    </row>
    <row r="531">
      <c r="A531" s="74"/>
      <c r="B531" s="74"/>
      <c r="C531" s="74"/>
      <c r="D531" s="74"/>
      <c r="AF531" s="74"/>
    </row>
    <row r="532">
      <c r="A532" s="74"/>
      <c r="B532" s="74"/>
      <c r="C532" s="74"/>
      <c r="D532" s="74"/>
      <c r="AF532" s="74"/>
    </row>
    <row r="533">
      <c r="A533" s="74"/>
      <c r="B533" s="74"/>
      <c r="C533" s="74"/>
      <c r="D533" s="74"/>
      <c r="AF533" s="74"/>
    </row>
    <row r="534">
      <c r="A534" s="74"/>
      <c r="B534" s="74"/>
      <c r="C534" s="74"/>
      <c r="D534" s="74"/>
      <c r="AF534" s="74"/>
    </row>
    <row r="535">
      <c r="A535" s="74"/>
      <c r="B535" s="74"/>
      <c r="C535" s="74"/>
      <c r="D535" s="74"/>
      <c r="AF535" s="74"/>
    </row>
    <row r="536">
      <c r="A536" s="74"/>
      <c r="B536" s="74"/>
      <c r="C536" s="74"/>
      <c r="D536" s="74"/>
      <c r="AF536" s="74"/>
    </row>
    <row r="537">
      <c r="A537" s="74"/>
      <c r="B537" s="74"/>
      <c r="C537" s="74"/>
      <c r="D537" s="74"/>
      <c r="AF537" s="74"/>
    </row>
    <row r="538">
      <c r="A538" s="74"/>
      <c r="B538" s="74"/>
      <c r="C538" s="74"/>
      <c r="D538" s="74"/>
      <c r="AF538" s="74"/>
    </row>
    <row r="539">
      <c r="A539" s="74"/>
      <c r="B539" s="74"/>
      <c r="C539" s="74"/>
      <c r="D539" s="74"/>
      <c r="AF539" s="74"/>
    </row>
    <row r="540">
      <c r="A540" s="74"/>
      <c r="B540" s="74"/>
      <c r="C540" s="74"/>
      <c r="D540" s="74"/>
      <c r="AF540" s="74"/>
    </row>
    <row r="541">
      <c r="A541" s="74"/>
      <c r="B541" s="74"/>
      <c r="C541" s="74"/>
      <c r="D541" s="74"/>
      <c r="AF541" s="74"/>
    </row>
    <row r="542">
      <c r="A542" s="74"/>
      <c r="B542" s="74"/>
      <c r="C542" s="74"/>
      <c r="D542" s="74"/>
      <c r="AF542" s="74"/>
    </row>
    <row r="543">
      <c r="A543" s="74"/>
      <c r="B543" s="74"/>
      <c r="C543" s="74"/>
      <c r="D543" s="74"/>
      <c r="AF543" s="74"/>
    </row>
    <row r="544">
      <c r="A544" s="74"/>
      <c r="B544" s="74"/>
      <c r="C544" s="74"/>
      <c r="D544" s="74"/>
      <c r="AF544" s="74"/>
    </row>
    <row r="545">
      <c r="A545" s="74"/>
      <c r="B545" s="74"/>
      <c r="C545" s="74"/>
      <c r="D545" s="74"/>
      <c r="AF545" s="74"/>
    </row>
    <row r="546">
      <c r="A546" s="74"/>
      <c r="B546" s="74"/>
      <c r="C546" s="74"/>
      <c r="D546" s="74"/>
      <c r="AF546" s="74"/>
    </row>
    <row r="547">
      <c r="A547" s="74"/>
      <c r="B547" s="74"/>
      <c r="C547" s="74"/>
      <c r="D547" s="74"/>
      <c r="AF547" s="74"/>
    </row>
    <row r="548">
      <c r="A548" s="74"/>
      <c r="B548" s="74"/>
      <c r="C548" s="74"/>
      <c r="D548" s="74"/>
      <c r="AF548" s="74"/>
    </row>
    <row r="549">
      <c r="A549" s="74"/>
      <c r="B549" s="74"/>
      <c r="C549" s="74"/>
      <c r="D549" s="74"/>
      <c r="AF549" s="74"/>
    </row>
    <row r="550">
      <c r="A550" s="74"/>
      <c r="B550" s="74"/>
      <c r="C550" s="74"/>
      <c r="D550" s="74"/>
      <c r="AF550" s="74"/>
    </row>
    <row r="551">
      <c r="A551" s="74"/>
      <c r="B551" s="74"/>
      <c r="C551" s="74"/>
      <c r="D551" s="74"/>
      <c r="AF551" s="74"/>
    </row>
    <row r="552">
      <c r="A552" s="74"/>
      <c r="B552" s="74"/>
      <c r="C552" s="74"/>
      <c r="D552" s="74"/>
      <c r="AF552" s="74"/>
    </row>
    <row r="553">
      <c r="A553" s="74"/>
      <c r="B553" s="74"/>
      <c r="C553" s="74"/>
      <c r="D553" s="74"/>
      <c r="AF553" s="74"/>
    </row>
    <row r="554">
      <c r="A554" s="74"/>
      <c r="B554" s="74"/>
      <c r="C554" s="74"/>
      <c r="D554" s="74"/>
      <c r="AF554" s="74"/>
    </row>
    <row r="555">
      <c r="A555" s="74"/>
      <c r="B555" s="74"/>
      <c r="C555" s="74"/>
      <c r="D555" s="74"/>
      <c r="AF555" s="74"/>
    </row>
    <row r="556">
      <c r="A556" s="74"/>
      <c r="B556" s="74"/>
      <c r="C556" s="74"/>
      <c r="D556" s="74"/>
      <c r="AF556" s="74"/>
    </row>
    <row r="557">
      <c r="A557" s="74"/>
      <c r="B557" s="74"/>
      <c r="C557" s="74"/>
      <c r="D557" s="74"/>
      <c r="AF557" s="74"/>
    </row>
    <row r="558">
      <c r="A558" s="74"/>
      <c r="B558" s="74"/>
      <c r="C558" s="74"/>
      <c r="D558" s="74"/>
      <c r="AF558" s="74"/>
    </row>
    <row r="559">
      <c r="A559" s="74"/>
      <c r="B559" s="74"/>
      <c r="C559" s="74"/>
      <c r="D559" s="74"/>
      <c r="AF559" s="74"/>
    </row>
    <row r="560">
      <c r="A560" s="74"/>
      <c r="B560" s="74"/>
      <c r="C560" s="74"/>
      <c r="D560" s="74"/>
      <c r="AF560" s="74"/>
    </row>
    <row r="561">
      <c r="A561" s="74"/>
      <c r="B561" s="74"/>
      <c r="C561" s="74"/>
      <c r="D561" s="74"/>
      <c r="AF561" s="74"/>
    </row>
    <row r="562">
      <c r="A562" s="74"/>
      <c r="B562" s="74"/>
      <c r="C562" s="74"/>
      <c r="D562" s="74"/>
      <c r="AF562" s="74"/>
    </row>
    <row r="563">
      <c r="A563" s="74"/>
      <c r="B563" s="74"/>
      <c r="C563" s="74"/>
      <c r="D563" s="74"/>
      <c r="AF563" s="74"/>
    </row>
    <row r="564">
      <c r="A564" s="74"/>
      <c r="B564" s="74"/>
      <c r="C564" s="74"/>
      <c r="D564" s="74"/>
      <c r="AF564" s="74"/>
    </row>
    <row r="565">
      <c r="A565" s="74"/>
      <c r="B565" s="74"/>
      <c r="C565" s="74"/>
      <c r="D565" s="74"/>
      <c r="AF565" s="74"/>
    </row>
    <row r="566">
      <c r="A566" s="74"/>
      <c r="B566" s="74"/>
      <c r="C566" s="74"/>
      <c r="D566" s="74"/>
      <c r="AF566" s="74"/>
    </row>
    <row r="567">
      <c r="A567" s="74"/>
      <c r="B567" s="74"/>
      <c r="C567" s="74"/>
      <c r="D567" s="74"/>
      <c r="AF567" s="74"/>
    </row>
    <row r="568">
      <c r="A568" s="74"/>
      <c r="B568" s="74"/>
      <c r="C568" s="74"/>
      <c r="D568" s="74"/>
      <c r="AF568" s="74"/>
    </row>
    <row r="569">
      <c r="A569" s="74"/>
      <c r="B569" s="74"/>
      <c r="C569" s="74"/>
      <c r="D569" s="74"/>
      <c r="AF569" s="74"/>
    </row>
    <row r="570">
      <c r="A570" s="74"/>
      <c r="B570" s="74"/>
      <c r="C570" s="74"/>
      <c r="D570" s="74"/>
      <c r="AF570" s="74"/>
    </row>
    <row r="571">
      <c r="A571" s="74"/>
      <c r="B571" s="74"/>
      <c r="C571" s="74"/>
      <c r="D571" s="74"/>
      <c r="AF571" s="74"/>
    </row>
    <row r="572">
      <c r="A572" s="74"/>
      <c r="B572" s="74"/>
      <c r="C572" s="74"/>
      <c r="D572" s="74"/>
      <c r="AF572" s="74"/>
    </row>
    <row r="573">
      <c r="A573" s="74"/>
      <c r="B573" s="74"/>
      <c r="C573" s="74"/>
      <c r="D573" s="74"/>
      <c r="AF573" s="74"/>
    </row>
    <row r="574">
      <c r="A574" s="74"/>
      <c r="B574" s="74"/>
      <c r="C574" s="74"/>
      <c r="D574" s="74"/>
      <c r="AF574" s="74"/>
    </row>
    <row r="575">
      <c r="A575" s="74"/>
      <c r="B575" s="74"/>
      <c r="C575" s="74"/>
      <c r="D575" s="74"/>
      <c r="AF575" s="74"/>
    </row>
    <row r="576">
      <c r="A576" s="74"/>
      <c r="B576" s="74"/>
      <c r="C576" s="74"/>
      <c r="D576" s="74"/>
      <c r="AF576" s="74"/>
    </row>
    <row r="577">
      <c r="A577" s="74"/>
      <c r="B577" s="74"/>
      <c r="C577" s="74"/>
      <c r="D577" s="74"/>
      <c r="AF577" s="74"/>
    </row>
    <row r="578">
      <c r="A578" s="74"/>
      <c r="B578" s="74"/>
      <c r="C578" s="74"/>
      <c r="D578" s="74"/>
      <c r="AF578" s="74"/>
    </row>
    <row r="579">
      <c r="A579" s="74"/>
      <c r="B579" s="74"/>
      <c r="C579" s="74"/>
      <c r="D579" s="74"/>
      <c r="AF579" s="74"/>
    </row>
    <row r="580">
      <c r="A580" s="74"/>
      <c r="B580" s="74"/>
      <c r="C580" s="74"/>
      <c r="D580" s="74"/>
      <c r="AF580" s="74"/>
    </row>
    <row r="581">
      <c r="A581" s="74"/>
      <c r="B581" s="74"/>
      <c r="C581" s="74"/>
      <c r="D581" s="74"/>
      <c r="AF581" s="74"/>
    </row>
    <row r="582">
      <c r="A582" s="74"/>
      <c r="B582" s="74"/>
      <c r="C582" s="74"/>
      <c r="D582" s="74"/>
      <c r="AF582" s="74"/>
    </row>
    <row r="583">
      <c r="A583" s="74"/>
      <c r="B583" s="74"/>
      <c r="C583" s="74"/>
      <c r="D583" s="74"/>
      <c r="AF583" s="74"/>
    </row>
    <row r="584">
      <c r="A584" s="74"/>
      <c r="B584" s="74"/>
      <c r="C584" s="74"/>
      <c r="D584" s="74"/>
      <c r="AF584" s="74"/>
    </row>
    <row r="585">
      <c r="A585" s="74"/>
      <c r="B585" s="74"/>
      <c r="C585" s="74"/>
      <c r="D585" s="74"/>
      <c r="AF585" s="74"/>
    </row>
    <row r="586">
      <c r="A586" s="74"/>
      <c r="B586" s="74"/>
      <c r="C586" s="74"/>
      <c r="D586" s="74"/>
      <c r="AF586" s="74"/>
    </row>
    <row r="587">
      <c r="A587" s="74"/>
      <c r="B587" s="74"/>
      <c r="C587" s="74"/>
      <c r="D587" s="74"/>
      <c r="AF587" s="74"/>
    </row>
    <row r="588">
      <c r="A588" s="74"/>
      <c r="B588" s="74"/>
      <c r="C588" s="74"/>
      <c r="D588" s="74"/>
      <c r="AF588" s="74"/>
    </row>
    <row r="589">
      <c r="A589" s="74"/>
      <c r="B589" s="74"/>
      <c r="C589" s="74"/>
      <c r="D589" s="74"/>
      <c r="AF589" s="74"/>
    </row>
    <row r="590">
      <c r="A590" s="74"/>
      <c r="B590" s="74"/>
      <c r="C590" s="74"/>
      <c r="D590" s="74"/>
      <c r="AF590" s="74"/>
    </row>
    <row r="591">
      <c r="A591" s="74"/>
      <c r="B591" s="74"/>
      <c r="C591" s="74"/>
      <c r="D591" s="74"/>
      <c r="AF591" s="74"/>
    </row>
    <row r="592">
      <c r="A592" s="74"/>
      <c r="B592" s="74"/>
      <c r="C592" s="74"/>
      <c r="D592" s="74"/>
      <c r="AF592" s="74"/>
    </row>
    <row r="593">
      <c r="A593" s="74"/>
      <c r="B593" s="74"/>
      <c r="C593" s="74"/>
      <c r="D593" s="74"/>
      <c r="AF593" s="74"/>
    </row>
    <row r="594">
      <c r="A594" s="74"/>
      <c r="B594" s="74"/>
      <c r="C594" s="74"/>
      <c r="D594" s="74"/>
      <c r="AF594" s="74"/>
    </row>
    <row r="595">
      <c r="A595" s="74"/>
      <c r="B595" s="74"/>
      <c r="C595" s="74"/>
      <c r="D595" s="74"/>
      <c r="AF595" s="74"/>
    </row>
    <row r="596">
      <c r="A596" s="74"/>
      <c r="B596" s="74"/>
      <c r="C596" s="74"/>
      <c r="D596" s="74"/>
      <c r="AF596" s="74"/>
    </row>
    <row r="597">
      <c r="A597" s="74"/>
      <c r="B597" s="74"/>
      <c r="C597" s="74"/>
      <c r="D597" s="74"/>
      <c r="AF597" s="74"/>
    </row>
    <row r="598">
      <c r="A598" s="74"/>
      <c r="B598" s="74"/>
      <c r="C598" s="74"/>
      <c r="D598" s="74"/>
      <c r="AF598" s="74"/>
    </row>
    <row r="599">
      <c r="A599" s="74"/>
      <c r="B599" s="74"/>
      <c r="C599" s="74"/>
      <c r="D599" s="74"/>
      <c r="AF599" s="74"/>
    </row>
    <row r="600">
      <c r="A600" s="74"/>
      <c r="B600" s="74"/>
      <c r="C600" s="74"/>
      <c r="D600" s="74"/>
      <c r="AF600" s="74"/>
    </row>
    <row r="601">
      <c r="A601" s="74"/>
      <c r="B601" s="74"/>
      <c r="C601" s="74"/>
      <c r="D601" s="74"/>
      <c r="AF601" s="74"/>
    </row>
    <row r="602">
      <c r="A602" s="74"/>
      <c r="B602" s="74"/>
      <c r="C602" s="74"/>
      <c r="D602" s="74"/>
      <c r="AF602" s="74"/>
    </row>
    <row r="603">
      <c r="A603" s="74"/>
      <c r="B603" s="74"/>
      <c r="C603" s="74"/>
      <c r="D603" s="74"/>
      <c r="AF603" s="74"/>
    </row>
    <row r="604">
      <c r="A604" s="74"/>
      <c r="B604" s="74"/>
      <c r="C604" s="74"/>
      <c r="D604" s="74"/>
      <c r="AF604" s="74"/>
    </row>
    <row r="605">
      <c r="A605" s="74"/>
      <c r="B605" s="74"/>
      <c r="C605" s="74"/>
      <c r="D605" s="74"/>
      <c r="AF605" s="74"/>
    </row>
    <row r="606">
      <c r="A606" s="74"/>
      <c r="B606" s="74"/>
      <c r="C606" s="74"/>
      <c r="D606" s="74"/>
      <c r="AF606" s="74"/>
    </row>
    <row r="607">
      <c r="A607" s="74"/>
      <c r="B607" s="74"/>
      <c r="C607" s="74"/>
      <c r="D607" s="74"/>
      <c r="AF607" s="74"/>
    </row>
    <row r="608">
      <c r="A608" s="74"/>
      <c r="B608" s="74"/>
      <c r="C608" s="74"/>
      <c r="D608" s="74"/>
      <c r="AF608" s="74"/>
    </row>
    <row r="609">
      <c r="A609" s="74"/>
      <c r="B609" s="74"/>
      <c r="C609" s="74"/>
      <c r="D609" s="74"/>
      <c r="AF609" s="74"/>
    </row>
    <row r="610">
      <c r="A610" s="74"/>
      <c r="B610" s="74"/>
      <c r="C610" s="74"/>
      <c r="D610" s="74"/>
      <c r="AF610" s="74"/>
    </row>
    <row r="611">
      <c r="A611" s="74"/>
      <c r="B611" s="74"/>
      <c r="C611" s="74"/>
      <c r="D611" s="74"/>
      <c r="AF611" s="74"/>
    </row>
    <row r="612">
      <c r="A612" s="74"/>
      <c r="B612" s="74"/>
      <c r="C612" s="74"/>
      <c r="D612" s="74"/>
      <c r="AF612" s="74"/>
    </row>
    <row r="613">
      <c r="A613" s="74"/>
      <c r="B613" s="74"/>
      <c r="C613" s="74"/>
      <c r="D613" s="74"/>
      <c r="AF613" s="74"/>
    </row>
    <row r="614">
      <c r="A614" s="74"/>
      <c r="B614" s="74"/>
      <c r="C614" s="74"/>
      <c r="D614" s="74"/>
      <c r="AF614" s="74"/>
    </row>
    <row r="615">
      <c r="A615" s="74"/>
      <c r="B615" s="74"/>
      <c r="C615" s="74"/>
      <c r="D615" s="74"/>
      <c r="AF615" s="74"/>
    </row>
    <row r="616">
      <c r="A616" s="74"/>
      <c r="B616" s="74"/>
      <c r="C616" s="74"/>
      <c r="D616" s="74"/>
      <c r="AF616" s="74"/>
    </row>
    <row r="617">
      <c r="A617" s="74"/>
      <c r="B617" s="74"/>
      <c r="C617" s="74"/>
      <c r="D617" s="74"/>
      <c r="AF617" s="74"/>
    </row>
    <row r="618">
      <c r="A618" s="74"/>
      <c r="B618" s="74"/>
      <c r="C618" s="74"/>
      <c r="D618" s="74"/>
      <c r="AF618" s="74"/>
    </row>
    <row r="619">
      <c r="A619" s="74"/>
      <c r="B619" s="74"/>
      <c r="C619" s="74"/>
      <c r="D619" s="74"/>
      <c r="AF619" s="74"/>
    </row>
    <row r="620">
      <c r="A620" s="74"/>
      <c r="B620" s="74"/>
      <c r="C620" s="74"/>
      <c r="D620" s="74"/>
      <c r="AF620" s="74"/>
    </row>
    <row r="621">
      <c r="A621" s="74"/>
      <c r="B621" s="74"/>
      <c r="C621" s="74"/>
      <c r="D621" s="74"/>
      <c r="AF621" s="74"/>
    </row>
    <row r="622">
      <c r="A622" s="74"/>
      <c r="B622" s="74"/>
      <c r="C622" s="74"/>
      <c r="D622" s="74"/>
      <c r="AF622" s="74"/>
    </row>
    <row r="623">
      <c r="A623" s="74"/>
      <c r="B623" s="74"/>
      <c r="C623" s="74"/>
      <c r="D623" s="74"/>
      <c r="AF623" s="74"/>
    </row>
    <row r="624">
      <c r="A624" s="74"/>
      <c r="B624" s="74"/>
      <c r="C624" s="74"/>
      <c r="D624" s="74"/>
      <c r="AF624" s="74"/>
    </row>
    <row r="625">
      <c r="A625" s="74"/>
      <c r="B625" s="74"/>
      <c r="C625" s="74"/>
      <c r="D625" s="74"/>
      <c r="AF625" s="74"/>
    </row>
    <row r="626">
      <c r="A626" s="74"/>
      <c r="B626" s="74"/>
      <c r="C626" s="74"/>
      <c r="D626" s="74"/>
      <c r="AF626" s="74"/>
    </row>
    <row r="627">
      <c r="A627" s="74"/>
      <c r="B627" s="74"/>
      <c r="C627" s="74"/>
      <c r="D627" s="74"/>
      <c r="AF627" s="74"/>
    </row>
    <row r="628">
      <c r="A628" s="74"/>
      <c r="B628" s="74"/>
      <c r="C628" s="74"/>
      <c r="D628" s="74"/>
      <c r="AF628" s="74"/>
    </row>
    <row r="629">
      <c r="A629" s="74"/>
      <c r="B629" s="74"/>
      <c r="C629" s="74"/>
      <c r="D629" s="74"/>
      <c r="AF629" s="74"/>
    </row>
    <row r="630">
      <c r="A630" s="74"/>
      <c r="B630" s="74"/>
      <c r="C630" s="74"/>
      <c r="D630" s="74"/>
      <c r="AF630" s="74"/>
    </row>
    <row r="631">
      <c r="A631" s="74"/>
      <c r="B631" s="74"/>
      <c r="C631" s="74"/>
      <c r="D631" s="74"/>
      <c r="AF631" s="74"/>
    </row>
    <row r="632">
      <c r="A632" s="74"/>
      <c r="B632" s="74"/>
      <c r="C632" s="74"/>
      <c r="D632" s="74"/>
      <c r="AF632" s="74"/>
    </row>
    <row r="633">
      <c r="A633" s="74"/>
      <c r="B633" s="74"/>
      <c r="C633" s="74"/>
      <c r="D633" s="74"/>
      <c r="AF633" s="74"/>
    </row>
    <row r="634">
      <c r="A634" s="74"/>
      <c r="B634" s="74"/>
      <c r="C634" s="74"/>
      <c r="D634" s="74"/>
      <c r="AF634" s="74"/>
    </row>
    <row r="635">
      <c r="A635" s="74"/>
      <c r="B635" s="74"/>
      <c r="C635" s="74"/>
      <c r="D635" s="74"/>
      <c r="AF635" s="74"/>
    </row>
    <row r="636">
      <c r="A636" s="74"/>
      <c r="B636" s="74"/>
      <c r="C636" s="74"/>
      <c r="D636" s="74"/>
      <c r="AF636" s="74"/>
    </row>
    <row r="637">
      <c r="A637" s="74"/>
      <c r="B637" s="74"/>
      <c r="C637" s="74"/>
      <c r="D637" s="74"/>
      <c r="AF637" s="74"/>
    </row>
    <row r="638">
      <c r="A638" s="74"/>
      <c r="B638" s="74"/>
      <c r="C638" s="74"/>
      <c r="D638" s="74"/>
      <c r="AF638" s="74"/>
    </row>
    <row r="639">
      <c r="A639" s="74"/>
      <c r="B639" s="74"/>
      <c r="C639" s="74"/>
      <c r="D639" s="74"/>
      <c r="AF639" s="74"/>
    </row>
    <row r="640">
      <c r="A640" s="74"/>
      <c r="B640" s="74"/>
      <c r="C640" s="74"/>
      <c r="D640" s="74"/>
      <c r="AF640" s="74"/>
    </row>
    <row r="641">
      <c r="A641" s="74"/>
      <c r="B641" s="74"/>
      <c r="C641" s="74"/>
      <c r="D641" s="74"/>
      <c r="AF641" s="74"/>
    </row>
    <row r="642">
      <c r="A642" s="74"/>
      <c r="B642" s="74"/>
      <c r="C642" s="74"/>
      <c r="D642" s="74"/>
      <c r="AF642" s="74"/>
    </row>
    <row r="643">
      <c r="A643" s="74"/>
      <c r="B643" s="74"/>
      <c r="C643" s="74"/>
      <c r="D643" s="74"/>
      <c r="AF643" s="74"/>
    </row>
    <row r="644">
      <c r="A644" s="74"/>
      <c r="B644" s="74"/>
      <c r="C644" s="74"/>
      <c r="D644" s="74"/>
      <c r="AF644" s="74"/>
    </row>
    <row r="645">
      <c r="A645" s="74"/>
      <c r="B645" s="74"/>
      <c r="C645" s="74"/>
      <c r="D645" s="74"/>
      <c r="AF645" s="74"/>
    </row>
    <row r="646">
      <c r="A646" s="74"/>
      <c r="B646" s="74"/>
      <c r="C646" s="74"/>
      <c r="D646" s="74"/>
      <c r="AF646" s="74"/>
    </row>
    <row r="647">
      <c r="A647" s="74"/>
      <c r="B647" s="74"/>
      <c r="C647" s="74"/>
      <c r="D647" s="74"/>
      <c r="AF647" s="74"/>
    </row>
    <row r="648">
      <c r="A648" s="74"/>
      <c r="B648" s="74"/>
      <c r="C648" s="74"/>
      <c r="D648" s="74"/>
      <c r="AF648" s="74"/>
    </row>
    <row r="649">
      <c r="A649" s="74"/>
      <c r="B649" s="74"/>
      <c r="C649" s="74"/>
      <c r="D649" s="74"/>
      <c r="AF649" s="74"/>
    </row>
    <row r="650">
      <c r="A650" s="74"/>
      <c r="B650" s="74"/>
      <c r="C650" s="74"/>
      <c r="D650" s="74"/>
      <c r="AF650" s="74"/>
    </row>
    <row r="651">
      <c r="A651" s="74"/>
      <c r="B651" s="74"/>
      <c r="C651" s="74"/>
      <c r="D651" s="74"/>
      <c r="AF651" s="74"/>
    </row>
    <row r="652">
      <c r="A652" s="74"/>
      <c r="B652" s="74"/>
      <c r="C652" s="74"/>
      <c r="D652" s="74"/>
      <c r="AF652" s="74"/>
    </row>
    <row r="653">
      <c r="A653" s="74"/>
      <c r="B653" s="74"/>
      <c r="C653" s="74"/>
      <c r="D653" s="74"/>
      <c r="AF653" s="74"/>
    </row>
    <row r="654">
      <c r="A654" s="74"/>
      <c r="B654" s="74"/>
      <c r="C654" s="74"/>
      <c r="D654" s="74"/>
      <c r="AF654" s="74"/>
    </row>
    <row r="655">
      <c r="A655" s="74"/>
      <c r="B655" s="74"/>
      <c r="C655" s="74"/>
      <c r="D655" s="74"/>
      <c r="AF655" s="74"/>
    </row>
    <row r="656">
      <c r="A656" s="74"/>
      <c r="B656" s="74"/>
      <c r="C656" s="74"/>
      <c r="D656" s="74"/>
      <c r="AF656" s="74"/>
    </row>
    <row r="657">
      <c r="A657" s="74"/>
      <c r="B657" s="74"/>
      <c r="C657" s="74"/>
      <c r="D657" s="74"/>
      <c r="AF657" s="74"/>
    </row>
    <row r="658">
      <c r="A658" s="74"/>
      <c r="B658" s="74"/>
      <c r="C658" s="74"/>
      <c r="D658" s="74"/>
      <c r="AF658" s="74"/>
    </row>
    <row r="659">
      <c r="A659" s="74"/>
      <c r="B659" s="74"/>
      <c r="C659" s="74"/>
      <c r="D659" s="74"/>
      <c r="AF659" s="74"/>
    </row>
    <row r="660">
      <c r="A660" s="74"/>
      <c r="B660" s="74"/>
      <c r="C660" s="74"/>
      <c r="D660" s="74"/>
      <c r="AF660" s="74"/>
    </row>
    <row r="661">
      <c r="A661" s="74"/>
      <c r="B661" s="74"/>
      <c r="C661" s="74"/>
      <c r="D661" s="74"/>
      <c r="AF661" s="74"/>
    </row>
    <row r="662">
      <c r="A662" s="74"/>
      <c r="B662" s="74"/>
      <c r="C662" s="74"/>
      <c r="D662" s="74"/>
      <c r="AF662" s="74"/>
    </row>
    <row r="663">
      <c r="A663" s="74"/>
      <c r="B663" s="74"/>
      <c r="C663" s="74"/>
      <c r="D663" s="74"/>
      <c r="AF663" s="74"/>
    </row>
    <row r="664">
      <c r="A664" s="74"/>
      <c r="B664" s="74"/>
      <c r="C664" s="74"/>
      <c r="D664" s="74"/>
      <c r="AF664" s="74"/>
    </row>
    <row r="665">
      <c r="A665" s="74"/>
      <c r="B665" s="74"/>
      <c r="C665" s="74"/>
      <c r="D665" s="74"/>
      <c r="AF665" s="74"/>
    </row>
    <row r="666">
      <c r="A666" s="74"/>
      <c r="B666" s="74"/>
      <c r="C666" s="74"/>
      <c r="D666" s="74"/>
      <c r="AF666" s="74"/>
    </row>
    <row r="667">
      <c r="A667" s="74"/>
      <c r="B667" s="74"/>
      <c r="C667" s="74"/>
      <c r="D667" s="74"/>
      <c r="AF667" s="74"/>
    </row>
    <row r="668">
      <c r="A668" s="74"/>
      <c r="B668" s="74"/>
      <c r="C668" s="74"/>
      <c r="D668" s="74"/>
      <c r="AF668" s="74"/>
    </row>
    <row r="669">
      <c r="A669" s="74"/>
      <c r="B669" s="74"/>
      <c r="C669" s="74"/>
      <c r="D669" s="74"/>
      <c r="AF669" s="74"/>
    </row>
    <row r="670">
      <c r="A670" s="74"/>
      <c r="B670" s="74"/>
      <c r="C670" s="74"/>
      <c r="D670" s="74"/>
      <c r="AF670" s="74"/>
    </row>
    <row r="671">
      <c r="A671" s="74"/>
      <c r="B671" s="74"/>
      <c r="C671" s="74"/>
      <c r="D671" s="74"/>
      <c r="AF671" s="74"/>
    </row>
    <row r="672">
      <c r="A672" s="74"/>
      <c r="B672" s="74"/>
      <c r="C672" s="74"/>
      <c r="D672" s="74"/>
      <c r="AF672" s="74"/>
    </row>
    <row r="673">
      <c r="A673" s="74"/>
      <c r="B673" s="74"/>
      <c r="C673" s="74"/>
      <c r="D673" s="74"/>
      <c r="AF673" s="74"/>
    </row>
    <row r="674">
      <c r="A674" s="74"/>
      <c r="B674" s="74"/>
      <c r="C674" s="74"/>
      <c r="D674" s="74"/>
      <c r="AF674" s="74"/>
    </row>
    <row r="675">
      <c r="A675" s="74"/>
      <c r="B675" s="74"/>
      <c r="C675" s="74"/>
      <c r="D675" s="74"/>
      <c r="AF675" s="74"/>
    </row>
    <row r="676">
      <c r="A676" s="74"/>
      <c r="B676" s="74"/>
      <c r="C676" s="74"/>
      <c r="D676" s="74"/>
      <c r="AF676" s="74"/>
    </row>
    <row r="677">
      <c r="A677" s="74"/>
      <c r="B677" s="74"/>
      <c r="C677" s="74"/>
      <c r="D677" s="74"/>
      <c r="AF677" s="74"/>
    </row>
    <row r="678">
      <c r="A678" s="74"/>
      <c r="B678" s="74"/>
      <c r="C678" s="74"/>
      <c r="D678" s="74"/>
      <c r="AF678" s="74"/>
    </row>
    <row r="679">
      <c r="A679" s="74"/>
      <c r="B679" s="74"/>
      <c r="C679" s="74"/>
      <c r="D679" s="74"/>
      <c r="AF679" s="74"/>
    </row>
    <row r="680">
      <c r="A680" s="74"/>
      <c r="B680" s="74"/>
      <c r="C680" s="74"/>
      <c r="D680" s="74"/>
      <c r="AF680" s="74"/>
    </row>
    <row r="681">
      <c r="A681" s="74"/>
      <c r="B681" s="74"/>
      <c r="C681" s="74"/>
      <c r="D681" s="74"/>
      <c r="AF681" s="74"/>
    </row>
    <row r="682">
      <c r="A682" s="74"/>
      <c r="B682" s="74"/>
      <c r="C682" s="74"/>
      <c r="D682" s="74"/>
      <c r="AF682" s="74"/>
    </row>
    <row r="683">
      <c r="A683" s="74"/>
      <c r="B683" s="74"/>
      <c r="C683" s="74"/>
      <c r="D683" s="74"/>
      <c r="AF683" s="74"/>
    </row>
    <row r="684">
      <c r="A684" s="74"/>
      <c r="B684" s="74"/>
      <c r="C684" s="74"/>
      <c r="D684" s="74"/>
      <c r="AF684" s="74"/>
    </row>
    <row r="685">
      <c r="A685" s="74"/>
      <c r="B685" s="74"/>
      <c r="C685" s="74"/>
      <c r="D685" s="74"/>
      <c r="AF685" s="74"/>
    </row>
    <row r="686">
      <c r="A686" s="74"/>
      <c r="B686" s="74"/>
      <c r="C686" s="74"/>
      <c r="D686" s="74"/>
      <c r="AF686" s="74"/>
    </row>
    <row r="687">
      <c r="A687" s="74"/>
      <c r="B687" s="74"/>
      <c r="C687" s="74"/>
      <c r="D687" s="74"/>
      <c r="AF687" s="74"/>
    </row>
    <row r="688">
      <c r="A688" s="74"/>
      <c r="B688" s="74"/>
      <c r="C688" s="74"/>
      <c r="D688" s="74"/>
      <c r="AF688" s="74"/>
    </row>
    <row r="689">
      <c r="A689" s="74"/>
      <c r="B689" s="74"/>
      <c r="C689" s="74"/>
      <c r="D689" s="74"/>
      <c r="AF689" s="74"/>
    </row>
    <row r="690">
      <c r="A690" s="74"/>
      <c r="B690" s="74"/>
      <c r="C690" s="74"/>
      <c r="D690" s="74"/>
      <c r="AF690" s="74"/>
    </row>
    <row r="691">
      <c r="A691" s="74"/>
      <c r="B691" s="74"/>
      <c r="C691" s="74"/>
      <c r="D691" s="74"/>
      <c r="AF691" s="74"/>
    </row>
    <row r="692">
      <c r="A692" s="74"/>
      <c r="B692" s="74"/>
      <c r="C692" s="74"/>
      <c r="D692" s="74"/>
      <c r="AF692" s="74"/>
    </row>
    <row r="693">
      <c r="A693" s="74"/>
      <c r="B693" s="74"/>
      <c r="C693" s="74"/>
      <c r="D693" s="74"/>
      <c r="AF693" s="74"/>
    </row>
    <row r="694">
      <c r="A694" s="74"/>
      <c r="B694" s="74"/>
      <c r="C694" s="74"/>
      <c r="D694" s="74"/>
      <c r="AF694" s="74"/>
    </row>
    <row r="695">
      <c r="A695" s="74"/>
      <c r="B695" s="74"/>
      <c r="C695" s="74"/>
      <c r="D695" s="74"/>
      <c r="AF695" s="74"/>
    </row>
    <row r="696">
      <c r="A696" s="74"/>
      <c r="B696" s="74"/>
      <c r="C696" s="74"/>
      <c r="D696" s="74"/>
      <c r="AF696" s="74"/>
    </row>
    <row r="697">
      <c r="A697" s="74"/>
      <c r="B697" s="74"/>
      <c r="C697" s="74"/>
      <c r="D697" s="74"/>
      <c r="AF697" s="74"/>
    </row>
    <row r="698">
      <c r="A698" s="74"/>
      <c r="B698" s="74"/>
      <c r="C698" s="74"/>
      <c r="D698" s="74"/>
      <c r="AF698" s="74"/>
    </row>
    <row r="699">
      <c r="A699" s="74"/>
      <c r="B699" s="74"/>
      <c r="C699" s="74"/>
      <c r="D699" s="74"/>
      <c r="AF699" s="74"/>
    </row>
    <row r="700">
      <c r="A700" s="74"/>
      <c r="B700" s="74"/>
      <c r="C700" s="74"/>
      <c r="D700" s="74"/>
      <c r="AF700" s="74"/>
    </row>
    <row r="701">
      <c r="A701" s="74"/>
      <c r="B701" s="74"/>
      <c r="C701" s="74"/>
      <c r="D701" s="74"/>
      <c r="AF701" s="74"/>
    </row>
    <row r="702">
      <c r="A702" s="74"/>
      <c r="B702" s="74"/>
      <c r="C702" s="74"/>
      <c r="D702" s="74"/>
      <c r="AF702" s="74"/>
    </row>
    <row r="703">
      <c r="A703" s="74"/>
      <c r="B703" s="74"/>
      <c r="C703" s="74"/>
      <c r="D703" s="74"/>
      <c r="AF703" s="74"/>
    </row>
    <row r="704">
      <c r="A704" s="74"/>
      <c r="B704" s="74"/>
      <c r="C704" s="74"/>
      <c r="D704" s="74"/>
      <c r="AF704" s="74"/>
    </row>
    <row r="705">
      <c r="A705" s="74"/>
      <c r="B705" s="74"/>
      <c r="C705" s="74"/>
      <c r="D705" s="74"/>
      <c r="AF705" s="74"/>
    </row>
    <row r="706">
      <c r="A706" s="74"/>
      <c r="B706" s="74"/>
      <c r="C706" s="74"/>
      <c r="D706" s="74"/>
      <c r="AF706" s="74"/>
    </row>
    <row r="707">
      <c r="A707" s="74"/>
      <c r="B707" s="74"/>
      <c r="C707" s="74"/>
      <c r="D707" s="74"/>
      <c r="AF707" s="74"/>
    </row>
    <row r="708">
      <c r="A708" s="74"/>
      <c r="B708" s="74"/>
      <c r="C708" s="74"/>
      <c r="D708" s="74"/>
      <c r="AF708" s="74"/>
    </row>
    <row r="709">
      <c r="A709" s="74"/>
      <c r="B709" s="74"/>
      <c r="C709" s="74"/>
      <c r="D709" s="74"/>
      <c r="AF709" s="74"/>
    </row>
    <row r="710">
      <c r="A710" s="74"/>
      <c r="B710" s="74"/>
      <c r="C710" s="74"/>
      <c r="D710" s="74"/>
      <c r="AF710" s="74"/>
    </row>
    <row r="711">
      <c r="A711" s="74"/>
      <c r="B711" s="74"/>
      <c r="C711" s="74"/>
      <c r="D711" s="74"/>
      <c r="AF711" s="74"/>
    </row>
    <row r="712">
      <c r="A712" s="74"/>
      <c r="B712" s="74"/>
      <c r="C712" s="74"/>
      <c r="D712" s="74"/>
      <c r="AF712" s="74"/>
    </row>
    <row r="713">
      <c r="A713" s="74"/>
      <c r="B713" s="74"/>
      <c r="C713" s="74"/>
      <c r="D713" s="74"/>
      <c r="AF713" s="74"/>
    </row>
    <row r="714">
      <c r="A714" s="74"/>
      <c r="B714" s="74"/>
      <c r="C714" s="74"/>
      <c r="D714" s="74"/>
      <c r="AF714" s="74"/>
    </row>
    <row r="715">
      <c r="A715" s="74"/>
      <c r="B715" s="74"/>
      <c r="C715" s="74"/>
      <c r="D715" s="74"/>
      <c r="AF715" s="74"/>
    </row>
    <row r="716">
      <c r="A716" s="74"/>
      <c r="B716" s="74"/>
      <c r="C716" s="74"/>
      <c r="D716" s="74"/>
      <c r="AF716" s="74"/>
    </row>
    <row r="717">
      <c r="A717" s="74"/>
      <c r="B717" s="74"/>
      <c r="C717" s="74"/>
      <c r="D717" s="74"/>
      <c r="AF717" s="74"/>
    </row>
    <row r="718">
      <c r="A718" s="74"/>
      <c r="B718" s="74"/>
      <c r="C718" s="74"/>
      <c r="D718" s="74"/>
      <c r="AF718" s="74"/>
    </row>
    <row r="719">
      <c r="A719" s="74"/>
      <c r="B719" s="74"/>
      <c r="C719" s="74"/>
      <c r="D719" s="74"/>
      <c r="AF719" s="74"/>
    </row>
    <row r="720">
      <c r="A720" s="74"/>
      <c r="B720" s="74"/>
      <c r="C720" s="74"/>
      <c r="D720" s="74"/>
      <c r="AF720" s="74"/>
    </row>
    <row r="721">
      <c r="A721" s="74"/>
      <c r="B721" s="74"/>
      <c r="C721" s="74"/>
      <c r="D721" s="74"/>
      <c r="AF721" s="74"/>
    </row>
    <row r="722">
      <c r="A722" s="74"/>
      <c r="B722" s="74"/>
      <c r="C722" s="74"/>
      <c r="D722" s="74"/>
      <c r="AF722" s="74"/>
    </row>
    <row r="723">
      <c r="A723" s="74"/>
      <c r="B723" s="74"/>
      <c r="C723" s="74"/>
      <c r="D723" s="74"/>
      <c r="AF723" s="74"/>
    </row>
    <row r="724">
      <c r="A724" s="74"/>
      <c r="B724" s="74"/>
      <c r="C724" s="74"/>
      <c r="D724" s="74"/>
      <c r="AF724" s="74"/>
    </row>
    <row r="725">
      <c r="A725" s="74"/>
      <c r="B725" s="74"/>
      <c r="C725" s="74"/>
      <c r="D725" s="74"/>
      <c r="AF725" s="74"/>
    </row>
    <row r="726">
      <c r="A726" s="74"/>
      <c r="B726" s="74"/>
      <c r="C726" s="74"/>
      <c r="D726" s="74"/>
      <c r="AF726" s="74"/>
    </row>
    <row r="727">
      <c r="A727" s="74"/>
      <c r="B727" s="74"/>
      <c r="C727" s="74"/>
      <c r="D727" s="74"/>
      <c r="AF727" s="74"/>
    </row>
    <row r="728">
      <c r="A728" s="74"/>
      <c r="B728" s="74"/>
      <c r="C728" s="74"/>
      <c r="D728" s="74"/>
      <c r="AF728" s="74"/>
    </row>
    <row r="729">
      <c r="A729" s="74"/>
      <c r="B729" s="74"/>
      <c r="C729" s="74"/>
      <c r="D729" s="74"/>
      <c r="AF729" s="74"/>
    </row>
    <row r="730">
      <c r="A730" s="74"/>
      <c r="B730" s="74"/>
      <c r="C730" s="74"/>
      <c r="D730" s="74"/>
      <c r="AF730" s="74"/>
    </row>
    <row r="731">
      <c r="A731" s="74"/>
      <c r="B731" s="74"/>
      <c r="C731" s="74"/>
      <c r="D731" s="74"/>
      <c r="AF731" s="74"/>
    </row>
    <row r="732">
      <c r="A732" s="74"/>
      <c r="B732" s="74"/>
      <c r="C732" s="74"/>
      <c r="D732" s="74"/>
      <c r="AF732" s="74"/>
    </row>
    <row r="733">
      <c r="A733" s="74"/>
      <c r="B733" s="74"/>
      <c r="C733" s="74"/>
      <c r="D733" s="74"/>
      <c r="AF733" s="74"/>
    </row>
    <row r="734">
      <c r="A734" s="74"/>
      <c r="B734" s="74"/>
      <c r="C734" s="74"/>
      <c r="D734" s="74"/>
      <c r="AF734" s="74"/>
    </row>
    <row r="735">
      <c r="A735" s="74"/>
      <c r="B735" s="74"/>
      <c r="C735" s="74"/>
      <c r="D735" s="74"/>
      <c r="AF735" s="74"/>
    </row>
    <row r="736">
      <c r="A736" s="74"/>
      <c r="B736" s="74"/>
      <c r="C736" s="74"/>
      <c r="D736" s="74"/>
      <c r="AF736" s="74"/>
    </row>
    <row r="737">
      <c r="A737" s="74"/>
      <c r="B737" s="74"/>
      <c r="C737" s="74"/>
      <c r="D737" s="74"/>
      <c r="AF737" s="74"/>
    </row>
    <row r="738">
      <c r="A738" s="74"/>
      <c r="B738" s="74"/>
      <c r="C738" s="74"/>
      <c r="D738" s="74"/>
      <c r="AF738" s="74"/>
    </row>
    <row r="739">
      <c r="A739" s="74"/>
      <c r="B739" s="74"/>
      <c r="C739" s="74"/>
      <c r="D739" s="74"/>
      <c r="AF739" s="74"/>
    </row>
    <row r="740">
      <c r="A740" s="74"/>
      <c r="B740" s="74"/>
      <c r="C740" s="74"/>
      <c r="D740" s="74"/>
      <c r="AF740" s="74"/>
    </row>
    <row r="741">
      <c r="A741" s="74"/>
      <c r="B741" s="74"/>
      <c r="C741" s="74"/>
      <c r="D741" s="74"/>
      <c r="AF741" s="74"/>
    </row>
    <row r="742">
      <c r="A742" s="74"/>
      <c r="B742" s="74"/>
      <c r="C742" s="74"/>
      <c r="D742" s="74"/>
      <c r="AF742" s="74"/>
    </row>
    <row r="743">
      <c r="A743" s="74"/>
      <c r="B743" s="74"/>
      <c r="C743" s="74"/>
      <c r="D743" s="74"/>
      <c r="AF743" s="74"/>
    </row>
    <row r="744">
      <c r="A744" s="74"/>
      <c r="B744" s="74"/>
      <c r="C744" s="74"/>
      <c r="D744" s="74"/>
      <c r="AF744" s="74"/>
    </row>
    <row r="745">
      <c r="A745" s="74"/>
      <c r="B745" s="74"/>
      <c r="C745" s="74"/>
      <c r="D745" s="74"/>
      <c r="AF745" s="74"/>
    </row>
    <row r="746">
      <c r="A746" s="74"/>
      <c r="B746" s="74"/>
      <c r="C746" s="74"/>
      <c r="D746" s="74"/>
      <c r="AF746" s="74"/>
    </row>
    <row r="747">
      <c r="A747" s="74"/>
      <c r="B747" s="74"/>
      <c r="C747" s="74"/>
      <c r="D747" s="74"/>
      <c r="AF747" s="74"/>
    </row>
    <row r="748">
      <c r="A748" s="74"/>
      <c r="B748" s="74"/>
      <c r="C748" s="74"/>
      <c r="D748" s="74"/>
      <c r="AF748" s="74"/>
    </row>
    <row r="749">
      <c r="A749" s="74"/>
      <c r="B749" s="74"/>
      <c r="C749" s="74"/>
      <c r="D749" s="74"/>
      <c r="AF749" s="74"/>
    </row>
    <row r="750">
      <c r="A750" s="74"/>
      <c r="B750" s="74"/>
      <c r="C750" s="74"/>
      <c r="D750" s="74"/>
      <c r="AF750" s="74"/>
    </row>
    <row r="751">
      <c r="A751" s="74"/>
      <c r="B751" s="74"/>
      <c r="C751" s="74"/>
      <c r="D751" s="74"/>
      <c r="AF751" s="74"/>
    </row>
    <row r="752">
      <c r="A752" s="74"/>
      <c r="B752" s="74"/>
      <c r="C752" s="74"/>
      <c r="D752" s="74"/>
      <c r="AF752" s="74"/>
    </row>
    <row r="753">
      <c r="A753" s="74"/>
      <c r="B753" s="74"/>
      <c r="C753" s="74"/>
      <c r="D753" s="74"/>
      <c r="AF753" s="74"/>
    </row>
    <row r="754">
      <c r="A754" s="74"/>
      <c r="B754" s="74"/>
      <c r="C754" s="74"/>
      <c r="D754" s="74"/>
      <c r="AF754" s="74"/>
    </row>
    <row r="755">
      <c r="A755" s="74"/>
      <c r="B755" s="74"/>
      <c r="C755" s="74"/>
      <c r="D755" s="74"/>
      <c r="AF755" s="74"/>
    </row>
    <row r="756">
      <c r="A756" s="74"/>
      <c r="B756" s="74"/>
      <c r="C756" s="74"/>
      <c r="D756" s="74"/>
      <c r="AF756" s="74"/>
    </row>
    <row r="757">
      <c r="A757" s="74"/>
      <c r="B757" s="74"/>
      <c r="C757" s="74"/>
      <c r="D757" s="74"/>
      <c r="AF757" s="74"/>
    </row>
    <row r="758">
      <c r="A758" s="74"/>
      <c r="B758" s="74"/>
      <c r="C758" s="74"/>
      <c r="D758" s="74"/>
      <c r="AF758" s="74"/>
    </row>
    <row r="759">
      <c r="A759" s="74"/>
      <c r="B759" s="74"/>
      <c r="C759" s="74"/>
      <c r="D759" s="74"/>
      <c r="AF759" s="74"/>
    </row>
    <row r="760">
      <c r="A760" s="74"/>
      <c r="B760" s="74"/>
      <c r="C760" s="74"/>
      <c r="D760" s="74"/>
      <c r="AF760" s="74"/>
    </row>
    <row r="761">
      <c r="A761" s="74"/>
      <c r="B761" s="74"/>
      <c r="C761" s="74"/>
      <c r="D761" s="74"/>
      <c r="AF761" s="74"/>
    </row>
    <row r="762">
      <c r="A762" s="74"/>
      <c r="B762" s="74"/>
      <c r="C762" s="74"/>
      <c r="D762" s="74"/>
      <c r="AF762" s="74"/>
    </row>
    <row r="763">
      <c r="A763" s="74"/>
      <c r="B763" s="74"/>
      <c r="C763" s="74"/>
      <c r="D763" s="74"/>
      <c r="AF763" s="74"/>
    </row>
    <row r="764">
      <c r="A764" s="74"/>
      <c r="B764" s="74"/>
      <c r="C764" s="74"/>
      <c r="D764" s="74"/>
      <c r="AF764" s="74"/>
    </row>
    <row r="765">
      <c r="A765" s="74"/>
      <c r="B765" s="74"/>
      <c r="C765" s="74"/>
      <c r="D765" s="74"/>
      <c r="AF765" s="74"/>
    </row>
    <row r="766">
      <c r="A766" s="74"/>
      <c r="B766" s="74"/>
      <c r="C766" s="74"/>
      <c r="D766" s="74"/>
      <c r="AF766" s="74"/>
    </row>
    <row r="767">
      <c r="A767" s="74"/>
      <c r="B767" s="74"/>
      <c r="C767" s="74"/>
      <c r="D767" s="74"/>
      <c r="AF767" s="74"/>
    </row>
    <row r="768">
      <c r="A768" s="74"/>
      <c r="B768" s="74"/>
      <c r="C768" s="74"/>
      <c r="D768" s="74"/>
      <c r="AF768" s="74"/>
    </row>
    <row r="769">
      <c r="A769" s="74"/>
      <c r="B769" s="74"/>
      <c r="C769" s="74"/>
      <c r="D769" s="74"/>
      <c r="AF769" s="74"/>
    </row>
    <row r="770">
      <c r="A770" s="74"/>
      <c r="B770" s="74"/>
      <c r="C770" s="74"/>
      <c r="D770" s="74"/>
      <c r="AF770" s="74"/>
    </row>
    <row r="771">
      <c r="A771" s="74"/>
      <c r="B771" s="74"/>
      <c r="C771" s="74"/>
      <c r="D771" s="74"/>
      <c r="AF771" s="74"/>
    </row>
    <row r="772">
      <c r="A772" s="74"/>
      <c r="B772" s="74"/>
      <c r="C772" s="74"/>
      <c r="D772" s="74"/>
      <c r="AF772" s="74"/>
    </row>
    <row r="773">
      <c r="A773" s="74"/>
      <c r="B773" s="74"/>
      <c r="C773" s="74"/>
      <c r="D773" s="74"/>
      <c r="AF773" s="74"/>
    </row>
    <row r="774">
      <c r="A774" s="74"/>
      <c r="B774" s="74"/>
      <c r="C774" s="74"/>
      <c r="D774" s="74"/>
      <c r="AF774" s="74"/>
    </row>
    <row r="775">
      <c r="A775" s="74"/>
      <c r="B775" s="74"/>
      <c r="C775" s="74"/>
      <c r="D775" s="74"/>
      <c r="AF775" s="74"/>
    </row>
    <row r="776">
      <c r="A776" s="74"/>
      <c r="B776" s="74"/>
      <c r="C776" s="74"/>
      <c r="D776" s="74"/>
      <c r="AF776" s="74"/>
    </row>
    <row r="777">
      <c r="A777" s="74"/>
      <c r="B777" s="74"/>
      <c r="C777" s="74"/>
      <c r="D777" s="74"/>
      <c r="AF777" s="74"/>
    </row>
    <row r="778">
      <c r="A778" s="74"/>
      <c r="B778" s="74"/>
      <c r="C778" s="74"/>
      <c r="D778" s="74"/>
      <c r="AF778" s="74"/>
    </row>
    <row r="779">
      <c r="A779" s="74"/>
      <c r="B779" s="74"/>
      <c r="C779" s="74"/>
      <c r="D779" s="74"/>
      <c r="AF779" s="74"/>
    </row>
    <row r="780">
      <c r="A780" s="74"/>
      <c r="B780" s="74"/>
      <c r="C780" s="74"/>
      <c r="D780" s="74"/>
      <c r="AF780" s="74"/>
    </row>
    <row r="781">
      <c r="A781" s="74"/>
      <c r="B781" s="74"/>
      <c r="C781" s="74"/>
      <c r="D781" s="74"/>
      <c r="AF781" s="74"/>
    </row>
    <row r="782">
      <c r="A782" s="74"/>
      <c r="B782" s="74"/>
      <c r="C782" s="74"/>
      <c r="D782" s="74"/>
      <c r="AF782" s="74"/>
    </row>
    <row r="783">
      <c r="A783" s="74"/>
      <c r="B783" s="74"/>
      <c r="C783" s="74"/>
      <c r="D783" s="74"/>
      <c r="AF783" s="74"/>
    </row>
    <row r="784">
      <c r="A784" s="74"/>
      <c r="B784" s="74"/>
      <c r="C784" s="74"/>
      <c r="D784" s="74"/>
      <c r="AF784" s="74"/>
    </row>
    <row r="785">
      <c r="A785" s="74"/>
      <c r="B785" s="74"/>
      <c r="C785" s="74"/>
      <c r="D785" s="74"/>
      <c r="AF785" s="74"/>
    </row>
    <row r="786">
      <c r="A786" s="74"/>
      <c r="B786" s="74"/>
      <c r="C786" s="74"/>
      <c r="D786" s="74"/>
      <c r="AF786" s="74"/>
    </row>
    <row r="787">
      <c r="A787" s="74"/>
      <c r="B787" s="74"/>
      <c r="C787" s="74"/>
      <c r="D787" s="74"/>
      <c r="AF787" s="74"/>
    </row>
    <row r="788">
      <c r="A788" s="74"/>
      <c r="B788" s="74"/>
      <c r="C788" s="74"/>
      <c r="D788" s="74"/>
      <c r="AF788" s="74"/>
    </row>
    <row r="789">
      <c r="A789" s="74"/>
      <c r="B789" s="74"/>
      <c r="C789" s="74"/>
      <c r="D789" s="74"/>
      <c r="AF789" s="74"/>
    </row>
    <row r="790">
      <c r="A790" s="74"/>
      <c r="B790" s="74"/>
      <c r="C790" s="74"/>
      <c r="D790" s="74"/>
      <c r="AF790" s="74"/>
    </row>
    <row r="791">
      <c r="A791" s="74"/>
      <c r="B791" s="74"/>
      <c r="C791" s="74"/>
      <c r="D791" s="74"/>
      <c r="AF791" s="74"/>
    </row>
    <row r="792">
      <c r="A792" s="74"/>
      <c r="B792" s="74"/>
      <c r="C792" s="74"/>
      <c r="D792" s="74"/>
      <c r="AF792" s="74"/>
    </row>
    <row r="793">
      <c r="A793" s="74"/>
      <c r="B793" s="74"/>
      <c r="C793" s="74"/>
      <c r="D793" s="74"/>
      <c r="AF793" s="74"/>
    </row>
    <row r="794">
      <c r="A794" s="74"/>
      <c r="B794" s="74"/>
      <c r="C794" s="74"/>
      <c r="D794" s="74"/>
      <c r="AF794" s="74"/>
    </row>
    <row r="795">
      <c r="A795" s="74"/>
      <c r="B795" s="74"/>
      <c r="C795" s="74"/>
      <c r="D795" s="74"/>
      <c r="AF795" s="74"/>
    </row>
    <row r="796">
      <c r="A796" s="74"/>
      <c r="B796" s="74"/>
      <c r="C796" s="74"/>
      <c r="D796" s="74"/>
      <c r="AF796" s="74"/>
    </row>
    <row r="797">
      <c r="A797" s="74"/>
      <c r="B797" s="74"/>
      <c r="C797" s="74"/>
      <c r="D797" s="74"/>
      <c r="AF797" s="74"/>
    </row>
    <row r="798">
      <c r="A798" s="74"/>
      <c r="B798" s="74"/>
      <c r="C798" s="74"/>
      <c r="D798" s="74"/>
      <c r="AF798" s="74"/>
    </row>
    <row r="799">
      <c r="A799" s="74"/>
      <c r="B799" s="74"/>
      <c r="C799" s="74"/>
      <c r="D799" s="74"/>
      <c r="AF799" s="74"/>
    </row>
    <row r="800">
      <c r="A800" s="74"/>
      <c r="B800" s="74"/>
      <c r="C800" s="74"/>
      <c r="D800" s="74"/>
      <c r="AF800" s="74"/>
    </row>
    <row r="801">
      <c r="A801" s="74"/>
      <c r="B801" s="74"/>
      <c r="C801" s="74"/>
      <c r="D801" s="74"/>
      <c r="AF801" s="74"/>
    </row>
    <row r="802">
      <c r="A802" s="74"/>
      <c r="B802" s="74"/>
      <c r="C802" s="74"/>
      <c r="D802" s="74"/>
      <c r="AF802" s="74"/>
    </row>
    <row r="803">
      <c r="A803" s="74"/>
      <c r="B803" s="74"/>
      <c r="C803" s="74"/>
      <c r="D803" s="74"/>
      <c r="AF803" s="74"/>
    </row>
    <row r="804">
      <c r="A804" s="74"/>
      <c r="B804" s="74"/>
      <c r="C804" s="74"/>
      <c r="D804" s="74"/>
      <c r="AF804" s="74"/>
    </row>
    <row r="805">
      <c r="A805" s="74"/>
      <c r="B805" s="74"/>
      <c r="C805" s="74"/>
      <c r="D805" s="74"/>
      <c r="AF805" s="74"/>
    </row>
    <row r="806">
      <c r="A806" s="74"/>
      <c r="B806" s="74"/>
      <c r="C806" s="74"/>
      <c r="D806" s="74"/>
      <c r="AF806" s="74"/>
    </row>
    <row r="807">
      <c r="A807" s="74"/>
      <c r="B807" s="74"/>
      <c r="C807" s="74"/>
      <c r="D807" s="74"/>
      <c r="AF807" s="74"/>
    </row>
    <row r="808">
      <c r="A808" s="74"/>
      <c r="B808" s="74"/>
      <c r="C808" s="74"/>
      <c r="D808" s="74"/>
      <c r="AF808" s="74"/>
    </row>
    <row r="809">
      <c r="A809" s="74"/>
      <c r="B809" s="74"/>
      <c r="C809" s="74"/>
      <c r="D809" s="74"/>
      <c r="AF809" s="74"/>
    </row>
    <row r="810">
      <c r="A810" s="74"/>
      <c r="B810" s="74"/>
      <c r="C810" s="74"/>
      <c r="D810" s="74"/>
      <c r="AF810" s="74"/>
    </row>
    <row r="811">
      <c r="A811" s="74"/>
      <c r="B811" s="74"/>
      <c r="C811" s="74"/>
      <c r="D811" s="74"/>
      <c r="AF811" s="74"/>
    </row>
    <row r="812">
      <c r="A812" s="74"/>
      <c r="B812" s="74"/>
      <c r="C812" s="74"/>
      <c r="D812" s="74"/>
      <c r="AF812" s="74"/>
    </row>
    <row r="813">
      <c r="A813" s="74"/>
      <c r="B813" s="74"/>
      <c r="C813" s="74"/>
      <c r="D813" s="74"/>
      <c r="AF813" s="74"/>
    </row>
    <row r="814">
      <c r="A814" s="74"/>
      <c r="B814" s="74"/>
      <c r="C814" s="74"/>
      <c r="D814" s="74"/>
      <c r="AF814" s="74"/>
    </row>
    <row r="815">
      <c r="A815" s="74"/>
      <c r="B815" s="74"/>
      <c r="C815" s="74"/>
      <c r="D815" s="74"/>
      <c r="AF815" s="74"/>
    </row>
    <row r="816">
      <c r="A816" s="74"/>
      <c r="B816" s="74"/>
      <c r="C816" s="74"/>
      <c r="D816" s="74"/>
      <c r="AF816" s="74"/>
    </row>
    <row r="817">
      <c r="A817" s="74"/>
      <c r="B817" s="74"/>
      <c r="C817" s="74"/>
      <c r="D817" s="74"/>
      <c r="AF817" s="74"/>
    </row>
    <row r="818">
      <c r="A818" s="74"/>
      <c r="B818" s="74"/>
      <c r="C818" s="74"/>
      <c r="D818" s="74"/>
      <c r="AF818" s="74"/>
    </row>
    <row r="819">
      <c r="A819" s="74"/>
      <c r="B819" s="74"/>
      <c r="C819" s="74"/>
      <c r="D819" s="74"/>
      <c r="AF819" s="74"/>
    </row>
    <row r="820">
      <c r="A820" s="74"/>
      <c r="B820" s="74"/>
      <c r="C820" s="74"/>
      <c r="D820" s="74"/>
      <c r="AF820" s="74"/>
    </row>
    <row r="821">
      <c r="A821" s="74"/>
      <c r="B821" s="74"/>
      <c r="C821" s="74"/>
      <c r="D821" s="74"/>
      <c r="AF821" s="74"/>
    </row>
    <row r="822">
      <c r="A822" s="74"/>
      <c r="B822" s="74"/>
      <c r="C822" s="74"/>
      <c r="D822" s="74"/>
      <c r="AF822" s="74"/>
    </row>
    <row r="823">
      <c r="A823" s="74"/>
      <c r="B823" s="74"/>
      <c r="C823" s="74"/>
      <c r="D823" s="74"/>
      <c r="AF823" s="74"/>
    </row>
    <row r="824">
      <c r="A824" s="74"/>
      <c r="B824" s="74"/>
      <c r="C824" s="74"/>
      <c r="D824" s="74"/>
      <c r="AF824" s="74"/>
    </row>
    <row r="825">
      <c r="A825" s="74"/>
      <c r="B825" s="74"/>
      <c r="C825" s="74"/>
      <c r="D825" s="74"/>
      <c r="AF825" s="74"/>
    </row>
    <row r="826">
      <c r="A826" s="74"/>
      <c r="B826" s="74"/>
      <c r="C826" s="74"/>
      <c r="D826" s="74"/>
      <c r="AF826" s="74"/>
    </row>
    <row r="827">
      <c r="A827" s="74"/>
      <c r="B827" s="74"/>
      <c r="C827" s="74"/>
      <c r="D827" s="74"/>
      <c r="AF827" s="74"/>
    </row>
    <row r="828">
      <c r="A828" s="74"/>
      <c r="B828" s="74"/>
      <c r="C828" s="74"/>
      <c r="D828" s="74"/>
      <c r="AF828" s="74"/>
    </row>
    <row r="829">
      <c r="A829" s="74"/>
      <c r="B829" s="74"/>
      <c r="C829" s="74"/>
      <c r="D829" s="74"/>
      <c r="AF829" s="74"/>
    </row>
    <row r="830">
      <c r="A830" s="74"/>
      <c r="B830" s="74"/>
      <c r="C830" s="74"/>
      <c r="D830" s="74"/>
      <c r="AF830" s="74"/>
    </row>
    <row r="831">
      <c r="A831" s="74"/>
      <c r="B831" s="74"/>
      <c r="C831" s="74"/>
      <c r="D831" s="74"/>
      <c r="AF831" s="74"/>
    </row>
    <row r="832">
      <c r="A832" s="74"/>
      <c r="B832" s="74"/>
      <c r="C832" s="74"/>
      <c r="D832" s="74"/>
      <c r="AF832" s="74"/>
    </row>
    <row r="833">
      <c r="A833" s="74"/>
      <c r="B833" s="74"/>
      <c r="C833" s="74"/>
      <c r="D833" s="74"/>
      <c r="AF833" s="74"/>
    </row>
    <row r="834">
      <c r="A834" s="74"/>
      <c r="B834" s="74"/>
      <c r="C834" s="74"/>
      <c r="D834" s="74"/>
      <c r="AF834" s="74"/>
    </row>
    <row r="835">
      <c r="A835" s="74"/>
      <c r="B835" s="74"/>
      <c r="C835" s="74"/>
      <c r="D835" s="74"/>
      <c r="AF835" s="74"/>
    </row>
    <row r="836">
      <c r="A836" s="74"/>
      <c r="B836" s="74"/>
      <c r="C836" s="74"/>
      <c r="D836" s="74"/>
      <c r="AF836" s="74"/>
    </row>
    <row r="837">
      <c r="A837" s="74"/>
      <c r="B837" s="74"/>
      <c r="C837" s="74"/>
      <c r="D837" s="74"/>
      <c r="AF837" s="74"/>
    </row>
    <row r="838">
      <c r="A838" s="74"/>
      <c r="B838" s="74"/>
      <c r="C838" s="74"/>
      <c r="D838" s="74"/>
      <c r="AF838" s="74"/>
    </row>
    <row r="839">
      <c r="A839" s="74"/>
      <c r="B839" s="74"/>
      <c r="C839" s="74"/>
      <c r="D839" s="74"/>
      <c r="AF839" s="74"/>
    </row>
    <row r="840">
      <c r="A840" s="74"/>
      <c r="B840" s="74"/>
      <c r="C840" s="74"/>
      <c r="D840" s="74"/>
      <c r="AF840" s="74"/>
    </row>
    <row r="841">
      <c r="A841" s="74"/>
      <c r="B841" s="74"/>
      <c r="C841" s="74"/>
      <c r="D841" s="74"/>
      <c r="AF841" s="74"/>
    </row>
    <row r="842">
      <c r="A842" s="74"/>
      <c r="B842" s="74"/>
      <c r="C842" s="74"/>
      <c r="D842" s="74"/>
      <c r="AF842" s="74"/>
    </row>
    <row r="843">
      <c r="A843" s="74"/>
      <c r="B843" s="74"/>
      <c r="C843" s="74"/>
      <c r="D843" s="74"/>
      <c r="AF843" s="74"/>
    </row>
    <row r="844">
      <c r="A844" s="74"/>
      <c r="B844" s="74"/>
      <c r="C844" s="74"/>
      <c r="D844" s="74"/>
      <c r="AF844" s="74"/>
    </row>
    <row r="845">
      <c r="A845" s="74"/>
      <c r="B845" s="74"/>
      <c r="C845" s="74"/>
      <c r="D845" s="74"/>
      <c r="AF845" s="74"/>
    </row>
    <row r="846">
      <c r="A846" s="74"/>
      <c r="B846" s="74"/>
      <c r="C846" s="74"/>
      <c r="D846" s="74"/>
      <c r="AF846" s="74"/>
    </row>
    <row r="847">
      <c r="A847" s="74"/>
      <c r="B847" s="74"/>
      <c r="C847" s="74"/>
      <c r="D847" s="74"/>
      <c r="AF847" s="74"/>
    </row>
    <row r="848">
      <c r="A848" s="74"/>
      <c r="B848" s="74"/>
      <c r="C848" s="74"/>
      <c r="D848" s="74"/>
      <c r="AF848" s="74"/>
    </row>
    <row r="849">
      <c r="A849" s="74"/>
      <c r="B849" s="74"/>
      <c r="C849" s="74"/>
      <c r="D849" s="74"/>
      <c r="AF849" s="74"/>
    </row>
    <row r="850">
      <c r="A850" s="74"/>
      <c r="B850" s="74"/>
      <c r="C850" s="74"/>
      <c r="D850" s="74"/>
      <c r="AF850" s="74"/>
    </row>
    <row r="851">
      <c r="A851" s="74"/>
      <c r="B851" s="74"/>
      <c r="C851" s="74"/>
      <c r="D851" s="74"/>
      <c r="AF851" s="74"/>
    </row>
    <row r="852">
      <c r="A852" s="74"/>
      <c r="B852" s="74"/>
      <c r="C852" s="74"/>
      <c r="D852" s="74"/>
      <c r="AF852" s="74"/>
    </row>
    <row r="853">
      <c r="A853" s="74"/>
      <c r="B853" s="74"/>
      <c r="C853" s="74"/>
      <c r="D853" s="74"/>
      <c r="AF853" s="74"/>
    </row>
    <row r="854">
      <c r="A854" s="74"/>
      <c r="B854" s="74"/>
      <c r="C854" s="74"/>
      <c r="D854" s="74"/>
      <c r="AF854" s="74"/>
    </row>
    <row r="855">
      <c r="A855" s="74"/>
      <c r="B855" s="74"/>
      <c r="C855" s="74"/>
      <c r="D855" s="74"/>
      <c r="AF855" s="74"/>
    </row>
    <row r="856">
      <c r="A856" s="74"/>
      <c r="B856" s="74"/>
      <c r="C856" s="74"/>
      <c r="D856" s="74"/>
      <c r="AF856" s="74"/>
    </row>
    <row r="857">
      <c r="A857" s="74"/>
      <c r="B857" s="74"/>
      <c r="C857" s="74"/>
      <c r="D857" s="74"/>
      <c r="AF857" s="74"/>
    </row>
    <row r="858">
      <c r="A858" s="74"/>
      <c r="B858" s="74"/>
      <c r="C858" s="74"/>
      <c r="D858" s="74"/>
      <c r="AF858" s="74"/>
    </row>
    <row r="859">
      <c r="A859" s="74"/>
      <c r="B859" s="74"/>
      <c r="C859" s="74"/>
      <c r="D859" s="74"/>
      <c r="AF859" s="74"/>
    </row>
    <row r="860">
      <c r="A860" s="74"/>
      <c r="B860" s="74"/>
      <c r="C860" s="74"/>
      <c r="D860" s="74"/>
      <c r="AF860" s="74"/>
    </row>
    <row r="861">
      <c r="A861" s="74"/>
      <c r="B861" s="74"/>
      <c r="C861" s="74"/>
      <c r="D861" s="74"/>
      <c r="AF861" s="74"/>
    </row>
    <row r="862">
      <c r="A862" s="74"/>
      <c r="B862" s="74"/>
      <c r="C862" s="74"/>
      <c r="D862" s="74"/>
      <c r="AF862" s="74"/>
    </row>
    <row r="863">
      <c r="A863" s="74"/>
      <c r="B863" s="74"/>
      <c r="C863" s="74"/>
      <c r="D863" s="74"/>
      <c r="AF863" s="74"/>
    </row>
    <row r="864">
      <c r="A864" s="74"/>
      <c r="B864" s="74"/>
      <c r="C864" s="74"/>
      <c r="D864" s="74"/>
      <c r="AF864" s="74"/>
    </row>
    <row r="865">
      <c r="A865" s="74"/>
      <c r="B865" s="74"/>
      <c r="C865" s="74"/>
      <c r="D865" s="74"/>
      <c r="AF865" s="74"/>
    </row>
    <row r="866">
      <c r="A866" s="74"/>
      <c r="B866" s="74"/>
      <c r="C866" s="74"/>
      <c r="D866" s="74"/>
      <c r="AF866" s="74"/>
    </row>
    <row r="867">
      <c r="A867" s="74"/>
      <c r="B867" s="74"/>
      <c r="C867" s="74"/>
      <c r="D867" s="74"/>
      <c r="AF867" s="74"/>
    </row>
    <row r="868">
      <c r="A868" s="74"/>
      <c r="B868" s="74"/>
      <c r="C868" s="74"/>
      <c r="D868" s="74"/>
      <c r="AF868" s="74"/>
    </row>
    <row r="869">
      <c r="A869" s="74"/>
      <c r="B869" s="74"/>
      <c r="C869" s="74"/>
      <c r="D869" s="74"/>
      <c r="AF869" s="74"/>
    </row>
    <row r="870">
      <c r="A870" s="74"/>
      <c r="B870" s="74"/>
      <c r="C870" s="74"/>
      <c r="D870" s="74"/>
      <c r="AF870" s="74"/>
    </row>
    <row r="871">
      <c r="A871" s="74"/>
      <c r="B871" s="74"/>
      <c r="C871" s="74"/>
      <c r="D871" s="74"/>
      <c r="AF871" s="74"/>
    </row>
    <row r="872">
      <c r="A872" s="74"/>
      <c r="B872" s="74"/>
      <c r="C872" s="74"/>
      <c r="D872" s="74"/>
      <c r="AF872" s="74"/>
    </row>
    <row r="873">
      <c r="A873" s="74"/>
      <c r="B873" s="74"/>
      <c r="C873" s="74"/>
      <c r="D873" s="74"/>
      <c r="AF873" s="74"/>
    </row>
    <row r="874">
      <c r="A874" s="74"/>
      <c r="B874" s="74"/>
      <c r="C874" s="74"/>
      <c r="D874" s="74"/>
      <c r="AF874" s="74"/>
    </row>
    <row r="875">
      <c r="A875" s="74"/>
      <c r="B875" s="74"/>
      <c r="C875" s="74"/>
      <c r="D875" s="74"/>
      <c r="AF875" s="74"/>
    </row>
    <row r="876">
      <c r="A876" s="74"/>
      <c r="B876" s="74"/>
      <c r="C876" s="74"/>
      <c r="D876" s="74"/>
      <c r="AF876" s="74"/>
    </row>
    <row r="877">
      <c r="A877" s="74"/>
      <c r="B877" s="74"/>
      <c r="C877" s="74"/>
      <c r="D877" s="74"/>
      <c r="AF877" s="74"/>
    </row>
    <row r="878">
      <c r="A878" s="74"/>
      <c r="B878" s="74"/>
      <c r="C878" s="74"/>
      <c r="D878" s="74"/>
      <c r="AF878" s="74"/>
    </row>
    <row r="879">
      <c r="A879" s="74"/>
      <c r="B879" s="74"/>
      <c r="C879" s="74"/>
      <c r="D879" s="74"/>
      <c r="AF879" s="74"/>
    </row>
    <row r="880">
      <c r="A880" s="74"/>
      <c r="B880" s="74"/>
      <c r="C880" s="74"/>
      <c r="D880" s="74"/>
      <c r="AF880" s="74"/>
    </row>
    <row r="881">
      <c r="A881" s="74"/>
      <c r="B881" s="74"/>
      <c r="C881" s="74"/>
      <c r="D881" s="74"/>
      <c r="AF881" s="74"/>
    </row>
    <row r="882">
      <c r="A882" s="74"/>
      <c r="B882" s="74"/>
      <c r="C882" s="74"/>
      <c r="D882" s="74"/>
      <c r="AF882" s="74"/>
    </row>
    <row r="883">
      <c r="A883" s="74"/>
      <c r="B883" s="74"/>
      <c r="C883" s="74"/>
      <c r="D883" s="74"/>
      <c r="AF883" s="74"/>
    </row>
    <row r="884">
      <c r="A884" s="74"/>
      <c r="B884" s="74"/>
      <c r="C884" s="74"/>
      <c r="D884" s="74"/>
      <c r="AF884" s="74"/>
    </row>
    <row r="885">
      <c r="A885" s="74"/>
      <c r="B885" s="74"/>
      <c r="C885" s="74"/>
      <c r="D885" s="74"/>
      <c r="AF885" s="74"/>
    </row>
    <row r="886">
      <c r="A886" s="74"/>
      <c r="B886" s="74"/>
      <c r="C886" s="74"/>
      <c r="D886" s="74"/>
      <c r="AF886" s="74"/>
    </row>
    <row r="887">
      <c r="A887" s="74"/>
      <c r="B887" s="74"/>
      <c r="C887" s="74"/>
      <c r="D887" s="74"/>
      <c r="AF887" s="74"/>
    </row>
    <row r="888">
      <c r="A888" s="74"/>
      <c r="B888" s="74"/>
      <c r="C888" s="74"/>
      <c r="D888" s="74"/>
      <c r="AF888" s="74"/>
    </row>
    <row r="889">
      <c r="A889" s="74"/>
      <c r="B889" s="74"/>
      <c r="C889" s="74"/>
      <c r="D889" s="74"/>
      <c r="AF889" s="74"/>
    </row>
    <row r="890">
      <c r="A890" s="74"/>
      <c r="B890" s="74"/>
      <c r="C890" s="74"/>
      <c r="D890" s="74"/>
      <c r="AF890" s="74"/>
    </row>
    <row r="891">
      <c r="A891" s="74"/>
      <c r="B891" s="74"/>
      <c r="C891" s="74"/>
      <c r="D891" s="74"/>
      <c r="AF891" s="74"/>
    </row>
    <row r="892">
      <c r="A892" s="74"/>
      <c r="B892" s="74"/>
      <c r="C892" s="74"/>
      <c r="D892" s="74"/>
      <c r="AF892" s="74"/>
    </row>
    <row r="893">
      <c r="A893" s="74"/>
      <c r="B893" s="74"/>
      <c r="C893" s="74"/>
      <c r="D893" s="74"/>
      <c r="AF893" s="74"/>
    </row>
    <row r="894">
      <c r="A894" s="74"/>
      <c r="B894" s="74"/>
      <c r="C894" s="74"/>
      <c r="D894" s="74"/>
      <c r="AF894" s="74"/>
    </row>
    <row r="895">
      <c r="A895" s="74"/>
      <c r="B895" s="74"/>
      <c r="C895" s="74"/>
      <c r="D895" s="74"/>
      <c r="AF895" s="74"/>
    </row>
    <row r="896">
      <c r="A896" s="74"/>
      <c r="B896" s="74"/>
      <c r="C896" s="74"/>
      <c r="D896" s="74"/>
      <c r="AF896" s="74"/>
    </row>
    <row r="897">
      <c r="A897" s="74"/>
      <c r="B897" s="74"/>
      <c r="C897" s="74"/>
      <c r="D897" s="74"/>
      <c r="AF897" s="74"/>
    </row>
    <row r="898">
      <c r="A898" s="74"/>
      <c r="B898" s="74"/>
      <c r="C898" s="74"/>
      <c r="D898" s="74"/>
      <c r="AF898" s="74"/>
    </row>
    <row r="899">
      <c r="A899" s="74"/>
      <c r="B899" s="74"/>
      <c r="C899" s="74"/>
      <c r="D899" s="74"/>
      <c r="AF899" s="74"/>
    </row>
    <row r="900">
      <c r="A900" s="74"/>
      <c r="B900" s="74"/>
      <c r="C900" s="74"/>
      <c r="D900" s="74"/>
      <c r="AF900" s="74"/>
    </row>
    <row r="901">
      <c r="A901" s="74"/>
      <c r="B901" s="74"/>
      <c r="C901" s="74"/>
      <c r="D901" s="74"/>
      <c r="AF901" s="74"/>
    </row>
    <row r="902">
      <c r="A902" s="74"/>
      <c r="B902" s="74"/>
      <c r="C902" s="74"/>
      <c r="D902" s="74"/>
      <c r="AF902" s="74"/>
    </row>
    <row r="903">
      <c r="A903" s="74"/>
      <c r="B903" s="74"/>
      <c r="C903" s="74"/>
      <c r="D903" s="74"/>
      <c r="AF903" s="74"/>
    </row>
    <row r="904">
      <c r="A904" s="74"/>
      <c r="B904" s="74"/>
      <c r="C904" s="74"/>
      <c r="D904" s="74"/>
      <c r="AF904" s="74"/>
    </row>
    <row r="905">
      <c r="A905" s="74"/>
      <c r="B905" s="74"/>
      <c r="C905" s="74"/>
      <c r="D905" s="74"/>
      <c r="AF905" s="74"/>
    </row>
    <row r="906">
      <c r="A906" s="74"/>
      <c r="B906" s="74"/>
      <c r="C906" s="74"/>
      <c r="D906" s="74"/>
      <c r="AF906" s="74"/>
    </row>
    <row r="907">
      <c r="A907" s="74"/>
      <c r="B907" s="74"/>
      <c r="C907" s="74"/>
      <c r="D907" s="74"/>
      <c r="AF907" s="74"/>
    </row>
    <row r="908">
      <c r="A908" s="74"/>
      <c r="B908" s="74"/>
      <c r="C908" s="74"/>
      <c r="D908" s="74"/>
      <c r="AF908" s="74"/>
    </row>
    <row r="909">
      <c r="A909" s="74"/>
      <c r="B909" s="74"/>
      <c r="C909" s="74"/>
      <c r="D909" s="74"/>
      <c r="AF909" s="74"/>
    </row>
    <row r="910">
      <c r="A910" s="74"/>
      <c r="B910" s="74"/>
      <c r="C910" s="74"/>
      <c r="D910" s="74"/>
      <c r="AF910" s="74"/>
    </row>
    <row r="911">
      <c r="A911" s="74"/>
      <c r="B911" s="74"/>
      <c r="C911" s="74"/>
      <c r="D911" s="74"/>
      <c r="AF911" s="74"/>
    </row>
    <row r="912">
      <c r="A912" s="74"/>
      <c r="B912" s="74"/>
      <c r="C912" s="74"/>
      <c r="D912" s="74"/>
      <c r="AF912" s="74"/>
    </row>
    <row r="913">
      <c r="A913" s="74"/>
      <c r="B913" s="74"/>
      <c r="C913" s="74"/>
      <c r="D913" s="74"/>
      <c r="AF913" s="74"/>
    </row>
    <row r="914">
      <c r="A914" s="74"/>
      <c r="B914" s="74"/>
      <c r="C914" s="74"/>
      <c r="D914" s="74"/>
      <c r="AF914" s="74"/>
    </row>
    <row r="915">
      <c r="A915" s="74"/>
      <c r="B915" s="74"/>
      <c r="C915" s="74"/>
      <c r="D915" s="74"/>
      <c r="AF915" s="74"/>
    </row>
    <row r="916">
      <c r="A916" s="74"/>
      <c r="B916" s="74"/>
      <c r="C916" s="74"/>
      <c r="D916" s="74"/>
      <c r="AF916" s="74"/>
    </row>
    <row r="917">
      <c r="A917" s="74"/>
      <c r="B917" s="74"/>
      <c r="C917" s="74"/>
      <c r="D917" s="74"/>
      <c r="AF917" s="74"/>
    </row>
    <row r="918">
      <c r="A918" s="74"/>
      <c r="B918" s="74"/>
      <c r="C918" s="74"/>
      <c r="D918" s="74"/>
      <c r="AF918" s="74"/>
    </row>
    <row r="919">
      <c r="A919" s="74"/>
      <c r="B919" s="74"/>
      <c r="C919" s="74"/>
      <c r="D919" s="74"/>
      <c r="AF919" s="74"/>
    </row>
    <row r="920">
      <c r="A920" s="74"/>
      <c r="B920" s="74"/>
      <c r="C920" s="74"/>
      <c r="D920" s="74"/>
      <c r="AF920" s="74"/>
    </row>
    <row r="921">
      <c r="A921" s="74"/>
      <c r="B921" s="74"/>
      <c r="C921" s="74"/>
      <c r="D921" s="74"/>
      <c r="AF921" s="74"/>
    </row>
    <row r="922">
      <c r="A922" s="74"/>
      <c r="B922" s="74"/>
      <c r="C922" s="74"/>
      <c r="D922" s="74"/>
      <c r="AF922" s="74"/>
    </row>
    <row r="923">
      <c r="A923" s="74"/>
      <c r="B923" s="74"/>
      <c r="C923" s="74"/>
      <c r="D923" s="74"/>
      <c r="AF923" s="74"/>
    </row>
    <row r="924">
      <c r="A924" s="74"/>
      <c r="B924" s="74"/>
      <c r="C924" s="74"/>
      <c r="D924" s="74"/>
      <c r="AF924" s="74"/>
    </row>
    <row r="925">
      <c r="A925" s="74"/>
      <c r="B925" s="74"/>
      <c r="C925" s="74"/>
      <c r="D925" s="74"/>
      <c r="AF925" s="74"/>
    </row>
    <row r="926">
      <c r="A926" s="74"/>
      <c r="B926" s="74"/>
      <c r="C926" s="74"/>
      <c r="D926" s="74"/>
      <c r="AF926" s="74"/>
    </row>
    <row r="927">
      <c r="A927" s="74"/>
      <c r="B927" s="74"/>
      <c r="C927" s="74"/>
      <c r="D927" s="74"/>
      <c r="AF927" s="74"/>
    </row>
    <row r="928">
      <c r="A928" s="74"/>
      <c r="B928" s="74"/>
      <c r="C928" s="74"/>
      <c r="D928" s="74"/>
      <c r="AF928" s="74"/>
    </row>
    <row r="929">
      <c r="A929" s="74"/>
      <c r="B929" s="74"/>
      <c r="C929" s="74"/>
      <c r="D929" s="74"/>
      <c r="AF929" s="74"/>
    </row>
    <row r="930">
      <c r="A930" s="74"/>
      <c r="B930" s="74"/>
      <c r="C930" s="74"/>
      <c r="D930" s="74"/>
      <c r="AF930" s="74"/>
    </row>
    <row r="931">
      <c r="A931" s="74"/>
      <c r="B931" s="74"/>
      <c r="C931" s="74"/>
      <c r="D931" s="74"/>
      <c r="AF931" s="74"/>
    </row>
    <row r="932">
      <c r="A932" s="74"/>
      <c r="B932" s="74"/>
      <c r="C932" s="74"/>
      <c r="D932" s="74"/>
      <c r="AF932" s="74"/>
    </row>
    <row r="933">
      <c r="A933" s="74"/>
      <c r="B933" s="74"/>
      <c r="C933" s="74"/>
      <c r="D933" s="74"/>
      <c r="AF933" s="74"/>
    </row>
    <row r="934">
      <c r="A934" s="74"/>
      <c r="B934" s="74"/>
      <c r="C934" s="74"/>
      <c r="D934" s="74"/>
      <c r="AF934" s="74"/>
    </row>
    <row r="935">
      <c r="A935" s="74"/>
      <c r="B935" s="74"/>
      <c r="C935" s="74"/>
      <c r="D935" s="74"/>
      <c r="AF935" s="74"/>
    </row>
    <row r="936">
      <c r="A936" s="74"/>
      <c r="B936" s="74"/>
      <c r="C936" s="74"/>
      <c r="D936" s="74"/>
      <c r="AF936" s="74"/>
    </row>
    <row r="937">
      <c r="A937" s="74"/>
      <c r="B937" s="74"/>
      <c r="C937" s="74"/>
      <c r="D937" s="74"/>
      <c r="AF937" s="74"/>
    </row>
    <row r="938">
      <c r="A938" s="74"/>
      <c r="B938" s="74"/>
      <c r="C938" s="74"/>
      <c r="D938" s="74"/>
      <c r="AF938" s="74"/>
    </row>
    <row r="939">
      <c r="A939" s="74"/>
      <c r="B939" s="74"/>
      <c r="C939" s="74"/>
      <c r="D939" s="74"/>
      <c r="AF939" s="74"/>
    </row>
    <row r="940">
      <c r="A940" s="74"/>
      <c r="B940" s="74"/>
      <c r="C940" s="74"/>
      <c r="D940" s="74"/>
      <c r="AF940" s="74"/>
    </row>
    <row r="941">
      <c r="A941" s="74"/>
      <c r="B941" s="74"/>
      <c r="C941" s="74"/>
      <c r="D941" s="74"/>
      <c r="AF941" s="74"/>
    </row>
    <row r="942">
      <c r="A942" s="74"/>
      <c r="B942" s="74"/>
      <c r="C942" s="74"/>
      <c r="D942" s="74"/>
      <c r="AF942" s="74"/>
    </row>
    <row r="943">
      <c r="A943" s="74"/>
      <c r="B943" s="74"/>
      <c r="C943" s="74"/>
      <c r="D943" s="74"/>
      <c r="AF943" s="74"/>
    </row>
    <row r="944">
      <c r="A944" s="74"/>
      <c r="B944" s="74"/>
      <c r="C944" s="74"/>
      <c r="D944" s="74"/>
      <c r="AF944" s="74"/>
    </row>
    <row r="945">
      <c r="A945" s="74"/>
      <c r="B945" s="74"/>
      <c r="C945" s="74"/>
      <c r="D945" s="74"/>
      <c r="AF945" s="74"/>
    </row>
    <row r="946">
      <c r="A946" s="74"/>
      <c r="B946" s="74"/>
      <c r="C946" s="74"/>
      <c r="D946" s="74"/>
      <c r="AF946" s="74"/>
    </row>
    <row r="947">
      <c r="A947" s="74"/>
      <c r="B947" s="74"/>
      <c r="C947" s="74"/>
      <c r="D947" s="74"/>
      <c r="AF947" s="74"/>
    </row>
    <row r="948">
      <c r="A948" s="74"/>
      <c r="B948" s="74"/>
      <c r="C948" s="74"/>
      <c r="D948" s="74"/>
      <c r="AF948" s="74"/>
    </row>
    <row r="949">
      <c r="A949" s="74"/>
      <c r="B949" s="74"/>
      <c r="C949" s="74"/>
      <c r="D949" s="74"/>
      <c r="AF949" s="74"/>
    </row>
    <row r="950">
      <c r="A950" s="74"/>
      <c r="B950" s="74"/>
      <c r="C950" s="74"/>
      <c r="D950" s="74"/>
      <c r="AF950" s="74"/>
    </row>
    <row r="951">
      <c r="A951" s="74"/>
      <c r="B951" s="74"/>
      <c r="C951" s="74"/>
      <c r="D951" s="74"/>
      <c r="AF951" s="74"/>
    </row>
    <row r="952">
      <c r="A952" s="74"/>
      <c r="B952" s="74"/>
      <c r="C952" s="74"/>
      <c r="D952" s="74"/>
      <c r="AF952" s="74"/>
    </row>
    <row r="953">
      <c r="A953" s="74"/>
      <c r="B953" s="74"/>
      <c r="C953" s="74"/>
      <c r="D953" s="74"/>
      <c r="AF953" s="74"/>
    </row>
    <row r="954">
      <c r="A954" s="74"/>
      <c r="B954" s="74"/>
      <c r="C954" s="74"/>
      <c r="D954" s="74"/>
      <c r="AF954" s="74"/>
    </row>
    <row r="955">
      <c r="A955" s="74"/>
      <c r="B955" s="74"/>
      <c r="C955" s="74"/>
      <c r="D955" s="74"/>
      <c r="AF955" s="74"/>
    </row>
    <row r="956">
      <c r="A956" s="74"/>
      <c r="B956" s="74"/>
      <c r="C956" s="74"/>
      <c r="D956" s="74"/>
      <c r="AF956" s="74"/>
    </row>
    <row r="957">
      <c r="A957" s="74"/>
      <c r="B957" s="74"/>
      <c r="C957" s="74"/>
      <c r="D957" s="74"/>
      <c r="AF957" s="74"/>
    </row>
    <row r="958">
      <c r="A958" s="74"/>
      <c r="B958" s="74"/>
      <c r="C958" s="74"/>
      <c r="D958" s="74"/>
      <c r="AF958" s="74"/>
    </row>
    <row r="959">
      <c r="A959" s="74"/>
      <c r="B959" s="74"/>
      <c r="C959" s="74"/>
      <c r="D959" s="74"/>
      <c r="AF959" s="74"/>
    </row>
    <row r="960">
      <c r="A960" s="74"/>
      <c r="B960" s="74"/>
      <c r="C960" s="74"/>
      <c r="D960" s="74"/>
      <c r="AF960" s="74"/>
    </row>
    <row r="961">
      <c r="A961" s="74"/>
      <c r="B961" s="74"/>
      <c r="C961" s="74"/>
      <c r="D961" s="74"/>
      <c r="AF961" s="74"/>
    </row>
    <row r="962">
      <c r="A962" s="74"/>
      <c r="B962" s="74"/>
      <c r="C962" s="74"/>
      <c r="D962" s="74"/>
      <c r="AF962" s="74"/>
    </row>
    <row r="963">
      <c r="A963" s="74"/>
      <c r="B963" s="74"/>
      <c r="C963" s="74"/>
      <c r="D963" s="74"/>
      <c r="AF963" s="74"/>
    </row>
    <row r="964">
      <c r="A964" s="74"/>
      <c r="B964" s="74"/>
      <c r="C964" s="74"/>
      <c r="D964" s="74"/>
      <c r="AF964" s="74"/>
    </row>
    <row r="965">
      <c r="A965" s="74"/>
      <c r="B965" s="74"/>
      <c r="C965" s="74"/>
      <c r="D965" s="74"/>
      <c r="AF965" s="74"/>
    </row>
    <row r="966">
      <c r="A966" s="74"/>
      <c r="B966" s="74"/>
      <c r="C966" s="74"/>
      <c r="D966" s="74"/>
      <c r="AF966" s="74"/>
    </row>
    <row r="967">
      <c r="A967" s="74"/>
      <c r="B967" s="74"/>
      <c r="C967" s="74"/>
      <c r="D967" s="74"/>
      <c r="AF967" s="74"/>
    </row>
    <row r="968">
      <c r="A968" s="74"/>
      <c r="B968" s="74"/>
      <c r="C968" s="74"/>
      <c r="D968" s="74"/>
      <c r="AF968" s="74"/>
    </row>
    <row r="969">
      <c r="A969" s="74"/>
      <c r="B969" s="74"/>
      <c r="C969" s="74"/>
      <c r="D969" s="74"/>
      <c r="AF969" s="74"/>
    </row>
    <row r="970">
      <c r="A970" s="74"/>
      <c r="B970" s="74"/>
      <c r="C970" s="74"/>
      <c r="D970" s="74"/>
      <c r="AF970" s="74"/>
    </row>
    <row r="971">
      <c r="A971" s="74"/>
      <c r="B971" s="74"/>
      <c r="C971" s="74"/>
      <c r="D971" s="74"/>
      <c r="AF971" s="74"/>
    </row>
    <row r="972">
      <c r="A972" s="74"/>
      <c r="B972" s="74"/>
      <c r="C972" s="74"/>
      <c r="D972" s="74"/>
      <c r="AF972" s="74"/>
    </row>
    <row r="973">
      <c r="A973" s="74"/>
      <c r="B973" s="74"/>
      <c r="C973" s="74"/>
      <c r="D973" s="74"/>
      <c r="AF973" s="74"/>
    </row>
    <row r="974">
      <c r="A974" s="74"/>
      <c r="B974" s="74"/>
      <c r="C974" s="74"/>
      <c r="D974" s="74"/>
      <c r="AF974" s="74"/>
    </row>
    <row r="975">
      <c r="A975" s="74"/>
      <c r="B975" s="74"/>
      <c r="C975" s="74"/>
      <c r="D975" s="74"/>
      <c r="AF975" s="74"/>
    </row>
    <row r="976">
      <c r="A976" s="74"/>
      <c r="B976" s="74"/>
      <c r="C976" s="74"/>
      <c r="D976" s="74"/>
      <c r="AF976" s="74"/>
    </row>
    <row r="977">
      <c r="A977" s="74"/>
      <c r="B977" s="74"/>
      <c r="C977" s="74"/>
      <c r="D977" s="74"/>
      <c r="AF977" s="74"/>
    </row>
    <row r="978">
      <c r="A978" s="74"/>
      <c r="B978" s="74"/>
      <c r="C978" s="74"/>
      <c r="D978" s="74"/>
      <c r="AF978" s="74"/>
    </row>
    <row r="979">
      <c r="A979" s="74"/>
      <c r="B979" s="74"/>
      <c r="C979" s="74"/>
      <c r="D979" s="74"/>
      <c r="AF979" s="74"/>
    </row>
    <row r="980">
      <c r="A980" s="74"/>
      <c r="B980" s="74"/>
      <c r="C980" s="74"/>
      <c r="D980" s="74"/>
      <c r="AF980" s="74"/>
    </row>
    <row r="981">
      <c r="A981" s="74"/>
      <c r="B981" s="74"/>
      <c r="C981" s="74"/>
      <c r="D981" s="74"/>
      <c r="AF981" s="74"/>
    </row>
    <row r="982">
      <c r="A982" s="74"/>
      <c r="B982" s="74"/>
      <c r="C982" s="74"/>
      <c r="D982" s="74"/>
      <c r="AF982" s="74"/>
    </row>
    <row r="983">
      <c r="A983" s="74"/>
      <c r="B983" s="74"/>
      <c r="C983" s="74"/>
      <c r="D983" s="74"/>
      <c r="AF983" s="74"/>
    </row>
    <row r="984">
      <c r="A984" s="74"/>
      <c r="B984" s="74"/>
      <c r="C984" s="74"/>
      <c r="D984" s="74"/>
      <c r="AF984" s="74"/>
    </row>
    <row r="985">
      <c r="A985" s="74"/>
      <c r="B985" s="74"/>
      <c r="C985" s="74"/>
      <c r="D985" s="74"/>
      <c r="AF985" s="74"/>
    </row>
    <row r="986">
      <c r="A986" s="74"/>
      <c r="B986" s="74"/>
      <c r="C986" s="74"/>
      <c r="D986" s="74"/>
      <c r="AF986" s="74"/>
    </row>
    <row r="987">
      <c r="A987" s="74"/>
      <c r="B987" s="74"/>
      <c r="C987" s="74"/>
      <c r="D987" s="74"/>
      <c r="AF987" s="74"/>
    </row>
    <row r="988">
      <c r="A988" s="74"/>
      <c r="B988" s="74"/>
      <c r="C988" s="74"/>
      <c r="D988" s="74"/>
      <c r="AF988" s="74"/>
    </row>
    <row r="989">
      <c r="A989" s="74"/>
      <c r="B989" s="74"/>
      <c r="C989" s="74"/>
      <c r="D989" s="74"/>
      <c r="AF989" s="74"/>
    </row>
    <row r="990">
      <c r="A990" s="74"/>
      <c r="B990" s="74"/>
      <c r="C990" s="74"/>
      <c r="D990" s="74"/>
      <c r="AF990" s="74"/>
    </row>
    <row r="991">
      <c r="A991" s="74"/>
      <c r="B991" s="74"/>
      <c r="C991" s="74"/>
      <c r="D991" s="74"/>
      <c r="AF991" s="74"/>
    </row>
    <row r="992">
      <c r="A992" s="74"/>
      <c r="B992" s="74"/>
      <c r="C992" s="74"/>
      <c r="D992" s="74"/>
      <c r="AF992" s="74"/>
    </row>
    <row r="993">
      <c r="A993" s="74"/>
      <c r="B993" s="74"/>
      <c r="C993" s="74"/>
      <c r="D993" s="74"/>
      <c r="AF993" s="74"/>
    </row>
    <row r="994">
      <c r="A994" s="74"/>
      <c r="B994" s="74"/>
      <c r="C994" s="74"/>
      <c r="D994" s="74"/>
      <c r="AF994" s="74"/>
    </row>
    <row r="995">
      <c r="A995" s="74"/>
      <c r="B995" s="74"/>
      <c r="C995" s="74"/>
      <c r="D995" s="74"/>
      <c r="AF995" s="74"/>
    </row>
    <row r="996">
      <c r="A996" s="74"/>
      <c r="B996" s="74"/>
      <c r="C996" s="74"/>
      <c r="D996" s="74"/>
      <c r="AF996" s="74"/>
    </row>
    <row r="997">
      <c r="A997" s="74"/>
      <c r="B997" s="74"/>
      <c r="C997" s="74"/>
      <c r="D997" s="74"/>
      <c r="AF997" s="74"/>
    </row>
    <row r="998">
      <c r="A998" s="74"/>
      <c r="B998" s="74"/>
      <c r="C998" s="74"/>
      <c r="D998" s="74"/>
      <c r="AF998" s="74"/>
    </row>
    <row r="999">
      <c r="A999" s="74"/>
      <c r="B999" s="74"/>
      <c r="C999" s="74"/>
      <c r="D999" s="74"/>
      <c r="AF999" s="74"/>
    </row>
    <row r="1000">
      <c r="A1000" s="74"/>
      <c r="B1000" s="74"/>
      <c r="C1000" s="74"/>
      <c r="D1000" s="74"/>
      <c r="AF1000" s="74"/>
    </row>
    <row r="1001">
      <c r="A1001" s="74"/>
      <c r="B1001" s="74"/>
      <c r="C1001" s="74"/>
      <c r="D1001" s="74"/>
      <c r="AF1001" s="74"/>
    </row>
    <row r="1002">
      <c r="A1002" s="74"/>
      <c r="B1002" s="74"/>
      <c r="C1002" s="74"/>
      <c r="D1002" s="74"/>
      <c r="AF1002" s="74"/>
    </row>
    <row r="1003">
      <c r="A1003" s="74"/>
      <c r="B1003" s="74"/>
      <c r="C1003" s="74"/>
      <c r="D1003" s="74"/>
      <c r="AF1003" s="74"/>
    </row>
    <row r="1004">
      <c r="A1004" s="74"/>
      <c r="B1004" s="74"/>
      <c r="C1004" s="74"/>
      <c r="D1004" s="74"/>
      <c r="AF1004" s="74"/>
    </row>
    <row r="1005">
      <c r="A1005" s="74"/>
      <c r="B1005" s="74"/>
      <c r="C1005" s="74"/>
      <c r="D1005" s="74"/>
      <c r="AF1005" s="74"/>
    </row>
    <row r="1006">
      <c r="A1006" s="74"/>
      <c r="B1006" s="74"/>
      <c r="C1006" s="74"/>
      <c r="D1006" s="74"/>
      <c r="AF1006" s="74"/>
    </row>
    <row r="1007">
      <c r="A1007" s="74"/>
      <c r="B1007" s="74"/>
      <c r="C1007" s="74"/>
      <c r="D1007" s="74"/>
      <c r="AF1007" s="74"/>
    </row>
    <row r="1008">
      <c r="A1008" s="74"/>
      <c r="B1008" s="74"/>
      <c r="C1008" s="74"/>
      <c r="D1008" s="74"/>
      <c r="AF1008" s="74"/>
    </row>
    <row r="1009">
      <c r="A1009" s="74"/>
      <c r="B1009" s="74"/>
      <c r="C1009" s="74"/>
      <c r="D1009" s="74"/>
      <c r="AF1009" s="7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6" t="s">
        <v>252</v>
      </c>
      <c r="B1" s="69" t="s">
        <v>6</v>
      </c>
      <c r="C1" s="76" t="s">
        <v>270</v>
      </c>
      <c r="D1" s="77" t="s">
        <v>271</v>
      </c>
      <c r="E1" s="69" t="s">
        <v>275</v>
      </c>
      <c r="F1" s="32" t="s">
        <v>203</v>
      </c>
      <c r="G1" s="32" t="s">
        <v>204</v>
      </c>
      <c r="H1" s="32" t="s">
        <v>205</v>
      </c>
      <c r="I1" s="32" t="s">
        <v>208</v>
      </c>
      <c r="J1" s="69" t="s">
        <v>207</v>
      </c>
      <c r="K1" s="69" t="s">
        <v>206</v>
      </c>
      <c r="L1" s="69" t="s">
        <v>276</v>
      </c>
      <c r="M1" s="32" t="s">
        <v>225</v>
      </c>
      <c r="N1" s="32" t="s">
        <v>227</v>
      </c>
      <c r="O1" s="32" t="s">
        <v>228</v>
      </c>
      <c r="P1" s="32" t="s">
        <v>229</v>
      </c>
      <c r="Q1" s="32" t="s">
        <v>230</v>
      </c>
      <c r="R1" s="32" t="s">
        <v>231</v>
      </c>
      <c r="S1" s="32" t="s">
        <v>232</v>
      </c>
      <c r="T1" s="32" t="s">
        <v>233</v>
      </c>
      <c r="U1" s="32" t="s">
        <v>234</v>
      </c>
      <c r="V1" s="32" t="s">
        <v>235</v>
      </c>
      <c r="W1" s="32" t="s">
        <v>236</v>
      </c>
      <c r="X1" s="70" t="s">
        <v>239</v>
      </c>
      <c r="Y1" s="69" t="s">
        <v>273</v>
      </c>
      <c r="Z1" s="70" t="s">
        <v>240</v>
      </c>
      <c r="AA1" s="77" t="s">
        <v>243</v>
      </c>
    </row>
    <row r="2">
      <c r="A2" s="78">
        <v>1.0</v>
      </c>
      <c r="B2" s="51" t="s">
        <v>26</v>
      </c>
      <c r="C2" s="78">
        <v>1.0</v>
      </c>
      <c r="D2" s="3" t="str">
        <f t="array" ref="D2">XLOOKUP(B2, 'Surfer Stats - Event 4'!B:B, 'Surfer Stats - Event 4'!D:D)</f>
        <v>Regular</v>
      </c>
      <c r="E2" s="3">
        <f t="shared" ref="E2:E43" si="1">SUM(P2,S2,V2)</f>
        <v>15</v>
      </c>
      <c r="F2" s="10">
        <v>0.0</v>
      </c>
      <c r="G2" s="3">
        <f t="shared" ref="G2:G44" si="2">IF(H2="FIJ",1,0)</f>
        <v>0</v>
      </c>
      <c r="H2" s="10" t="s">
        <v>211</v>
      </c>
      <c r="I2" s="39">
        <v>5.0</v>
      </c>
      <c r="J2" s="10">
        <v>99.0</v>
      </c>
      <c r="K2" s="10">
        <v>5.0</v>
      </c>
      <c r="L2" s="10">
        <v>5.0</v>
      </c>
      <c r="M2" s="3">
        <f t="shared" ref="M2:M44" si="3">IF(E2=0,0, ROUND(SUM(O2,R2,U2)/E2,2))</f>
        <v>13.68</v>
      </c>
      <c r="N2" s="3">
        <f t="shared" ref="N2:N9" si="4">IF(P2=0,0,ROUND(O2/P2,2))</f>
        <v>12.66</v>
      </c>
      <c r="O2" s="3">
        <f>SUMIFS( '2014Data'!I:I, '2014Data'!F:F, B2,'2014Data'!B:B, "5" )</f>
        <v>63.31</v>
      </c>
      <c r="P2" s="3">
        <f>COUNTIFS('2014Data'!F:F, B2,'2014Data'!B:B, "5" )</f>
        <v>5</v>
      </c>
      <c r="Q2" s="3">
        <f t="shared" ref="Q2:Q9" si="5">IF(S2=0,0,ROUND(R2/S2,2))</f>
        <v>13.68</v>
      </c>
      <c r="R2" s="10">
        <v>68.38</v>
      </c>
      <c r="S2" s="10">
        <v>5.0</v>
      </c>
      <c r="T2" s="62">
        <f t="shared" ref="T2:T15" si="6">IF(U2=0,0,ROUND(U2/V2,2))</f>
        <v>14.69</v>
      </c>
      <c r="U2" s="3">
        <f>SUMIFS( historical_events_FACT!J:J, historical_events_FACT!G:G, B2,historical_events_FACT!B:B, "2016",historical_events_FACT!C:C, "5" )</f>
        <v>73.45</v>
      </c>
      <c r="V2" s="3">
        <f>COUNTIFS(historical_events_FACT!G:G, B2,historical_events_FACT!B:B, "2016",historical_events_FACT!C:C, "5" )</f>
        <v>5</v>
      </c>
      <c r="W2" s="3">
        <f>MAXIFS( historical_events_FACT!J:J, historical_events_FACT!G:G, B2,historical_events_FACT!C:C, "5" )</f>
        <v>18.76</v>
      </c>
      <c r="X2" s="97">
        <f t="array" ref="X2">ROUND(AVERAGEIF({ IFERROR(XLOOKUP(B2, 'Surfer Stats - Event 4'!B:B, 'Surfer Stats - Event 4'!AF:AF), ""), IFERROR(XLOOKUP(B2, 'Surfer Stats - Event 2'!B:B, 'Surfer Stats - Event 2'!AG:AG), ""), IFERROR(XLOOKUP(B2, 'Surfer Stats - Event 3'!B:B, 'Surfer Stats - Event 3'!AF:AF), "") }, "&lt;&gt;"),2)</f>
        <v>72.83</v>
      </c>
      <c r="Y2" s="3">
        <f t="array" ref="Y2">XLOOKUP(B2, 'Surfer Stats - Event 4'!B:B, 'Surfer Stats - Event 4'!AF:AF)</f>
        <v>24.83</v>
      </c>
      <c r="Z2" s="75">
        <f>23000+1750</f>
        <v>24750</v>
      </c>
      <c r="AA2" s="10">
        <f t="array" ref="AA2">XLOOKUP(B2, 'Post-Event_5'!C:C, 'Post-Event_5'!G:G)</f>
        <v>28.17</v>
      </c>
    </row>
    <row r="3">
      <c r="A3" s="78">
        <v>1.0</v>
      </c>
      <c r="B3" s="51" t="s">
        <v>28</v>
      </c>
      <c r="C3" s="78">
        <v>1.0</v>
      </c>
      <c r="D3" s="3" t="str">
        <f t="array" ref="D3">XLOOKUP(B3, 'Surfer Stats - Event 4'!B:B, 'Surfer Stats - Event 4'!D:D)</f>
        <v>Regular</v>
      </c>
      <c r="E3" s="3">
        <f t="shared" si="1"/>
        <v>6</v>
      </c>
      <c r="F3" s="10">
        <v>0.0</v>
      </c>
      <c r="G3" s="3">
        <f t="shared" si="2"/>
        <v>0</v>
      </c>
      <c r="H3" s="35" t="s">
        <v>212</v>
      </c>
      <c r="I3" s="39">
        <v>13.0</v>
      </c>
      <c r="J3" s="10">
        <v>99.0</v>
      </c>
      <c r="K3" s="10">
        <v>13.0</v>
      </c>
      <c r="L3" s="3">
        <f>COUNTIFS( historical_events_FACT!J:J, "&gt;16", historical_events_FACT!G:G, B3,historical_events_FACT!C:C, "5" )</f>
        <v>1</v>
      </c>
      <c r="M3" s="3">
        <f t="shared" si="3"/>
        <v>14.47</v>
      </c>
      <c r="N3" s="3">
        <f t="shared" si="4"/>
        <v>14.78</v>
      </c>
      <c r="O3" s="3">
        <f>SUMIFS( '2014Data'!I:I, '2014Data'!F:F, B3,'2014Data'!B:B, "5" )</f>
        <v>29.56</v>
      </c>
      <c r="P3" s="3">
        <f>COUNTIFS('2014Data'!F:F, B3,'2014Data'!B:B, "5" )</f>
        <v>2</v>
      </c>
      <c r="Q3" s="3">
        <f t="shared" si="5"/>
        <v>14.48</v>
      </c>
      <c r="R3" s="10">
        <v>28.95</v>
      </c>
      <c r="S3" s="10">
        <v>2.0</v>
      </c>
      <c r="T3" s="62">
        <f t="shared" si="6"/>
        <v>14.17</v>
      </c>
      <c r="U3" s="3">
        <f>SUMIFS( historical_events_FACT!J:J, historical_events_FACT!G:G, B3,historical_events_FACT!B:B, "2016",historical_events_FACT!C:C, "5" )</f>
        <v>28.33</v>
      </c>
      <c r="V3" s="3">
        <f>COUNTIFS(historical_events_FACT!G:G, B3,historical_events_FACT!B:B, "2016",historical_events_FACT!C:C, "5" )</f>
        <v>2</v>
      </c>
      <c r="W3" s="3">
        <f>MAXIFS( historical_events_FACT!J:J, historical_events_FACT!G:G, B3,historical_events_FACT!C:C, "5" )</f>
        <v>16.67</v>
      </c>
      <c r="X3" s="97">
        <f t="array" ref="X3">ROUND(AVERAGEIF({ IFERROR(XLOOKUP(B3, 'Surfer Stats - Event 4'!B:B, 'Surfer Stats - Event 4'!AF:AF), ""), IFERROR(XLOOKUP(B3, 'Surfer Stats - Event 2'!B:B, 'Surfer Stats - Event 2'!AG:AG), ""), IFERROR(XLOOKUP(B3, 'Surfer Stats - Event 3'!B:B, 'Surfer Stats - Event 3'!AF:AF), "") }, "&lt;&gt;"),2)</f>
        <v>85.9</v>
      </c>
      <c r="Y3" s="3">
        <f t="array" ref="Y3">XLOOKUP(B3, 'Surfer Stats - Event 4'!B:B, 'Surfer Stats - Event 4'!AF:AF)</f>
        <v>70.51</v>
      </c>
      <c r="Z3" s="75">
        <f>19200+5200</f>
        <v>24400</v>
      </c>
      <c r="AA3" s="10">
        <f t="array" ref="AA3">XLOOKUP(B3, 'Post-Event_5'!C:C, 'Post-Event_5'!G:G)</f>
        <v>23.89</v>
      </c>
    </row>
    <row r="4">
      <c r="A4" s="78">
        <v>1.0</v>
      </c>
      <c r="B4" s="51" t="s">
        <v>57</v>
      </c>
      <c r="C4" s="78">
        <v>1.0</v>
      </c>
      <c r="D4" s="3" t="str">
        <f t="array" ref="D4">XLOOKUP(B4, 'Surfer Stats - Event 4'!B:B, 'Surfer Stats - Event 4'!D:D)</f>
        <v>Goofy</v>
      </c>
      <c r="E4" s="3">
        <f t="shared" si="1"/>
        <v>18</v>
      </c>
      <c r="F4" s="10">
        <v>0.0</v>
      </c>
      <c r="G4" s="3">
        <f t="shared" si="2"/>
        <v>0</v>
      </c>
      <c r="H4" s="39" t="s">
        <v>215</v>
      </c>
      <c r="I4" s="39">
        <v>9.0</v>
      </c>
      <c r="J4" s="10">
        <v>1.0</v>
      </c>
      <c r="K4" s="10">
        <v>99.0</v>
      </c>
      <c r="L4" s="3">
        <f>COUNTIFS( historical_events_FACT!J:J, "&gt;16", historical_events_FACT!G:G, B4,historical_events_FACT!C:C, "5" )</f>
        <v>7</v>
      </c>
      <c r="M4" s="3">
        <f t="shared" si="3"/>
        <v>15.47</v>
      </c>
      <c r="N4" s="3">
        <f t="shared" si="4"/>
        <v>13.72</v>
      </c>
      <c r="O4" s="3">
        <f>SUMIFS( '2014Data'!I:I, '2014Data'!F:F, B4,'2014Data'!B:B, "5" )</f>
        <v>54.86</v>
      </c>
      <c r="P4" s="3">
        <f>COUNTIFS('2014Data'!F:F, B4,'2014Data'!B:B, "5" )</f>
        <v>4</v>
      </c>
      <c r="Q4" s="3">
        <f t="shared" si="5"/>
        <v>16.35</v>
      </c>
      <c r="R4" s="3">
        <f>SUMIFS( historical_events_FACT!J:J, historical_events_FACT!G:G, B4,historical_events_FACT!B:B, "2015",historical_events_FACT!C:C, "5" )</f>
        <v>130.82</v>
      </c>
      <c r="S4" s="3">
        <f>COUNTIFS(historical_events_FACT!G:G, B4,historical_events_FACT!B:B, "2015",historical_events_FACT!C:C, "5" )</f>
        <v>8</v>
      </c>
      <c r="T4" s="62">
        <f t="shared" si="6"/>
        <v>15.47</v>
      </c>
      <c r="U4" s="10">
        <v>92.84</v>
      </c>
      <c r="V4" s="10">
        <v>6.0</v>
      </c>
      <c r="W4" s="3">
        <f>MAXIFS( historical_events_FACT!J:J, historical_events_FACT!G:G, B4,historical_events_FACT!C:C, "5" )</f>
        <v>20</v>
      </c>
      <c r="X4" s="97">
        <f t="array" ref="X4">ROUND(AVERAGEIF({ IFERROR(XLOOKUP(B4, 'Surfer Stats - Event 4'!B:B, 'Surfer Stats - Event 4'!AF:AF), ""), IFERROR(XLOOKUP(B4, 'Surfer Stats - Event 2'!B:B, 'Surfer Stats - Event 2'!AG:AG), ""), IFERROR(XLOOKUP(B4, 'Surfer Stats - Event 3'!B:B, 'Surfer Stats - Event 3'!AF:AF), "") }, "&lt;&gt;"),2)</f>
        <v>66.81</v>
      </c>
      <c r="Y4" s="3">
        <f t="array" ref="Y4">XLOOKUP(B4, 'Surfer Stats - Event 4'!B:B, 'Surfer Stats - Event 4'!AF:AF)</f>
        <v>78.9</v>
      </c>
      <c r="Z4" s="75">
        <f>19200++5200</f>
        <v>24400</v>
      </c>
      <c r="AA4" s="10">
        <f t="array" ref="AA4">XLOOKUP(B4, 'Post-Event_5'!C:C, 'Post-Event_5'!G:G)</f>
        <v>29.26</v>
      </c>
    </row>
    <row r="5">
      <c r="A5" s="78">
        <v>1.0</v>
      </c>
      <c r="B5" s="51" t="s">
        <v>42</v>
      </c>
      <c r="C5" s="78">
        <v>1.0</v>
      </c>
      <c r="D5" s="3" t="str">
        <f t="array" ref="D5">XLOOKUP(B5, 'Surfer Stats - Event 4'!B:B, 'Surfer Stats - Event 4'!D:D)</f>
        <v>Regular</v>
      </c>
      <c r="E5" s="3">
        <f t="shared" si="1"/>
        <v>13</v>
      </c>
      <c r="F5" s="10">
        <v>0.0</v>
      </c>
      <c r="G5" s="3">
        <f t="shared" si="2"/>
        <v>0</v>
      </c>
      <c r="H5" s="39" t="s">
        <v>213</v>
      </c>
      <c r="I5" s="39">
        <v>5.0</v>
      </c>
      <c r="J5" s="10">
        <v>13.0</v>
      </c>
      <c r="K5" s="10">
        <v>5.0</v>
      </c>
      <c r="L5" s="3">
        <f>COUNTIFS( historical_events_FACT!J:J, "&gt;16", historical_events_FACT!G:G, B5,historical_events_FACT!C:C, "5" )</f>
        <v>2</v>
      </c>
      <c r="M5" s="3">
        <f t="shared" si="3"/>
        <v>13.01</v>
      </c>
      <c r="N5" s="3">
        <f t="shared" si="4"/>
        <v>14.88</v>
      </c>
      <c r="O5" s="3">
        <f>SUMIFS( '2014Data'!I:I, '2014Data'!F:F, B5,'2014Data'!B:B, "5" )</f>
        <v>74.41</v>
      </c>
      <c r="P5" s="3">
        <f>COUNTIFS('2014Data'!F:F, B5,'2014Data'!B:B, "5" )</f>
        <v>5</v>
      </c>
      <c r="Q5" s="3">
        <f t="shared" si="5"/>
        <v>12</v>
      </c>
      <c r="R5" s="3">
        <f>SUMIFS( historical_events_FACT!J:J, historical_events_FACT!G:G, B5,historical_events_FACT!B:B, "2015",historical_events_FACT!C:C, "5" )</f>
        <v>36</v>
      </c>
      <c r="S5" s="3">
        <f>COUNTIFS(historical_events_FACT!G:G, B5,historical_events_FACT!B:B, "2015",historical_events_FACT!C:C, "5" )</f>
        <v>3</v>
      </c>
      <c r="T5" s="62">
        <f t="shared" si="6"/>
        <v>11.75</v>
      </c>
      <c r="U5" s="3">
        <f>SUMIFS( historical_events_FACT!J:J, historical_events_FACT!G:G, B5,historical_events_FACT!B:B, "2016",historical_events_FACT!C:C, "5" )</f>
        <v>58.77</v>
      </c>
      <c r="V5" s="3">
        <f>COUNTIFS(historical_events_FACT!G:G, B5,historical_events_FACT!B:B, "2016",historical_events_FACT!C:C, "5" )</f>
        <v>5</v>
      </c>
      <c r="W5" s="3">
        <f>MAXIFS( historical_events_FACT!J:J, historical_events_FACT!G:G, B5,historical_events_FACT!C:C, "5" )</f>
        <v>18.63</v>
      </c>
      <c r="X5" s="97">
        <f t="array" ref="X5">ROUND(AVERAGEIF({ IFERROR(XLOOKUP(B5, 'Surfer Stats - Event 4'!B:B, 'Surfer Stats - Event 4'!AF:AF), ""), IFERROR(XLOOKUP(B5, 'Surfer Stats - Event 2'!B:B, 'Surfer Stats - Event 2'!AG:AG), ""), IFERROR(XLOOKUP(B5, 'Surfer Stats - Event 3'!B:B, 'Surfer Stats - Event 3'!AF:AF), "") }, "&lt;&gt;"),2)</f>
        <v>81.62</v>
      </c>
      <c r="Y5" s="3">
        <f t="array" ref="Y5">XLOOKUP(B5, 'Surfer Stats - Event 4'!B:B, 'Surfer Stats - Event 4'!AF:AF)</f>
        <v>99.3</v>
      </c>
      <c r="Z5" s="75">
        <f>14400+10000</f>
        <v>24400</v>
      </c>
      <c r="AA5" s="10">
        <f t="array" ref="AA5">XLOOKUP(B5, 'Post-Event_5'!C:C, 'Post-Event_5'!G:G)</f>
        <v>25.16</v>
      </c>
    </row>
    <row r="6">
      <c r="A6" s="78">
        <v>1.0</v>
      </c>
      <c r="B6" s="51" t="s">
        <v>34</v>
      </c>
      <c r="C6" s="78">
        <v>1.0</v>
      </c>
      <c r="D6" s="3" t="str">
        <f t="array" ref="D6">XLOOKUP(B6, 'Surfer Stats - Event 4'!B:B, 'Surfer Stats - Event 4'!D:D)</f>
        <v>Goofy</v>
      </c>
      <c r="E6" s="3">
        <f t="shared" si="1"/>
        <v>11</v>
      </c>
      <c r="F6" s="10">
        <v>0.0</v>
      </c>
      <c r="G6" s="3">
        <f t="shared" si="2"/>
        <v>0</v>
      </c>
      <c r="H6" s="35" t="s">
        <v>215</v>
      </c>
      <c r="I6" s="39">
        <v>25.0</v>
      </c>
      <c r="J6" s="10">
        <v>25.0</v>
      </c>
      <c r="K6" s="10">
        <v>2.0</v>
      </c>
      <c r="L6" s="3">
        <f>COUNTIFS( historical_events_FACT!J:J, "&gt;16", historical_events_FACT!G:G, B6,historical_events_FACT!C:C, "5" )</f>
        <v>1</v>
      </c>
      <c r="M6" s="3">
        <f t="shared" si="3"/>
        <v>11.85</v>
      </c>
      <c r="N6" s="3">
        <f t="shared" si="4"/>
        <v>10.55</v>
      </c>
      <c r="O6" s="3">
        <f>SUMIFS( '2014Data'!I:I, '2014Data'!F:F, B6,'2014Data'!B:B, "5" )</f>
        <v>21.1</v>
      </c>
      <c r="P6" s="3">
        <f>COUNTIFS('2014Data'!F:F, B6,'2014Data'!B:B, "5" )</f>
        <v>2</v>
      </c>
      <c r="Q6" s="3">
        <f t="shared" si="5"/>
        <v>9.42</v>
      </c>
      <c r="R6" s="3">
        <f>SUMIFS( historical_events_FACT!J:J, historical_events_FACT!G:G, B6,historical_events_FACT!B:B, "2015",historical_events_FACT!C:C, "5" )</f>
        <v>18.83</v>
      </c>
      <c r="S6" s="3">
        <f>COUNTIFS(historical_events_FACT!G:G, B6,historical_events_FACT!B:B, "2015",historical_events_FACT!C:C, "5" )</f>
        <v>2</v>
      </c>
      <c r="T6" s="62">
        <f t="shared" si="6"/>
        <v>12.92</v>
      </c>
      <c r="U6" s="3">
        <f>SUMIFS( historical_events_FACT!J:J, historical_events_FACT!G:G, B6,historical_events_FACT!B:B, "2016",historical_events_FACT!C:C, "5" )</f>
        <v>90.45</v>
      </c>
      <c r="V6" s="3">
        <f>COUNTIFS(historical_events_FACT!G:G, B6,historical_events_FACT!B:B, "2016",historical_events_FACT!C:C, "5" )</f>
        <v>7</v>
      </c>
      <c r="W6" s="3">
        <f>MAXIFS( historical_events_FACT!J:J, historical_events_FACT!G:G, B6,historical_events_FACT!C:C, "5" )</f>
        <v>16.56</v>
      </c>
      <c r="X6" s="97">
        <f t="array" ref="X6">ROUND(AVERAGEIF({ IFERROR(XLOOKUP(B6, 'Surfer Stats - Event 4'!B:B, 'Surfer Stats - Event 4'!AF:AF), ""), IFERROR(XLOOKUP(B6, 'Surfer Stats - Event 2'!B:B, 'Surfer Stats - Event 2'!AG:AG), ""), IFERROR(XLOOKUP(B6, 'Surfer Stats - Event 3'!B:B, 'Surfer Stats - Event 3'!AF:AF), "") }, "&lt;&gt;"),2)</f>
        <v>42.24</v>
      </c>
      <c r="Y6" s="3">
        <f t="array" ref="Y6">XLOOKUP(B6, 'Surfer Stats - Event 4'!B:B, 'Surfer Stats - Event 4'!AF:AF)</f>
        <v>86.05</v>
      </c>
      <c r="Z6" s="75">
        <f>10250+6500</f>
        <v>16750</v>
      </c>
      <c r="AA6" s="10">
        <f t="array" ref="AA6">XLOOKUP(B6, 'Post-Event_5'!C:C, 'Post-Event_5'!G:G)</f>
        <v>91.44</v>
      </c>
    </row>
    <row r="7">
      <c r="A7" s="78">
        <v>1.0</v>
      </c>
      <c r="B7" s="51" t="s">
        <v>39</v>
      </c>
      <c r="C7" s="78">
        <v>1.0</v>
      </c>
      <c r="D7" s="3" t="str">
        <f t="array" ref="D7">XLOOKUP(B7, 'Surfer Stats - Event 4'!B:B, 'Surfer Stats - Event 4'!D:D)</f>
        <v>Regular</v>
      </c>
      <c r="E7" s="3">
        <f t="shared" si="1"/>
        <v>14</v>
      </c>
      <c r="F7" s="10">
        <v>0.0</v>
      </c>
      <c r="G7" s="3">
        <f t="shared" si="2"/>
        <v>0</v>
      </c>
      <c r="H7" s="39" t="s">
        <v>215</v>
      </c>
      <c r="I7" s="39">
        <v>9.0</v>
      </c>
      <c r="J7" s="10">
        <v>5.0</v>
      </c>
      <c r="K7" s="10">
        <v>99.0</v>
      </c>
      <c r="L7" s="3">
        <f>COUNTIFS( historical_events_FACT!J:J, "&gt;16", historical_events_FACT!G:G, B7,historical_events_FACT!C:C, "5" )</f>
        <v>2</v>
      </c>
      <c r="M7" s="3">
        <f t="shared" si="3"/>
        <v>13.48</v>
      </c>
      <c r="N7" s="3">
        <f t="shared" si="4"/>
        <v>11.95</v>
      </c>
      <c r="O7" s="3">
        <f>SUMIFS( '2014Data'!I:I, '2014Data'!F:F, B7,'2014Data'!B:B, "5" )</f>
        <v>47.79</v>
      </c>
      <c r="P7" s="3">
        <f>COUNTIFS('2014Data'!F:F, B7,'2014Data'!B:B, "5" )</f>
        <v>4</v>
      </c>
      <c r="Q7" s="3">
        <f t="shared" si="5"/>
        <v>15.61</v>
      </c>
      <c r="R7" s="3">
        <f>SUMIFS( historical_events_FACT!J:J, historical_events_FACT!G:G, B7,historical_events_FACT!B:B, "2015",historical_events_FACT!C:C, "5" )</f>
        <v>78.04</v>
      </c>
      <c r="S7" s="3">
        <f>COUNTIFS(historical_events_FACT!G:G, B7,historical_events_FACT!B:B, "2015",historical_events_FACT!C:C, "5" )</f>
        <v>5</v>
      </c>
      <c r="T7" s="62">
        <f t="shared" si="6"/>
        <v>12.58</v>
      </c>
      <c r="U7" s="10">
        <v>62.92</v>
      </c>
      <c r="V7" s="10">
        <v>5.0</v>
      </c>
      <c r="W7" s="3">
        <f>MAXIFS( historical_events_FACT!J:J, historical_events_FACT!G:G, B7,historical_events_FACT!C:C, "5" )</f>
        <v>18.93</v>
      </c>
      <c r="X7" s="97">
        <f t="array" ref="X7">ROUND(AVERAGEIF({ IFERROR(XLOOKUP(B7, 'Surfer Stats - Event 4'!B:B, 'Surfer Stats - Event 4'!AF:AF), ""), IFERROR(XLOOKUP(B7, 'Surfer Stats - Event 2'!B:B, 'Surfer Stats - Event 2'!AG:AG), ""), IFERROR(XLOOKUP(B7, 'Surfer Stats - Event 3'!B:B, 'Surfer Stats - Event 3'!AF:AF), "") }, "&lt;&gt;"),2)</f>
        <v>59.56</v>
      </c>
      <c r="Y7" s="3">
        <f t="array" ref="Y7">XLOOKUP(B7, 'Surfer Stats - Event 4'!B:B, 'Surfer Stats - Event 4'!AF:AF)</f>
        <v>71.17</v>
      </c>
      <c r="Z7" s="75">
        <f>10950+5200</f>
        <v>16150</v>
      </c>
      <c r="AA7" s="10">
        <f t="array" ref="AA7">XLOOKUP(B7, 'Post-Event_5'!C:C, 'Post-Event_5'!G:G)</f>
        <v>79.99</v>
      </c>
    </row>
    <row r="8">
      <c r="A8" s="78">
        <v>1.0</v>
      </c>
      <c r="B8" s="51" t="s">
        <v>32</v>
      </c>
      <c r="C8" s="78">
        <v>1.0</v>
      </c>
      <c r="D8" s="3" t="str">
        <f t="array" ref="D8">XLOOKUP(B8, 'Surfer Stats - Event 4'!B:B, 'Surfer Stats - Event 4'!D:D)</f>
        <v>Regular</v>
      </c>
      <c r="E8" s="3">
        <f t="shared" si="1"/>
        <v>11</v>
      </c>
      <c r="F8" s="10">
        <v>0.0</v>
      </c>
      <c r="G8" s="3">
        <f t="shared" si="2"/>
        <v>0</v>
      </c>
      <c r="H8" s="39" t="s">
        <v>214</v>
      </c>
      <c r="I8" s="39">
        <v>3.0</v>
      </c>
      <c r="J8" s="10">
        <v>13.0</v>
      </c>
      <c r="K8" s="10">
        <v>25.0</v>
      </c>
      <c r="L8" s="3">
        <f>COUNTIFS( historical_events_FACT!J:J, "&gt;16", historical_events_FACT!G:G, B8,historical_events_FACT!C:C, "5" )</f>
        <v>2</v>
      </c>
      <c r="M8" s="3">
        <f t="shared" si="3"/>
        <v>13.68</v>
      </c>
      <c r="N8" s="3">
        <f t="shared" si="4"/>
        <v>13.04</v>
      </c>
      <c r="O8" s="3">
        <f>SUMIFS( '2014Data'!I:I, '2014Data'!F:F, B8,'2014Data'!B:B, "5" )</f>
        <v>78.24</v>
      </c>
      <c r="P8" s="3">
        <f>COUNTIFS('2014Data'!F:F, B8,'2014Data'!B:B, "5" )</f>
        <v>6</v>
      </c>
      <c r="Q8" s="3">
        <f t="shared" si="5"/>
        <v>13.86</v>
      </c>
      <c r="R8" s="3">
        <f>SUMIFS( historical_events_FACT!J:J, historical_events_FACT!G:G, B8,historical_events_FACT!B:B, "2015",historical_events_FACT!C:C, "5" )</f>
        <v>41.58</v>
      </c>
      <c r="S8" s="3">
        <f>COUNTIFS(historical_events_FACT!G:G, B8,historical_events_FACT!B:B, "2015",historical_events_FACT!C:C, "5" )</f>
        <v>3</v>
      </c>
      <c r="T8" s="62">
        <f t="shared" si="6"/>
        <v>15.32</v>
      </c>
      <c r="U8" s="3">
        <f>SUMIFS( historical_events_FACT!J:J, historical_events_FACT!G:G, B8,historical_events_FACT!B:B, "2016",historical_events_FACT!C:C, "5" )</f>
        <v>30.64</v>
      </c>
      <c r="V8" s="3">
        <f>COUNTIFS(historical_events_FACT!G:G, B8,historical_events_FACT!B:B, "2016",historical_events_FACT!C:C, "5" )</f>
        <v>2</v>
      </c>
      <c r="W8" s="3">
        <f>MAXIFS( historical_events_FACT!J:J, historical_events_FACT!G:G, B8,historical_events_FACT!C:C, "5" )</f>
        <v>18.36</v>
      </c>
      <c r="X8" s="97">
        <f t="array" ref="X8">ROUND(AVERAGEIF({ IFERROR(XLOOKUP(B8, 'Surfer Stats - Event 4'!B:B, 'Surfer Stats - Event 4'!AF:AF), ""), IFERROR(XLOOKUP(B8, 'Surfer Stats - Event 2'!B:B, 'Surfer Stats - Event 2'!AG:AG), ""), IFERROR(XLOOKUP(B8, 'Surfer Stats - Event 3'!B:B, 'Surfer Stats - Event 3'!AF:AF), "") }, "&lt;&gt;"),2)</f>
        <v>46.22</v>
      </c>
      <c r="Y8" s="3">
        <f t="array" ref="Y8">XLOOKUP(B8, 'Surfer Stats - Event 4'!B:B, 'Surfer Stats - Event 4'!AF:AF)</f>
        <v>25.07</v>
      </c>
      <c r="Z8" s="75">
        <f>13750+500</f>
        <v>14250</v>
      </c>
      <c r="AA8" s="10">
        <f t="array" ref="AA8">XLOOKUP(B8, 'Post-Event_5'!C:C, 'Post-Event_5'!G:G)</f>
        <v>36.4</v>
      </c>
    </row>
    <row r="9">
      <c r="A9" s="64">
        <v>0.0</v>
      </c>
      <c r="B9" s="90" t="s">
        <v>33</v>
      </c>
      <c r="C9" s="78">
        <v>1.0</v>
      </c>
      <c r="D9" s="3" t="str">
        <f t="array" ref="D9">XLOOKUP(B9, 'Surfer Stats - Event 4'!B:B, 'Surfer Stats - Event 4'!D:D)</f>
        <v>Regular</v>
      </c>
      <c r="E9" s="3">
        <f t="shared" si="1"/>
        <v>10</v>
      </c>
      <c r="F9" s="10">
        <v>0.0</v>
      </c>
      <c r="G9" s="3">
        <f t="shared" si="2"/>
        <v>0</v>
      </c>
      <c r="H9" s="39" t="s">
        <v>213</v>
      </c>
      <c r="I9" s="39">
        <v>9.0</v>
      </c>
      <c r="J9" s="10">
        <v>13.0</v>
      </c>
      <c r="K9" s="10">
        <v>13.0</v>
      </c>
      <c r="L9" s="3">
        <f>COUNTIFS( historical_events_FACT!J:J, "&gt;16", historical_events_FACT!G:G, B9,historical_events_FACT!C:C, "5" )</f>
        <v>0</v>
      </c>
      <c r="M9" s="3">
        <f t="shared" si="3"/>
        <v>11.13</v>
      </c>
      <c r="N9" s="3">
        <f t="shared" si="4"/>
        <v>12.18</v>
      </c>
      <c r="O9" s="3">
        <f>SUMIFS( '2014Data'!I:I, '2014Data'!F:F, B9,'2014Data'!B:B, "5" )</f>
        <v>60.9</v>
      </c>
      <c r="P9" s="3">
        <f>COUNTIFS('2014Data'!F:F, B9,'2014Data'!B:B, "5" )</f>
        <v>5</v>
      </c>
      <c r="Q9" s="3">
        <f t="shared" si="5"/>
        <v>10.06</v>
      </c>
      <c r="R9" s="3">
        <f>SUMIFS( historical_events_FACT!J:J, historical_events_FACT!G:G, B9,historical_events_FACT!B:B, "2015",historical_events_FACT!C:C, "5" )</f>
        <v>30.17</v>
      </c>
      <c r="S9" s="3">
        <f>COUNTIFS(historical_events_FACT!G:G, B9,historical_events_FACT!B:B, "2015",historical_events_FACT!C:C, "5" )</f>
        <v>3</v>
      </c>
      <c r="T9" s="62">
        <f t="shared" si="6"/>
        <v>10.13</v>
      </c>
      <c r="U9" s="3">
        <f>SUMIFS( historical_events_FACT!J:J, historical_events_FACT!G:G, B9,historical_events_FACT!B:B, "2016",historical_events_FACT!C:C, "5" )</f>
        <v>20.26</v>
      </c>
      <c r="V9" s="3">
        <f>COUNTIFS(historical_events_FACT!G:G, B9,historical_events_FACT!B:B, "2016",historical_events_FACT!C:C, "5" )</f>
        <v>2</v>
      </c>
      <c r="W9" s="3">
        <f>MAXIFS( historical_events_FACT!J:J, historical_events_FACT!G:G, B9,historical_events_FACT!C:C, "5" )</f>
        <v>14.77</v>
      </c>
      <c r="X9" s="97">
        <f t="array" ref="X9">ROUND(AVERAGEIF({ IFERROR(XLOOKUP(B9, 'Surfer Stats - Event 4'!B:B, 'Surfer Stats - Event 4'!AF:AF), ""), IFERROR(XLOOKUP(B9, 'Surfer Stats - Event 2'!B:B, 'Surfer Stats - Event 2'!AG:AG), ""), IFERROR(XLOOKUP(B9, 'Surfer Stats - Event 3'!B:B, 'Surfer Stats - Event 3'!AF:AF), "") }, "&lt;&gt;"),2)</f>
        <v>66.82</v>
      </c>
      <c r="Y9" s="3">
        <f t="array" ref="Y9">XLOOKUP(B9, 'Surfer Stats - Event 4'!B:B, 'Surfer Stats - Event 4'!AF:AF)</f>
        <v>27.99</v>
      </c>
      <c r="Z9" s="83">
        <f>12200+1750</f>
        <v>13950</v>
      </c>
      <c r="AA9" s="10">
        <v>0.0</v>
      </c>
    </row>
    <row r="10">
      <c r="A10" s="64">
        <v>0.0</v>
      </c>
      <c r="B10" s="90" t="s">
        <v>40</v>
      </c>
      <c r="C10" s="78">
        <v>2.0</v>
      </c>
      <c r="D10" s="3" t="str">
        <f t="array" ref="D10">XLOOKUP(B10, 'Surfer Stats - Event 4'!B:B, 'Surfer Stats - Event 4'!D:D)</f>
        <v>Regular</v>
      </c>
      <c r="E10" s="3">
        <f t="shared" si="1"/>
        <v>7</v>
      </c>
      <c r="F10" s="10">
        <v>0.0</v>
      </c>
      <c r="G10" s="3">
        <f t="shared" si="2"/>
        <v>0</v>
      </c>
      <c r="H10" s="39" t="s">
        <v>213</v>
      </c>
      <c r="I10" s="39">
        <v>99.0</v>
      </c>
      <c r="J10" s="10">
        <v>99.0</v>
      </c>
      <c r="K10" s="10">
        <v>25.0</v>
      </c>
      <c r="L10" s="3">
        <f>COUNTIFS( historical_events_FACT!J:J, "&gt;16", historical_events_FACT!G:G, B10,historical_events_FACT!C:C, "5" )</f>
        <v>0</v>
      </c>
      <c r="M10" s="3">
        <f t="shared" si="3"/>
        <v>11.22</v>
      </c>
      <c r="N10" s="10">
        <v>10.6</v>
      </c>
      <c r="O10" s="3">
        <f>N10*P10</f>
        <v>21.2</v>
      </c>
      <c r="P10" s="10">
        <v>2.0</v>
      </c>
      <c r="Q10" s="10">
        <v>11.9</v>
      </c>
      <c r="R10" s="3">
        <f>Q10*S10</f>
        <v>35.7</v>
      </c>
      <c r="S10" s="10">
        <v>3.0</v>
      </c>
      <c r="T10" s="62">
        <f t="shared" si="6"/>
        <v>10.82</v>
      </c>
      <c r="U10" s="3">
        <f>SUMIFS( historical_events_FACT!J:J, historical_events_FACT!G:G, B10,historical_events_FACT!B:B, "2016",historical_events_FACT!C:C, "5" )</f>
        <v>21.63</v>
      </c>
      <c r="V10" s="3">
        <f>COUNTIFS(historical_events_FACT!G:G, B10,historical_events_FACT!B:B, "2016",historical_events_FACT!C:C, "5" )</f>
        <v>2</v>
      </c>
      <c r="W10" s="3">
        <f>MAXIFS( historical_events_FACT!J:J, historical_events_FACT!G:G, B10,historical_events_FACT!C:C, "5" )</f>
        <v>13.03</v>
      </c>
      <c r="X10" s="97">
        <f t="array" ref="X10">ROUND(AVERAGEIF({ IFERROR(XLOOKUP(B10, 'Surfer Stats - Event 4'!B:B, 'Surfer Stats - Event 4'!AF:AF), ""), IFERROR(XLOOKUP(B10, 'Surfer Stats - Event 2'!B:B, 'Surfer Stats - Event 2'!AG:AG), ""), IFERROR(XLOOKUP(B10, 'Surfer Stats - Event 3'!B:B, 'Surfer Stats - Event 3'!AF:AF), "") }, "&lt;&gt;"),2)</f>
        <v>55.65</v>
      </c>
      <c r="Y10" s="3">
        <f t="array" ref="Y10">XLOOKUP(B10, 'Surfer Stats - Event 4'!B:B, 'Surfer Stats - Event 4'!AF:AF)</f>
        <v>31.2</v>
      </c>
      <c r="Z10" s="83">
        <f>11500+1750</f>
        <v>13250</v>
      </c>
      <c r="AA10" s="10">
        <v>0.0</v>
      </c>
    </row>
    <row r="11">
      <c r="A11" s="78">
        <v>1.0</v>
      </c>
      <c r="B11" s="51" t="s">
        <v>30</v>
      </c>
      <c r="C11" s="78">
        <v>1.0</v>
      </c>
      <c r="D11" s="3" t="str">
        <f t="array" ref="D11">XLOOKUP(B11, 'Surfer Stats - Event 4'!B:B, 'Surfer Stats - Event 4'!D:D)</f>
        <v>Goofy</v>
      </c>
      <c r="E11" s="3">
        <f t="shared" si="1"/>
        <v>15</v>
      </c>
      <c r="F11" s="10">
        <v>0.0</v>
      </c>
      <c r="G11" s="3">
        <f t="shared" si="2"/>
        <v>0</v>
      </c>
      <c r="H11" s="35" t="s">
        <v>213</v>
      </c>
      <c r="I11" s="39">
        <v>1.0</v>
      </c>
      <c r="J11" s="10">
        <v>13.0</v>
      </c>
      <c r="K11" s="10">
        <v>1.0</v>
      </c>
      <c r="L11" s="3">
        <f>COUNTIFS( historical_events_FACT!J:J, "&gt;16", historical_events_FACT!G:G, B11,historical_events_FACT!C:C, "5" )</f>
        <v>3</v>
      </c>
      <c r="M11" s="3">
        <f t="shared" si="3"/>
        <v>14.91</v>
      </c>
      <c r="N11" s="3">
        <f t="shared" ref="N11:N15" si="7">IF(P11=0,0,ROUND(O11/P11,2))</f>
        <v>15.73</v>
      </c>
      <c r="O11" s="3">
        <f>SUMIFS( '2014Data'!I:I, '2014Data'!F:F, B11,'2014Data'!B:B, "5" )</f>
        <v>94.37</v>
      </c>
      <c r="P11" s="3">
        <f>COUNTIFS('2014Data'!F:F, B11,'2014Data'!B:B, "5" )</f>
        <v>6</v>
      </c>
      <c r="Q11" s="3">
        <f t="shared" ref="Q11:Q15" si="8">IF(S11=0,0,ROUND(R11/S11,2))</f>
        <v>15.45</v>
      </c>
      <c r="R11" s="3">
        <f>SUMIFS( historical_events_FACT!J:J, historical_events_FACT!G:G, B11,historical_events_FACT!B:B, "2015",historical_events_FACT!C:C, "5" )</f>
        <v>30.9</v>
      </c>
      <c r="S11" s="3">
        <f>COUNTIFS(historical_events_FACT!G:G, B11,historical_events_FACT!B:B, "2015",historical_events_FACT!C:C, "5" )</f>
        <v>2</v>
      </c>
      <c r="T11" s="62">
        <f t="shared" si="6"/>
        <v>14.06</v>
      </c>
      <c r="U11" s="3">
        <f>SUMIFS( historical_events_FACT!J:J, historical_events_FACT!G:G, B11,historical_events_FACT!B:B, "2016",historical_events_FACT!C:C, "5" )</f>
        <v>98.43</v>
      </c>
      <c r="V11" s="3">
        <f>COUNTIFS(historical_events_FACT!G:G, B11,historical_events_FACT!B:B, "2016",historical_events_FACT!C:C, "5" )</f>
        <v>7</v>
      </c>
      <c r="W11" s="3">
        <f>MAXIFS( historical_events_FACT!J:J, historical_events_FACT!G:G, B11,historical_events_FACT!C:C, "5" )</f>
        <v>18.4</v>
      </c>
      <c r="X11" s="97">
        <f t="array" ref="X11">ROUND(AVERAGEIF({ IFERROR(XLOOKUP(B11, 'Surfer Stats - Event 4'!B:B, 'Surfer Stats - Event 4'!AF:AF), ""), IFERROR(XLOOKUP(B11, 'Surfer Stats - Event 2'!B:B, 'Surfer Stats - Event 2'!AG:AG), ""), IFERROR(XLOOKUP(B11, 'Surfer Stats - Event 3'!B:B, 'Surfer Stats - Event 3'!AF:AF), "") }, "&lt;&gt;"),2)</f>
        <v>39.28</v>
      </c>
      <c r="Y11" s="3">
        <f t="array" ref="Y11">XLOOKUP(B11, 'Surfer Stats - Event 4'!B:B, 'Surfer Stats - Event 4'!AF:AF)</f>
        <v>72.96</v>
      </c>
      <c r="Z11" s="75">
        <f>8750+4000</f>
        <v>12750</v>
      </c>
      <c r="AA11" s="10">
        <f t="array" ref="AA11">XLOOKUP(B11, 'Post-Event_5'!C:C, 'Post-Event_5'!G:G)</f>
        <v>27.47</v>
      </c>
    </row>
    <row r="12">
      <c r="A12" s="78">
        <v>1.0</v>
      </c>
      <c r="B12" s="51" t="s">
        <v>41</v>
      </c>
      <c r="C12" s="78">
        <v>2.0</v>
      </c>
      <c r="D12" s="3" t="str">
        <f t="array" ref="D12">XLOOKUP(B12, 'Surfer Stats - Event 4'!B:B, 'Surfer Stats - Event 4'!D:D)</f>
        <v>Regular</v>
      </c>
      <c r="E12" s="3">
        <f t="shared" si="1"/>
        <v>15</v>
      </c>
      <c r="F12" s="10">
        <v>0.0</v>
      </c>
      <c r="G12" s="3">
        <f t="shared" si="2"/>
        <v>0</v>
      </c>
      <c r="H12" s="39" t="s">
        <v>215</v>
      </c>
      <c r="I12" s="39">
        <v>5.0</v>
      </c>
      <c r="J12" s="10">
        <v>9.0</v>
      </c>
      <c r="K12" s="10">
        <v>5.0</v>
      </c>
      <c r="L12" s="3">
        <f>COUNTIFS( historical_events_FACT!J:J, "&gt;16", historical_events_FACT!G:G, B12,historical_events_FACT!C:C, "5" )</f>
        <v>3</v>
      </c>
      <c r="M12" s="3">
        <f t="shared" si="3"/>
        <v>13.7</v>
      </c>
      <c r="N12" s="3">
        <f t="shared" si="7"/>
        <v>12.89</v>
      </c>
      <c r="O12" s="3">
        <f>SUMIFS( '2014Data'!I:I, '2014Data'!F:F, B12,'2014Data'!B:B, "5" )</f>
        <v>77.31</v>
      </c>
      <c r="P12" s="3">
        <f>COUNTIFS('2014Data'!F:F, B12,'2014Data'!B:B, "5" )</f>
        <v>6</v>
      </c>
      <c r="Q12" s="3">
        <f t="shared" si="8"/>
        <v>13.84</v>
      </c>
      <c r="R12" s="3">
        <f>SUMIFS( historical_events_FACT!J:J, historical_events_FACT!G:G, B12,historical_events_FACT!B:B, "2015",historical_events_FACT!C:C, "5" )</f>
        <v>55.37</v>
      </c>
      <c r="S12" s="3">
        <f>COUNTIFS(historical_events_FACT!G:G, B12,historical_events_FACT!B:B, "2015",historical_events_FACT!C:C, "5" )</f>
        <v>4</v>
      </c>
      <c r="T12" s="62">
        <f t="shared" si="6"/>
        <v>14.57</v>
      </c>
      <c r="U12" s="3">
        <f>SUMIFS( historical_events_FACT!J:J, historical_events_FACT!G:G, B12,historical_events_FACT!B:B, "2016",historical_events_FACT!C:C, "5" )</f>
        <v>72.87</v>
      </c>
      <c r="V12" s="3">
        <f>COUNTIFS(historical_events_FACT!G:G, B12,historical_events_FACT!B:B, "2016",historical_events_FACT!C:C, "5" )</f>
        <v>5</v>
      </c>
      <c r="W12" s="3">
        <f>MAXIFS( historical_events_FACT!J:J, historical_events_FACT!G:G, B12,historical_events_FACT!C:C, "5" )</f>
        <v>18.07</v>
      </c>
      <c r="X12" s="97">
        <f t="array" ref="X12">ROUND(AVERAGEIF({ IFERROR(XLOOKUP(B12, 'Surfer Stats - Event 4'!B:B, 'Surfer Stats - Event 4'!AF:AF), ""), IFERROR(XLOOKUP(B12, 'Surfer Stats - Event 2'!B:B, 'Surfer Stats - Event 2'!AG:AG), ""), IFERROR(XLOOKUP(B12, 'Surfer Stats - Event 3'!B:B, 'Surfer Stats - Event 3'!AF:AF), "") }, "&lt;&gt;"),2)</f>
        <v>58.16</v>
      </c>
      <c r="Y12" s="3">
        <f t="array" ref="Y12">XLOOKUP(B12, 'Surfer Stats - Event 4'!B:B, 'Surfer Stats - Event 4'!AF:AF)</f>
        <v>57.68</v>
      </c>
      <c r="Z12" s="75">
        <f>7450+5200</f>
        <v>12650</v>
      </c>
      <c r="AA12" s="10">
        <f t="array" ref="AA12">XLOOKUP(B12, 'Post-Event_5'!C:C, 'Post-Event_5'!G:G)</f>
        <v>25.13</v>
      </c>
    </row>
    <row r="13">
      <c r="A13" s="78">
        <v>1.0</v>
      </c>
      <c r="B13" s="51" t="s">
        <v>47</v>
      </c>
      <c r="C13" s="78">
        <v>2.0</v>
      </c>
      <c r="D13" s="3" t="str">
        <f t="array" ref="D13">XLOOKUP(B13, 'Surfer Stats - Event 4'!B:B, 'Surfer Stats - Event 4'!D:D)</f>
        <v>Goofy</v>
      </c>
      <c r="E13" s="3">
        <f t="shared" si="1"/>
        <v>12</v>
      </c>
      <c r="F13" s="10">
        <v>0.0</v>
      </c>
      <c r="G13" s="3">
        <f t="shared" si="2"/>
        <v>0</v>
      </c>
      <c r="H13" s="10" t="s">
        <v>215</v>
      </c>
      <c r="I13" s="39">
        <v>99.0</v>
      </c>
      <c r="J13" s="10">
        <v>13.0</v>
      </c>
      <c r="K13" s="10">
        <v>3.0</v>
      </c>
      <c r="L13" s="3">
        <f>COUNTIFS( historical_events_FACT!J:J, "&gt;16", historical_events_FACT!G:G, B13,historical_events_FACT!C:C, "5" )</f>
        <v>0</v>
      </c>
      <c r="M13" s="3">
        <f t="shared" si="3"/>
        <v>13.65</v>
      </c>
      <c r="N13" s="3">
        <f t="shared" si="7"/>
        <v>12.64</v>
      </c>
      <c r="O13" s="3">
        <f>SUMIFS( '2014Data'!I:I, '2014Data'!F:F, B13,'2014Data'!B:B, "5" )</f>
        <v>37.93</v>
      </c>
      <c r="P13" s="3">
        <f>COUNTIFS('2014Data'!F:F, B13,'2014Data'!B:B, "5" )</f>
        <v>3</v>
      </c>
      <c r="Q13" s="3">
        <f t="shared" si="8"/>
        <v>12.3</v>
      </c>
      <c r="R13" s="3">
        <f>SUMIFS( historical_events_FACT!J:J, historical_events_FACT!G:G, B13,historical_events_FACT!B:B, "2015",historical_events_FACT!C:C, "5" )</f>
        <v>24.6</v>
      </c>
      <c r="S13" s="3">
        <f>COUNTIFS(historical_events_FACT!G:G, B13,historical_events_FACT!B:B, "2015",historical_events_FACT!C:C, "5" )</f>
        <v>2</v>
      </c>
      <c r="T13" s="62">
        <f t="shared" si="6"/>
        <v>14.46</v>
      </c>
      <c r="U13" s="3">
        <f>SUMIFS( historical_events_FACT!J:J, historical_events_FACT!G:G, B13,historical_events_FACT!B:B, "2016",historical_events_FACT!C:C, "5" )</f>
        <v>101.25</v>
      </c>
      <c r="V13" s="3">
        <f>COUNTIFS(historical_events_FACT!G:G, B13,historical_events_FACT!B:B, "2016",historical_events_FACT!C:C, "5" )</f>
        <v>7</v>
      </c>
      <c r="W13" s="3">
        <f>MAXIFS( historical_events_FACT!J:J, historical_events_FACT!G:G, B13,historical_events_FACT!C:C, "5" )</f>
        <v>15.67</v>
      </c>
      <c r="X13" s="97">
        <f t="array" ref="X13">ROUND(AVERAGEIF({ IFERROR(XLOOKUP(B13, 'Surfer Stats - Event 4'!B:B, 'Surfer Stats - Event 4'!AF:AF), ""), IFERROR(XLOOKUP(B13, 'Surfer Stats - Event 2'!B:B, 'Surfer Stats - Event 2'!AG:AG), ""), IFERROR(XLOOKUP(B13, 'Surfer Stats - Event 3'!B:B, 'Surfer Stats - Event 3'!AF:AF), "") }, "&lt;&gt;"),2)</f>
        <v>56.72</v>
      </c>
      <c r="Y13" s="3">
        <f t="array" ref="Y13">XLOOKUP(B13, 'Surfer Stats - Event 4'!B:B, 'Surfer Stats - Event 4'!AF:AF)</f>
        <v>105.95</v>
      </c>
      <c r="Z13" s="75">
        <f>4000+8000</f>
        <v>12000</v>
      </c>
      <c r="AA13" s="10">
        <f t="array" ref="AA13">XLOOKUP(B13, 'Post-Event_5'!C:C, 'Post-Event_5'!G:G)</f>
        <v>24.2</v>
      </c>
    </row>
    <row r="14">
      <c r="A14" s="78">
        <v>1.0</v>
      </c>
      <c r="B14" s="51" t="s">
        <v>38</v>
      </c>
      <c r="C14" s="78">
        <v>2.0</v>
      </c>
      <c r="D14" s="3" t="str">
        <f t="array" ref="D14">XLOOKUP(B14, 'Surfer Stats - Event 4'!B:B, 'Surfer Stats - Event 4'!D:D)</f>
        <v>Regular</v>
      </c>
      <c r="E14" s="3">
        <f t="shared" si="1"/>
        <v>6</v>
      </c>
      <c r="F14" s="10">
        <v>0.0</v>
      </c>
      <c r="G14" s="3">
        <f t="shared" si="2"/>
        <v>0</v>
      </c>
      <c r="H14" s="35" t="s">
        <v>214</v>
      </c>
      <c r="I14" s="39">
        <v>13.0</v>
      </c>
      <c r="J14" s="10">
        <v>13.0</v>
      </c>
      <c r="K14" s="10">
        <v>25.0</v>
      </c>
      <c r="L14" s="3">
        <f>COUNTIFS( historical_events_FACT!J:J, "&gt;16", historical_events_FACT!G:G, B14,historical_events_FACT!C:C, "5" )</f>
        <v>0</v>
      </c>
      <c r="M14" s="3">
        <f t="shared" si="3"/>
        <v>11.09</v>
      </c>
      <c r="N14" s="3">
        <f t="shared" si="7"/>
        <v>8.05</v>
      </c>
      <c r="O14" s="3">
        <f>SUMIFS( '2014Data'!I:I, '2014Data'!F:F, B14,'2014Data'!B:B, "5" )</f>
        <v>16.1</v>
      </c>
      <c r="P14" s="3">
        <f>COUNTIFS('2014Data'!F:F, B14,'2014Data'!B:B, "5" )</f>
        <v>2</v>
      </c>
      <c r="Q14" s="3">
        <f t="shared" si="8"/>
        <v>13.65</v>
      </c>
      <c r="R14" s="3">
        <f>SUMIFS( historical_events_FACT!J:J, historical_events_FACT!G:G, B14,historical_events_FACT!B:B, "2015",historical_events_FACT!C:C, "5" )</f>
        <v>27.3</v>
      </c>
      <c r="S14" s="3">
        <f>COUNTIFS(historical_events_FACT!G:G, B14,historical_events_FACT!B:B, "2015",historical_events_FACT!C:C, "5" )</f>
        <v>2</v>
      </c>
      <c r="T14" s="62">
        <f t="shared" si="6"/>
        <v>11.57</v>
      </c>
      <c r="U14" s="3">
        <f>SUMIFS( historical_events_FACT!J:J, historical_events_FACT!G:G, B14,historical_events_FACT!B:B, "2016",historical_events_FACT!C:C, "5" )</f>
        <v>23.13</v>
      </c>
      <c r="V14" s="3">
        <f>COUNTIFS(historical_events_FACT!G:G, B14,historical_events_FACT!B:B, "2016",historical_events_FACT!C:C, "5" )</f>
        <v>2</v>
      </c>
      <c r="W14" s="3">
        <f>MAXIFS( historical_events_FACT!J:J, historical_events_FACT!G:G, B14,historical_events_FACT!C:C, "5" )</f>
        <v>14</v>
      </c>
      <c r="X14" s="97">
        <f t="array" ref="X14">ROUND(AVERAGEIF({ IFERROR(XLOOKUP(B14, 'Surfer Stats - Event 4'!B:B, 'Surfer Stats - Event 4'!AF:AF), ""), IFERROR(XLOOKUP(B14, 'Surfer Stats - Event 2'!B:B, 'Surfer Stats - Event 2'!AG:AG), ""), IFERROR(XLOOKUP(B14, 'Surfer Stats - Event 3'!B:B, 'Surfer Stats - Event 3'!AF:AF), "") }, "&lt;&gt;"),2)</f>
        <v>54.61</v>
      </c>
      <c r="Y14" s="3">
        <f t="array" ref="Y14">XLOOKUP(B14, 'Surfer Stats - Event 4'!B:B, 'Surfer Stats - Event 4'!AF:AF)</f>
        <v>33.89</v>
      </c>
      <c r="Z14" s="75">
        <f>9750+1750</f>
        <v>11500</v>
      </c>
      <c r="AA14" s="10">
        <f t="array" ref="AA14">XLOOKUP(B14, 'Post-Event_5'!C:C, 'Post-Event_5'!G:G)</f>
        <v>56.87</v>
      </c>
    </row>
    <row r="15">
      <c r="A15" s="78">
        <v>1.0</v>
      </c>
      <c r="B15" s="51" t="s">
        <v>31</v>
      </c>
      <c r="C15" s="78">
        <v>2.0</v>
      </c>
      <c r="D15" s="3" t="str">
        <f t="array" ref="D15">XLOOKUP(B15, 'Surfer Stats - Event 4'!B:B, 'Surfer Stats - Event 4'!D:D)</f>
        <v>Regular</v>
      </c>
      <c r="E15" s="3">
        <f t="shared" si="1"/>
        <v>11</v>
      </c>
      <c r="F15" s="10">
        <v>0.0</v>
      </c>
      <c r="G15" s="3">
        <f t="shared" si="2"/>
        <v>0</v>
      </c>
      <c r="H15" s="35" t="s">
        <v>215</v>
      </c>
      <c r="I15" s="39">
        <v>13.0</v>
      </c>
      <c r="J15" s="10">
        <v>2.0</v>
      </c>
      <c r="K15" s="10">
        <v>25.0</v>
      </c>
      <c r="L15" s="3">
        <f>COUNTIFS( historical_events_FACT!J:J, "&gt;16", historical_events_FACT!G:G, B15,historical_events_FACT!C:C, "5" )</f>
        <v>2</v>
      </c>
      <c r="M15" s="3">
        <f t="shared" si="3"/>
        <v>12.84</v>
      </c>
      <c r="N15" s="3">
        <f t="shared" si="7"/>
        <v>13.3</v>
      </c>
      <c r="O15" s="3">
        <f>SUMIFS( '2014Data'!I:I, '2014Data'!F:F, B15,'2014Data'!B:B, "5" )</f>
        <v>26.6</v>
      </c>
      <c r="P15" s="3">
        <f>COUNTIFS('2014Data'!F:F, B15,'2014Data'!B:B, "5" )</f>
        <v>2</v>
      </c>
      <c r="Q15" s="3">
        <f t="shared" si="8"/>
        <v>13.48</v>
      </c>
      <c r="R15" s="3">
        <f>SUMIFS( historical_events_FACT!J:J, historical_events_FACT!G:G, B15,historical_events_FACT!B:B, "2015",historical_events_FACT!C:C, "5" )</f>
        <v>94.33</v>
      </c>
      <c r="S15" s="3">
        <f>COUNTIFS(historical_events_FACT!G:G, B15,historical_events_FACT!B:B, "2015",historical_events_FACT!C:C, "5" )</f>
        <v>7</v>
      </c>
      <c r="T15" s="62">
        <f t="shared" si="6"/>
        <v>10.17</v>
      </c>
      <c r="U15" s="3">
        <f>SUMIFS( historical_events_FACT!J:J, historical_events_FACT!G:G, B15,historical_events_FACT!B:B, "2016",historical_events_FACT!C:C, "5" )</f>
        <v>20.33</v>
      </c>
      <c r="V15" s="3">
        <f>COUNTIFS(historical_events_FACT!G:G, B15,historical_events_FACT!B:B, "2016",historical_events_FACT!C:C, "5" )</f>
        <v>2</v>
      </c>
      <c r="W15" s="3">
        <f>MAXIFS( historical_events_FACT!J:J, historical_events_FACT!G:G, B15,historical_events_FACT!C:C, "5" )</f>
        <v>19.43</v>
      </c>
      <c r="X15" s="97">
        <f t="array" ref="X15">ROUND(AVERAGEIF({ IFERROR(XLOOKUP(B15, 'Surfer Stats - Event 4'!B:B, 'Surfer Stats - Event 4'!AF:AF), ""), IFERROR(XLOOKUP(B15, 'Surfer Stats - Event 2'!B:B, 'Surfer Stats - Event 2'!AG:AG), ""), IFERROR(XLOOKUP(B15, 'Surfer Stats - Event 3'!B:B, 'Surfer Stats - Event 3'!AF:AF), "") }, "&lt;&gt;"),2)</f>
        <v>44.89</v>
      </c>
      <c r="Y15" s="3">
        <f t="array" ref="Y15">XLOOKUP(B15, 'Surfer Stats - Event 4'!B:B, 'Surfer Stats - Event 4'!AF:AF)</f>
        <v>53.68</v>
      </c>
      <c r="Z15" s="75">
        <f>7500+4000</f>
        <v>11500</v>
      </c>
      <c r="AA15" s="10">
        <f t="array" ref="AA15">XLOOKUP(B15, 'Post-Event_5'!C:C, 'Post-Event_5'!G:G)</f>
        <v>74.94</v>
      </c>
    </row>
    <row r="16">
      <c r="A16" s="78">
        <v>1.0</v>
      </c>
      <c r="B16" s="51" t="s">
        <v>61</v>
      </c>
      <c r="C16" s="78">
        <v>2.0</v>
      </c>
      <c r="D16" s="3" t="str">
        <f t="array" ref="D16">XLOOKUP(B16, 'Surfer Stats - Event 4'!B:B, 'Surfer Stats - Event 4'!D:D)</f>
        <v>Goofy</v>
      </c>
      <c r="E16" s="3">
        <f t="shared" si="1"/>
        <v>7</v>
      </c>
      <c r="F16" s="10">
        <v>0.0</v>
      </c>
      <c r="G16" s="3">
        <f t="shared" si="2"/>
        <v>0</v>
      </c>
      <c r="H16" s="39" t="s">
        <v>218</v>
      </c>
      <c r="I16" s="39">
        <v>99.0</v>
      </c>
      <c r="J16" s="10">
        <v>99.0</v>
      </c>
      <c r="K16" s="10">
        <v>99.0</v>
      </c>
      <c r="L16" s="3">
        <f>COUNTIFS( historical_events_FACT!J:J, "&gt;16", historical_events_FACT!G:G, B16,historical_events_FACT!C:C, "5" )</f>
        <v>0</v>
      </c>
      <c r="M16" s="3">
        <f t="shared" si="3"/>
        <v>11.01</v>
      </c>
      <c r="N16" s="10">
        <v>10.6</v>
      </c>
      <c r="O16" s="3">
        <f>N16*P16</f>
        <v>21.2</v>
      </c>
      <c r="P16" s="10">
        <v>2.0</v>
      </c>
      <c r="Q16" s="10">
        <v>11.9</v>
      </c>
      <c r="R16" s="3">
        <f>Q16*S16</f>
        <v>35.7</v>
      </c>
      <c r="S16" s="10">
        <v>3.0</v>
      </c>
      <c r="T16" s="10">
        <v>10.09</v>
      </c>
      <c r="U16" s="3">
        <f>T16*V16</f>
        <v>20.18</v>
      </c>
      <c r="V16" s="10">
        <v>2.0</v>
      </c>
      <c r="W16" s="10">
        <v>13.39</v>
      </c>
      <c r="X16" s="97">
        <f t="array" ref="X16">ROUND(AVERAGEIF({ IFERROR(XLOOKUP(B16, 'Surfer Stats - Event 4'!B:B, 'Surfer Stats - Event 4'!AF:AF), ""), IFERROR(XLOOKUP(B16, 'Surfer Stats - Event 2'!B:B, 'Surfer Stats - Event 2'!AG:AG), ""), IFERROR(XLOOKUP(B16, 'Surfer Stats - Event 3'!B:B, 'Surfer Stats - Event 3'!AF:AF), "") }, "&lt;&gt;"),2)</f>
        <v>35.34</v>
      </c>
      <c r="Y16" s="3">
        <f t="array" ref="Y16">XLOOKUP(B16, 'Surfer Stats - Event 4'!B:B, 'Surfer Stats - Event 4'!AF:AF)</f>
        <v>37.1</v>
      </c>
      <c r="Z16" s="75">
        <f>8700+1750</f>
        <v>10450</v>
      </c>
      <c r="AA16" s="10">
        <f t="array" ref="AA16">XLOOKUP(B16, 'Post-Event_5'!C:C, 'Post-Event_5'!G:G)</f>
        <v>77.66</v>
      </c>
    </row>
    <row r="17">
      <c r="A17" s="78">
        <v>1.0</v>
      </c>
      <c r="B17" s="51" t="s">
        <v>50</v>
      </c>
      <c r="C17" s="78">
        <v>2.0</v>
      </c>
      <c r="D17" s="3" t="str">
        <f t="array" ref="D17">XLOOKUP(B17, 'Surfer Stats - Event 4'!B:B, 'Surfer Stats - Event 4'!D:D)</f>
        <v>Regular</v>
      </c>
      <c r="E17" s="3">
        <f t="shared" si="1"/>
        <v>11</v>
      </c>
      <c r="F17" s="10">
        <v>0.0</v>
      </c>
      <c r="G17" s="3">
        <f t="shared" si="2"/>
        <v>0</v>
      </c>
      <c r="H17" s="39" t="s">
        <v>220</v>
      </c>
      <c r="I17" s="39">
        <v>13.0</v>
      </c>
      <c r="J17" s="10">
        <v>3.0</v>
      </c>
      <c r="K17" s="10">
        <v>13.0</v>
      </c>
      <c r="L17" s="3">
        <f>COUNTIFS( historical_events_FACT!J:J, "&gt;16", historical_events_FACT!G:G, B17,historical_events_FACT!C:C, "5" )</f>
        <v>4</v>
      </c>
      <c r="M17" s="3">
        <f t="shared" si="3"/>
        <v>14.15</v>
      </c>
      <c r="N17" s="3">
        <f>IF(P17=0,0,ROUND(O17/P17,2))</f>
        <v>11.99</v>
      </c>
      <c r="O17" s="3">
        <f>SUMIFS( '2014Data'!I:I, '2014Data'!F:F, B17,'2014Data'!B:B, "5" )</f>
        <v>35.96</v>
      </c>
      <c r="P17" s="3">
        <f>COUNTIFS('2014Data'!F:F, B17,'2014Data'!B:B, "5" )</f>
        <v>3</v>
      </c>
      <c r="Q17" s="3">
        <f>IF(S17=0,0,ROUND(R17/S17,2))</f>
        <v>15.72</v>
      </c>
      <c r="R17" s="3">
        <f>SUMIFS( historical_events_FACT!J:J, historical_events_FACT!G:G, B17,historical_events_FACT!B:B, "2015",historical_events_FACT!C:C, "5" )</f>
        <v>94.33</v>
      </c>
      <c r="S17" s="3">
        <f>COUNTIFS(historical_events_FACT!G:G, B17,historical_events_FACT!B:B, "2015",historical_events_FACT!C:C, "5" )</f>
        <v>6</v>
      </c>
      <c r="T17" s="62">
        <f>IF(U17=0,0,ROUND(U17/V17,2))</f>
        <v>12.7</v>
      </c>
      <c r="U17" s="3">
        <f>SUMIFS( historical_events_FACT!J:J, historical_events_FACT!G:G, B17,historical_events_FACT!B:B, "2016",historical_events_FACT!C:C, "5" )</f>
        <v>25.4</v>
      </c>
      <c r="V17" s="3">
        <f>COUNTIFS(historical_events_FACT!G:G, B17,historical_events_FACT!B:B, "2016",historical_events_FACT!C:C, "5" )</f>
        <v>2</v>
      </c>
      <c r="W17" s="3">
        <f>MAXIFS( historical_events_FACT!J:J, historical_events_FACT!G:G, B17,historical_events_FACT!C:C, "5" )</f>
        <v>18.7</v>
      </c>
      <c r="X17" s="97">
        <f t="array" ref="X17">ROUND(AVERAGEIF({ IFERROR(XLOOKUP(B17, 'Surfer Stats - Event 4'!B:B, 'Surfer Stats - Event 4'!AF:AF), ""), IFERROR(XLOOKUP(B17, 'Surfer Stats - Event 2'!B:B, 'Surfer Stats - Event 2'!AG:AG), ""), IFERROR(XLOOKUP(B17, 'Surfer Stats - Event 3'!B:B, 'Surfer Stats - Event 3'!AF:AF), "") }, "&lt;&gt;"),2)</f>
        <v>43</v>
      </c>
      <c r="Y17" s="3">
        <f t="array" ref="Y17">XLOOKUP(B17, 'Surfer Stats - Event 4'!B:B, 'Surfer Stats - Event 4'!AF:AF)</f>
        <v>25.88</v>
      </c>
      <c r="Z17" s="75">
        <f>7500+1750</f>
        <v>9250</v>
      </c>
      <c r="AA17" s="10">
        <f t="array" ref="AA17">XLOOKUP(B17, 'Post-Event_5'!C:C, 'Post-Event_5'!G:G)</f>
        <v>29.15</v>
      </c>
    </row>
    <row r="18">
      <c r="A18" s="78">
        <v>1.0</v>
      </c>
      <c r="B18" s="51" t="s">
        <v>69</v>
      </c>
      <c r="C18" s="78">
        <v>2.0</v>
      </c>
      <c r="D18" s="3" t="str">
        <f t="array" ref="D18">XLOOKUP(B18, 'Surfer Stats - Event 4'!B:B, 'Surfer Stats - Event 4'!D:D)</f>
        <v>Regular</v>
      </c>
      <c r="E18" s="3">
        <f t="shared" si="1"/>
        <v>7</v>
      </c>
      <c r="F18" s="10">
        <v>0.0</v>
      </c>
      <c r="G18" s="3">
        <f t="shared" si="2"/>
        <v>0</v>
      </c>
      <c r="H18" s="35" t="s">
        <v>211</v>
      </c>
      <c r="I18" s="39">
        <v>99.0</v>
      </c>
      <c r="J18" s="10">
        <v>99.0</v>
      </c>
      <c r="K18" s="10">
        <v>99.0</v>
      </c>
      <c r="L18" s="3">
        <f>COUNTIFS( historical_events_FACT!J:J, "&gt;16", historical_events_FACT!G:G, B18,historical_events_FACT!C:C, "5" )</f>
        <v>0</v>
      </c>
      <c r="M18" s="3">
        <f t="shared" si="3"/>
        <v>11.01</v>
      </c>
      <c r="N18" s="10">
        <v>10.6</v>
      </c>
      <c r="O18" s="3">
        <f>N18*P18</f>
        <v>21.2</v>
      </c>
      <c r="P18" s="10">
        <v>2.0</v>
      </c>
      <c r="Q18" s="10">
        <v>11.9</v>
      </c>
      <c r="R18" s="3">
        <f>Q18*S18</f>
        <v>35.7</v>
      </c>
      <c r="S18" s="10">
        <v>3.0</v>
      </c>
      <c r="T18" s="10">
        <v>10.09</v>
      </c>
      <c r="U18" s="3">
        <f>T18*V18</f>
        <v>20.18</v>
      </c>
      <c r="V18" s="10">
        <v>2.0</v>
      </c>
      <c r="W18" s="10">
        <v>13.39</v>
      </c>
      <c r="X18" s="97">
        <f t="array" ref="X18">ROUND(AVERAGEIF({ IFERROR(XLOOKUP(B18, 'Surfer Stats - Event 4'!B:B, 'Surfer Stats - Event 4'!AF:AF), ""), IFERROR(XLOOKUP(B18, 'Surfer Stats - Event 2'!B:B, 'Surfer Stats - Event 2'!AG:AG), ""), IFERROR(XLOOKUP(B18, 'Surfer Stats - Event 3'!B:B, 'Surfer Stats - Event 3'!AF:AF), "") }, "&lt;&gt;"),2)</f>
        <v>46.18</v>
      </c>
      <c r="Y18" s="3">
        <f t="array" ref="Y18">XLOOKUP(B18, 'Surfer Stats - Event 4'!B:B, 'Surfer Stats - Event 4'!AF:AF)</f>
        <v>25.86</v>
      </c>
      <c r="Z18" s="75">
        <f>8750+500</f>
        <v>9250</v>
      </c>
      <c r="AA18" s="10">
        <f t="array" ref="AA18">XLOOKUP(B18, 'Post-Event_5'!C:C, 'Post-Event_5'!G:G)</f>
        <v>17.27</v>
      </c>
    </row>
    <row r="19">
      <c r="A19" s="78">
        <v>1.0</v>
      </c>
      <c r="B19" s="51" t="s">
        <v>37</v>
      </c>
      <c r="C19" s="78">
        <v>2.0</v>
      </c>
      <c r="D19" s="3" t="str">
        <f t="array" ref="D19">XLOOKUP(B19, 'Surfer Stats - Event 4'!B:B, 'Surfer Stats - Event 4'!D:D)</f>
        <v>Regular</v>
      </c>
      <c r="E19" s="3">
        <f t="shared" si="1"/>
        <v>14</v>
      </c>
      <c r="F19" s="10">
        <v>0.0</v>
      </c>
      <c r="G19" s="3">
        <f t="shared" si="2"/>
        <v>0</v>
      </c>
      <c r="H19" s="39" t="s">
        <v>214</v>
      </c>
      <c r="I19" s="39">
        <v>5.0</v>
      </c>
      <c r="J19" s="10">
        <v>9.0</v>
      </c>
      <c r="K19" s="10">
        <v>3.0</v>
      </c>
      <c r="L19" s="3">
        <f>COUNTIFS( historical_events_FACT!J:J, "&gt;16", historical_events_FACT!G:G, B19,historical_events_FACT!C:C, "5" )</f>
        <v>7</v>
      </c>
      <c r="M19" s="3">
        <f t="shared" si="3"/>
        <v>15.02</v>
      </c>
      <c r="N19" s="3">
        <f>IF(P19=0,0,ROUND(O19/P19,2))</f>
        <v>14.18</v>
      </c>
      <c r="O19" s="3">
        <f>SUMIFS( '2014Data'!I:I, '2014Data'!F:F, B19,'2014Data'!B:B, "5" )</f>
        <v>56.73</v>
      </c>
      <c r="P19" s="3">
        <f>COUNTIFS('2014Data'!F:F, B19,'2014Data'!B:B, "5" )</f>
        <v>4</v>
      </c>
      <c r="Q19" s="3">
        <f>IF(S19=0,0,ROUND(R19/S19,2))</f>
        <v>14.06</v>
      </c>
      <c r="R19" s="3">
        <f>SUMIFS( historical_events_FACT!J:J, historical_events_FACT!G:G, B19,historical_events_FACT!B:B, "2015",historical_events_FACT!C:C, "5" )</f>
        <v>70.32</v>
      </c>
      <c r="S19" s="3">
        <f>COUNTIFS(historical_events_FACT!G:G, B19,historical_events_FACT!B:B, "2015",historical_events_FACT!C:C, "5" )</f>
        <v>5</v>
      </c>
      <c r="T19" s="62">
        <f>IF(U19=0,0,ROUND(U19/V19,2))</f>
        <v>16.64</v>
      </c>
      <c r="U19" s="3">
        <f>SUMIFS( historical_events_FACT!J:J, historical_events_FACT!G:G, B19,historical_events_FACT!B:B, "2016",historical_events_FACT!C:C, "5" )</f>
        <v>83.19</v>
      </c>
      <c r="V19" s="3">
        <f>COUNTIFS(historical_events_FACT!G:G, B19,historical_events_FACT!B:B, "2016",historical_events_FACT!C:C, "5" )</f>
        <v>5</v>
      </c>
      <c r="W19" s="3">
        <f>MAXIFS( historical_events_FACT!J:J, historical_events_FACT!G:G, B19,historical_events_FACT!C:C, "5" )</f>
        <v>19.77</v>
      </c>
      <c r="X19" s="97">
        <f t="array" ref="X19">ROUND(AVERAGEIF({ IFERROR(XLOOKUP(B19, 'Surfer Stats - Event 4'!B:B, 'Surfer Stats - Event 4'!AF:AF), ""), IFERROR(XLOOKUP(B19, 'Surfer Stats - Event 2'!B:B, 'Surfer Stats - Event 2'!AG:AG), ""), IFERROR(XLOOKUP(B19, 'Surfer Stats - Event 3'!B:B, 'Surfer Stats - Event 3'!AF:AF), "") }, "&lt;&gt;"),2)</f>
        <v>23.09</v>
      </c>
      <c r="Y19" s="10">
        <v>23.09</v>
      </c>
      <c r="Z19" s="75">
        <f>8700+500</f>
        <v>9200</v>
      </c>
      <c r="AA19" s="10">
        <f t="array" ref="AA19">XLOOKUP(B19, 'Post-Event_5'!C:C, 'Post-Event_5'!G:G)</f>
        <v>31.07</v>
      </c>
    </row>
    <row r="20">
      <c r="A20" s="78">
        <v>1.0</v>
      </c>
      <c r="B20" s="51" t="s">
        <v>64</v>
      </c>
      <c r="C20" s="78">
        <v>2.0</v>
      </c>
      <c r="D20" s="3" t="str">
        <f t="array" ref="D20">XLOOKUP(B20, 'Surfer Stats - Event 4'!B:B, 'Surfer Stats - Event 4'!D:D)</f>
        <v>Regular</v>
      </c>
      <c r="E20" s="3">
        <f t="shared" si="1"/>
        <v>7</v>
      </c>
      <c r="F20" s="10">
        <v>0.0</v>
      </c>
      <c r="G20" s="3">
        <f t="shared" si="2"/>
        <v>0</v>
      </c>
      <c r="H20" s="39" t="s">
        <v>219</v>
      </c>
      <c r="I20" s="39">
        <v>99.0</v>
      </c>
      <c r="J20" s="10">
        <v>99.0</v>
      </c>
      <c r="K20" s="10">
        <v>99.0</v>
      </c>
      <c r="L20" s="3">
        <f>COUNTIFS( historical_events_FACT!J:J, "&gt;16", historical_events_FACT!G:G, B20,historical_events_FACT!C:C, "5" )</f>
        <v>0</v>
      </c>
      <c r="M20" s="3">
        <f t="shared" si="3"/>
        <v>11.01</v>
      </c>
      <c r="N20" s="10">
        <v>10.6</v>
      </c>
      <c r="O20" s="3">
        <f t="shared" ref="O20:O21" si="9">N20*P20</f>
        <v>21.2</v>
      </c>
      <c r="P20" s="10">
        <v>2.0</v>
      </c>
      <c r="Q20" s="10">
        <v>11.9</v>
      </c>
      <c r="R20" s="3">
        <f t="shared" ref="R20:R21" si="10">Q20*S20</f>
        <v>35.7</v>
      </c>
      <c r="S20" s="10">
        <v>3.0</v>
      </c>
      <c r="T20" s="10">
        <v>10.09</v>
      </c>
      <c r="U20" s="3">
        <f>T20*V20</f>
        <v>20.18</v>
      </c>
      <c r="V20" s="10">
        <v>2.0</v>
      </c>
      <c r="W20" s="10">
        <v>13.39</v>
      </c>
      <c r="X20" s="97">
        <f t="array" ref="X20">ROUND(AVERAGEIF({ IFERROR(XLOOKUP(B20, 'Surfer Stats - Event 4'!B:B, 'Surfer Stats - Event 4'!AF:AF), ""), IFERROR(XLOOKUP(B20, 'Surfer Stats - Event 2'!B:B, 'Surfer Stats - Event 2'!AG:AG), ""), IFERROR(XLOOKUP(B20, 'Surfer Stats - Event 3'!B:B, 'Surfer Stats - Event 3'!AF:AF), "") }, "&lt;&gt;"),2)</f>
        <v>49.55</v>
      </c>
      <c r="Y20" s="3">
        <f t="array" ref="Y20">XLOOKUP(B20, 'Surfer Stats - Event 4'!B:B, 'Surfer Stats - Event 4'!AF:AF)</f>
        <v>38.23</v>
      </c>
      <c r="Z20" s="75">
        <f>7450+1750</f>
        <v>9200</v>
      </c>
      <c r="AA20" s="10">
        <f t="array" ref="AA20">XLOOKUP(B20, 'Post-Event_5'!C:C, 'Post-Event_5'!G:G)</f>
        <v>20.64</v>
      </c>
    </row>
    <row r="21">
      <c r="A21" s="64">
        <v>1.0</v>
      </c>
      <c r="B21" s="51" t="s">
        <v>52</v>
      </c>
      <c r="C21" s="78">
        <v>2.0</v>
      </c>
      <c r="D21" s="3" t="str">
        <f t="array" ref="D21">XLOOKUP(B21, 'Surfer Stats - Event 4'!B:B, 'Surfer Stats - Event 4'!D:D)</f>
        <v>Regular</v>
      </c>
      <c r="E21" s="3">
        <f t="shared" si="1"/>
        <v>8</v>
      </c>
      <c r="F21" s="10">
        <v>0.0</v>
      </c>
      <c r="G21" s="3">
        <f t="shared" si="2"/>
        <v>0</v>
      </c>
      <c r="H21" s="35" t="s">
        <v>214</v>
      </c>
      <c r="I21" s="39">
        <v>99.0</v>
      </c>
      <c r="J21" s="10">
        <v>99.0</v>
      </c>
      <c r="K21" s="10">
        <v>13.0</v>
      </c>
      <c r="L21" s="3">
        <f>COUNTIFS( historical_events_FACT!J:J, "&gt;16", historical_events_FACT!G:G, B21,historical_events_FACT!C:C, "5" )</f>
        <v>0</v>
      </c>
      <c r="M21" s="3">
        <f t="shared" si="3"/>
        <v>10.06</v>
      </c>
      <c r="N21" s="10">
        <v>10.6</v>
      </c>
      <c r="O21" s="3">
        <f t="shared" si="9"/>
        <v>21.2</v>
      </c>
      <c r="P21" s="10">
        <v>2.0</v>
      </c>
      <c r="Q21" s="10">
        <v>11.9</v>
      </c>
      <c r="R21" s="3">
        <f t="shared" si="10"/>
        <v>35.7</v>
      </c>
      <c r="S21" s="10">
        <v>3.0</v>
      </c>
      <c r="T21" s="62">
        <f t="shared" ref="T21:T26" si="11">IF(U21=0,0,ROUND(U21/V21,2))</f>
        <v>7.86</v>
      </c>
      <c r="U21" s="3">
        <f>SUMIFS( historical_events_FACT!J:J, historical_events_FACT!G:G, B21,historical_events_FACT!B:B, "2016",historical_events_FACT!C:C, "5" )</f>
        <v>23.57</v>
      </c>
      <c r="V21" s="3">
        <f>COUNTIFS(historical_events_FACT!G:G, B21,historical_events_FACT!B:B, "2016",historical_events_FACT!C:C, "5" )</f>
        <v>3</v>
      </c>
      <c r="W21" s="3">
        <f>MAXIFS( historical_events_FACT!J:J, historical_events_FACT!G:G, B21,historical_events_FACT!C:C, "5" )</f>
        <v>13.17</v>
      </c>
      <c r="X21" s="97">
        <f t="array" ref="X21">ROUND(AVERAGEIF({ IFERROR(XLOOKUP(B21, 'Surfer Stats - Event 4'!B:B, 'Surfer Stats - Event 4'!AF:AF), ""), IFERROR(XLOOKUP(B21, 'Surfer Stats - Event 2'!B:B, 'Surfer Stats - Event 2'!AG:AG), ""), IFERROR(XLOOKUP(B21, 'Surfer Stats - Event 3'!B:B, 'Surfer Stats - Event 3'!AF:AF), "") }, "&lt;&gt;"),2)</f>
        <v>35.46</v>
      </c>
      <c r="Y21" s="3">
        <f t="array" ref="Y21">XLOOKUP(B21, 'Surfer Stats - Event 4'!B:B, 'Surfer Stats - Event 4'!AF:AF)</f>
        <v>23.76</v>
      </c>
      <c r="Z21" s="75">
        <f>+500+8500</f>
        <v>9000</v>
      </c>
      <c r="AA21" s="10">
        <f t="array" ref="AA21">XLOOKUP(B21, 'Post-Event_5'!C:C, 'Post-Event_5'!G:G)</f>
        <v>25.57</v>
      </c>
    </row>
    <row r="22">
      <c r="A22" s="78">
        <v>1.0</v>
      </c>
      <c r="B22" s="51" t="s">
        <v>54</v>
      </c>
      <c r="C22" s="78">
        <v>2.0</v>
      </c>
      <c r="D22" s="3" t="str">
        <f t="array" ref="D22">XLOOKUP(B22, 'Surfer Stats - Event 4'!B:B, 'Surfer Stats - Event 4'!D:D)</f>
        <v>Goofy</v>
      </c>
      <c r="E22" s="3">
        <f t="shared" si="1"/>
        <v>11</v>
      </c>
      <c r="F22" s="10">
        <v>0.0</v>
      </c>
      <c r="G22" s="3">
        <f t="shared" si="2"/>
        <v>0</v>
      </c>
      <c r="H22" s="39" t="s">
        <v>213</v>
      </c>
      <c r="I22" s="39">
        <v>25.0</v>
      </c>
      <c r="J22" s="10">
        <v>5.0</v>
      </c>
      <c r="K22" s="10">
        <v>5.0</v>
      </c>
      <c r="L22" s="3">
        <f>COUNTIFS( historical_events_FACT!J:J, "&gt;16", historical_events_FACT!G:G, B22,historical_events_FACT!C:C, "5" )</f>
        <v>0</v>
      </c>
      <c r="M22" s="3">
        <f t="shared" si="3"/>
        <v>11.46</v>
      </c>
      <c r="N22" s="3">
        <f>IF(P22=0,0,ROUND(O22/P22,2))</f>
        <v>9.29</v>
      </c>
      <c r="O22" s="3">
        <f>SUMIFS( '2014Data'!I:I, '2014Data'!F:F, B22,'2014Data'!B:B, "5" )</f>
        <v>18.57</v>
      </c>
      <c r="P22" s="3">
        <f>COUNTIFS('2014Data'!F:F, B22,'2014Data'!B:B, "5" )</f>
        <v>2</v>
      </c>
      <c r="Q22" s="3">
        <f>IF(S22=0,0,ROUND(R22/S22,2))</f>
        <v>11.98</v>
      </c>
      <c r="R22" s="3">
        <f>SUMIFS( historical_events_FACT!J:J, historical_events_FACT!G:G, B22,historical_events_FACT!B:B, "2015",historical_events_FACT!C:C, "5" )</f>
        <v>47.9</v>
      </c>
      <c r="S22" s="3">
        <f>COUNTIFS(historical_events_FACT!G:G, B22,historical_events_FACT!B:B, "2015",historical_events_FACT!C:C, "5" )</f>
        <v>4</v>
      </c>
      <c r="T22" s="62">
        <f t="shared" si="11"/>
        <v>11.91</v>
      </c>
      <c r="U22" s="3">
        <f>SUMIFS( historical_events_FACT!J:J, historical_events_FACT!G:G, B22,historical_events_FACT!B:B, "2016",historical_events_FACT!C:C, "5" )</f>
        <v>59.55</v>
      </c>
      <c r="V22" s="3">
        <f>COUNTIFS(historical_events_FACT!G:G, B22,historical_events_FACT!B:B, "2016",historical_events_FACT!C:C, "5" )</f>
        <v>5</v>
      </c>
      <c r="W22" s="3">
        <f>MAXIFS( historical_events_FACT!J:J, historical_events_FACT!G:G, B22,historical_events_FACT!C:C, "5" )</f>
        <v>15.6</v>
      </c>
      <c r="X22" s="97">
        <f t="array" ref="X22">ROUND(AVERAGEIF({ IFERROR(XLOOKUP(B22, 'Surfer Stats - Event 4'!B:B, 'Surfer Stats - Event 4'!AF:AF), ""), IFERROR(XLOOKUP(B22, 'Surfer Stats - Event 2'!B:B, 'Surfer Stats - Event 2'!AG:AG), ""), IFERROR(XLOOKUP(B22, 'Surfer Stats - Event 3'!B:B, 'Surfer Stats - Event 3'!AF:AF), "") }, "&lt;&gt;"),2)</f>
        <v>54.97</v>
      </c>
      <c r="Y22" s="3">
        <f t="array" ref="Y22">XLOOKUP(B22, 'Surfer Stats - Event 4'!B:B, 'Surfer Stats - Event 4'!AF:AF)</f>
        <v>73.54</v>
      </c>
      <c r="Z22" s="75">
        <f>5000+4000</f>
        <v>9000</v>
      </c>
      <c r="AA22" s="10">
        <f t="array" ref="AA22">XLOOKUP(B22, 'Post-Event_5'!C:C, 'Post-Event_5'!G:G)</f>
        <v>33.2</v>
      </c>
    </row>
    <row r="23">
      <c r="A23" s="78">
        <v>1.0</v>
      </c>
      <c r="B23" s="51" t="s">
        <v>68</v>
      </c>
      <c r="C23" s="78">
        <v>2.0</v>
      </c>
      <c r="D23" s="3" t="str">
        <f t="array" ref="D23">XLOOKUP(B23, 'Surfer Stats - Event 4'!B:B, 'Surfer Stats - Event 4'!D:D)</f>
        <v>Regular</v>
      </c>
      <c r="E23" s="3">
        <f t="shared" si="1"/>
        <v>7</v>
      </c>
      <c r="F23" s="10">
        <v>0.0</v>
      </c>
      <c r="G23" s="3">
        <f t="shared" si="2"/>
        <v>0</v>
      </c>
      <c r="H23" s="35" t="s">
        <v>215</v>
      </c>
      <c r="I23" s="39">
        <v>99.0</v>
      </c>
      <c r="J23" s="10">
        <v>99.0</v>
      </c>
      <c r="K23" s="10">
        <v>99.0</v>
      </c>
      <c r="L23" s="3">
        <f>COUNTIFS( historical_events_FACT!J:J, "&gt;16", historical_events_FACT!G:G, B23,historical_events_FACT!C:C, "5" )</f>
        <v>0</v>
      </c>
      <c r="M23" s="3">
        <f t="shared" si="3"/>
        <v>11.43</v>
      </c>
      <c r="N23" s="10">
        <v>10.6</v>
      </c>
      <c r="O23" s="3">
        <f>N23*P23</f>
        <v>21.2</v>
      </c>
      <c r="P23" s="10">
        <v>2.0</v>
      </c>
      <c r="Q23" s="10">
        <v>11.9</v>
      </c>
      <c r="R23" s="3">
        <f t="shared" ref="R23:R25" si="12">Q23*S23</f>
        <v>35.7</v>
      </c>
      <c r="S23" s="10">
        <v>3.0</v>
      </c>
      <c r="T23" s="62">
        <f t="shared" si="11"/>
        <v>11.55</v>
      </c>
      <c r="U23" s="3">
        <f>SUMIFS( historical_events_FACT!J:J, historical_events_FACT!G:G, B23,historical_events_FACT!B:B, "2016",historical_events_FACT!C:C, "5" )</f>
        <v>23.1</v>
      </c>
      <c r="V23" s="3">
        <f>COUNTIFS(historical_events_FACT!G:G, B23,historical_events_FACT!B:B, "2016",historical_events_FACT!C:C, "5" )</f>
        <v>2</v>
      </c>
      <c r="W23" s="3">
        <f>MAXIFS( historical_events_FACT!J:J, historical_events_FACT!G:G, B23,historical_events_FACT!C:C, "5" )</f>
        <v>13.16</v>
      </c>
      <c r="X23" s="97">
        <f t="array" ref="X23">ROUND(AVERAGEIF({ IFERROR(XLOOKUP(B23, 'Surfer Stats - Event 4'!B:B, 'Surfer Stats - Event 4'!AF:AF), ""), IFERROR(XLOOKUP(B23, 'Surfer Stats - Event 2'!B:B, 'Surfer Stats - Event 2'!AG:AG), ""), IFERROR(XLOOKUP(B23, 'Surfer Stats - Event 3'!B:B, 'Surfer Stats - Event 3'!AF:AF), "") }, "&lt;&gt;"),2)</f>
        <v>40.54</v>
      </c>
      <c r="Y23" s="3">
        <f t="array" ref="Y23">XLOOKUP(B23, 'Surfer Stats - Event 4'!B:B, 'Surfer Stats - Event 4'!AF:AF)</f>
        <v>21.69</v>
      </c>
      <c r="Z23" s="75">
        <f>7500+500</f>
        <v>8000</v>
      </c>
      <c r="AA23" s="10">
        <f t="array" ref="AA23">XLOOKUP(B23, 'Post-Event_5'!C:C, 'Post-Event_5'!G:G)</f>
        <v>14.33</v>
      </c>
    </row>
    <row r="24">
      <c r="A24" s="78">
        <v>1.0</v>
      </c>
      <c r="B24" s="51" t="s">
        <v>27</v>
      </c>
      <c r="C24" s="78">
        <v>2.0</v>
      </c>
      <c r="D24" s="3" t="str">
        <f t="array" ref="D24">XLOOKUP(B24, 'Surfer Stats - Event 4'!B:B, 'Surfer Stats - Event 4'!D:D)</f>
        <v>Regular</v>
      </c>
      <c r="E24" s="3">
        <f t="shared" si="1"/>
        <v>14</v>
      </c>
      <c r="F24" s="10">
        <v>0.0</v>
      </c>
      <c r="G24" s="3">
        <f t="shared" si="2"/>
        <v>0</v>
      </c>
      <c r="H24" s="39" t="s">
        <v>216</v>
      </c>
      <c r="I24" s="39">
        <v>3.0</v>
      </c>
      <c r="J24" s="10">
        <v>99.0</v>
      </c>
      <c r="K24" s="10">
        <v>9.0</v>
      </c>
      <c r="L24" s="3">
        <f>COUNTIFS( historical_events_FACT!J:J, "&gt;16", historical_events_FACT!G:G, B24,historical_events_FACT!C:C, "5" )</f>
        <v>1</v>
      </c>
      <c r="M24" s="3">
        <f t="shared" si="3"/>
        <v>11.4</v>
      </c>
      <c r="N24" s="3">
        <f>IF(P24=0,0,ROUND(O24/P24,2))</f>
        <v>13.26</v>
      </c>
      <c r="O24" s="3">
        <f>SUMIFS( '2014Data'!I:I, '2014Data'!F:F, B24,'2014Data'!B:B, "5" )</f>
        <v>79.53</v>
      </c>
      <c r="P24" s="3">
        <f>COUNTIFS('2014Data'!F:F, B24,'2014Data'!B:B, "5" )</f>
        <v>6</v>
      </c>
      <c r="Q24" s="10">
        <v>11.9</v>
      </c>
      <c r="R24" s="3">
        <f t="shared" si="12"/>
        <v>35.7</v>
      </c>
      <c r="S24" s="10">
        <v>3.0</v>
      </c>
      <c r="T24" s="62">
        <f t="shared" si="11"/>
        <v>8.86</v>
      </c>
      <c r="U24" s="3">
        <f>SUMIFS( historical_events_FACT!J:J, historical_events_FACT!G:G, B24,historical_events_FACT!B:B, "2016",historical_events_FACT!C:C, "5" )</f>
        <v>44.31</v>
      </c>
      <c r="V24" s="3">
        <f>COUNTIFS(historical_events_FACT!G:G, B24,historical_events_FACT!B:B, "2016",historical_events_FACT!C:C, "5" )</f>
        <v>5</v>
      </c>
      <c r="W24" s="3">
        <f>MAXIFS( historical_events_FACT!J:J, historical_events_FACT!G:G, B24,historical_events_FACT!C:C, "5" )</f>
        <v>18.7</v>
      </c>
      <c r="X24" s="97">
        <f t="array" ref="X24">ROUND(AVERAGEIF({ IFERROR(XLOOKUP(B24, 'Surfer Stats - Event 4'!B:B, 'Surfer Stats - Event 4'!AF:AF), ""), IFERROR(XLOOKUP(B24, 'Surfer Stats - Event 2'!B:B, 'Surfer Stats - Event 2'!AG:AG), ""), IFERROR(XLOOKUP(B24, 'Surfer Stats - Event 3'!B:B, 'Surfer Stats - Event 3'!AF:AF), "") }, "&lt;&gt;"),2)</f>
        <v>40.27</v>
      </c>
      <c r="Y24" s="3">
        <f t="array" ref="Y24">XLOOKUP(B24, 'Surfer Stats - Event 4'!B:B, 'Surfer Stats - Event 4'!AF:AF)</f>
        <v>19.4</v>
      </c>
      <c r="Z24" s="75">
        <f>7450+500</f>
        <v>7950</v>
      </c>
      <c r="AA24" s="10">
        <f t="array" ref="AA24">XLOOKUP(B24, 'Post-Event_5'!C:C, 'Post-Event_5'!G:G)</f>
        <v>79.76</v>
      </c>
    </row>
    <row r="25">
      <c r="A25" s="64">
        <v>1.0</v>
      </c>
      <c r="B25" s="51" t="s">
        <v>53</v>
      </c>
      <c r="C25" s="78">
        <v>2.0</v>
      </c>
      <c r="D25" s="3" t="str">
        <f t="array" ref="D25">XLOOKUP(B25, 'Surfer Stats - Event 4'!B:B, 'Surfer Stats - Event 4'!D:D)</f>
        <v>Regular</v>
      </c>
      <c r="E25" s="3">
        <f t="shared" si="1"/>
        <v>8</v>
      </c>
      <c r="F25" s="10">
        <v>0.0</v>
      </c>
      <c r="G25" s="3">
        <f t="shared" si="2"/>
        <v>0</v>
      </c>
      <c r="H25" s="39" t="s">
        <v>217</v>
      </c>
      <c r="I25" s="39">
        <v>99.0</v>
      </c>
      <c r="J25" s="10">
        <v>99.0</v>
      </c>
      <c r="K25" s="10">
        <v>13.0</v>
      </c>
      <c r="L25" s="3">
        <f>COUNTIFS( historical_events_FACT!J:J, "&gt;16", historical_events_FACT!G:G, B25,historical_events_FACT!C:C, "5" )</f>
        <v>0</v>
      </c>
      <c r="M25" s="3">
        <f t="shared" si="3"/>
        <v>10.05</v>
      </c>
      <c r="N25" s="10">
        <v>10.6</v>
      </c>
      <c r="O25" s="3">
        <f t="shared" ref="O25:O27" si="13">N25*P25</f>
        <v>21.2</v>
      </c>
      <c r="P25" s="10">
        <v>2.0</v>
      </c>
      <c r="Q25" s="10">
        <v>11.9</v>
      </c>
      <c r="R25" s="3">
        <f t="shared" si="12"/>
        <v>35.7</v>
      </c>
      <c r="S25" s="10">
        <v>3.0</v>
      </c>
      <c r="T25" s="62">
        <f t="shared" si="11"/>
        <v>7.82</v>
      </c>
      <c r="U25" s="3">
        <f>SUMIFS( historical_events_FACT!J:J, historical_events_FACT!G:G, B25,historical_events_FACT!B:B, "2016",historical_events_FACT!C:C, "5" )</f>
        <v>23.47</v>
      </c>
      <c r="V25" s="3">
        <f>COUNTIFS(historical_events_FACT!G:G, B25,historical_events_FACT!B:B, "2016",historical_events_FACT!C:C, "5" )</f>
        <v>3</v>
      </c>
      <c r="W25" s="3">
        <f>MAXIFS( historical_events_FACT!J:J, historical_events_FACT!G:G, B25,historical_events_FACT!C:C, "5" )</f>
        <v>13.17</v>
      </c>
      <c r="X25" s="97">
        <f t="array" ref="X25">ROUND(AVERAGEIF({ IFERROR(XLOOKUP(B25, 'Surfer Stats - Event 4'!B:B, 'Surfer Stats - Event 4'!AF:AF), ""), IFERROR(XLOOKUP(B25, 'Surfer Stats - Event 2'!B:B, 'Surfer Stats - Event 2'!AG:AG), ""), IFERROR(XLOOKUP(B25, 'Surfer Stats - Event 3'!B:B, 'Surfer Stats - Event 3'!AF:AF), "") }, "&lt;&gt;"),2)</f>
        <v>35.91</v>
      </c>
      <c r="Y25" s="3">
        <f t="array" ref="Y25">XLOOKUP(B25, 'Surfer Stats - Event 4'!B:B, 'Surfer Stats - Event 4'!AF:AF)</f>
        <v>52.14</v>
      </c>
      <c r="Z25" s="75">
        <f>2750+4000</f>
        <v>6750</v>
      </c>
      <c r="AA25" s="10">
        <f t="array" ref="AA25">XLOOKUP(B25, 'Post-Event_5'!C:C, 'Post-Event_5'!G:G)</f>
        <v>14.56</v>
      </c>
    </row>
    <row r="26">
      <c r="A26" s="78">
        <v>1.0</v>
      </c>
      <c r="B26" s="98" t="s">
        <v>17</v>
      </c>
      <c r="C26" s="78">
        <v>2.0</v>
      </c>
      <c r="D26" s="3" t="str">
        <f t="array" ref="D26">XLOOKUP(B26, 'Surfer Stats - Event 4'!B:B, 'Surfer Stats - Event 4'!D:D)</f>
        <v>Goofy</v>
      </c>
      <c r="E26" s="3">
        <f t="shared" si="1"/>
        <v>10</v>
      </c>
      <c r="F26" s="10">
        <v>0.0</v>
      </c>
      <c r="G26" s="3">
        <f t="shared" si="2"/>
        <v>0</v>
      </c>
      <c r="H26" s="74" t="s">
        <v>213</v>
      </c>
      <c r="I26" s="39">
        <v>99.0</v>
      </c>
      <c r="J26" s="10">
        <v>5.0</v>
      </c>
      <c r="K26" s="10">
        <v>13.0</v>
      </c>
      <c r="L26" s="3">
        <f>COUNTIFS( historical_events_FACT!J:J, "&gt;16", historical_events_FACT!G:G, B26,historical_events_FACT!C:C, "5" )</f>
        <v>1</v>
      </c>
      <c r="M26" s="3">
        <f t="shared" si="3"/>
        <v>12.82</v>
      </c>
      <c r="N26" s="10">
        <v>10.6</v>
      </c>
      <c r="O26" s="3">
        <f t="shared" si="13"/>
        <v>21.2</v>
      </c>
      <c r="P26" s="10">
        <v>2.0</v>
      </c>
      <c r="Q26" s="3">
        <f>IF(S26=0,0,ROUND(R26/S26,2))</f>
        <v>13.51</v>
      </c>
      <c r="R26" s="3">
        <f>SUMIFS( historical_events_FACT!J:J, historical_events_FACT!G:G, B26,historical_events_FACT!B:B, "2015",historical_events_FACT!C:C, "5" )</f>
        <v>67.54</v>
      </c>
      <c r="S26" s="3">
        <f>COUNTIFS(historical_events_FACT!G:G, B26,historical_events_FACT!B:B, "2015",historical_events_FACT!C:C, "5" )</f>
        <v>5</v>
      </c>
      <c r="T26" s="62">
        <f t="shared" si="11"/>
        <v>13.17</v>
      </c>
      <c r="U26" s="3">
        <f>SUMIFS( historical_events_FACT!J:J, historical_events_FACT!G:G, B26,historical_events_FACT!B:B, "2016",historical_events_FACT!C:C, "5" )</f>
        <v>39.5</v>
      </c>
      <c r="V26" s="3">
        <f>COUNTIFS(historical_events_FACT!G:G, B26,historical_events_FACT!B:B, "2016",historical_events_FACT!C:C, "5" )</f>
        <v>3</v>
      </c>
      <c r="W26" s="3">
        <f>MAXIFS( historical_events_FACT!J:J, historical_events_FACT!G:G, B26,historical_events_FACT!C:C, "5" )</f>
        <v>17</v>
      </c>
      <c r="X26" s="99">
        <v>82.32</v>
      </c>
      <c r="Y26" s="39">
        <v>82.32</v>
      </c>
      <c r="Z26" s="75">
        <f>6200+500</f>
        <v>6700</v>
      </c>
      <c r="AA26" s="10">
        <f t="array" ref="AA26">XLOOKUP(B26, 'Post-Event_5'!C:C, 'Post-Event_5'!G:G)</f>
        <v>43.1</v>
      </c>
    </row>
    <row r="27">
      <c r="A27" s="64">
        <v>1.0</v>
      </c>
      <c r="B27" s="51" t="s">
        <v>169</v>
      </c>
      <c r="C27" s="78">
        <v>3.0</v>
      </c>
      <c r="D27" s="3" t="str">
        <f t="array" ref="D27">XLOOKUP(B27, 'Surfer Stats - Event 4'!B:B, 'Surfer Stats - Event 4'!D:D)</f>
        <v>Goofy</v>
      </c>
      <c r="E27" s="3">
        <f t="shared" si="1"/>
        <v>7</v>
      </c>
      <c r="F27" s="10">
        <v>0.0</v>
      </c>
      <c r="G27" s="3">
        <f t="shared" si="2"/>
        <v>0</v>
      </c>
      <c r="H27" s="66" t="s">
        <v>213</v>
      </c>
      <c r="I27" s="39">
        <v>99.0</v>
      </c>
      <c r="J27" s="10">
        <v>99.0</v>
      </c>
      <c r="K27" s="10">
        <v>99.0</v>
      </c>
      <c r="L27" s="3">
        <f>COUNTIFS( historical_events_FACT!J:J, "&gt;16", historical_events_FACT!G:G, B27,historical_events_FACT!C:C, "5" )</f>
        <v>0</v>
      </c>
      <c r="M27" s="3">
        <f t="shared" si="3"/>
        <v>11.01</v>
      </c>
      <c r="N27" s="10">
        <v>10.6</v>
      </c>
      <c r="O27" s="3">
        <f t="shared" si="13"/>
        <v>21.2</v>
      </c>
      <c r="P27" s="10">
        <v>2.0</v>
      </c>
      <c r="Q27" s="10">
        <v>11.9</v>
      </c>
      <c r="R27" s="3">
        <f>Q27*S27</f>
        <v>35.7</v>
      </c>
      <c r="S27" s="10">
        <v>3.0</v>
      </c>
      <c r="T27" s="10">
        <v>10.09</v>
      </c>
      <c r="U27" s="3">
        <f t="shared" ref="U27:U29" si="14">T27*V27</f>
        <v>20.18</v>
      </c>
      <c r="V27" s="10">
        <v>2.0</v>
      </c>
      <c r="W27" s="10">
        <v>13.39</v>
      </c>
      <c r="X27" s="97">
        <f t="array" ref="X27">ROUND(AVERAGEIF({ IFERROR(XLOOKUP(B27, 'Surfer Stats - Event 4'!B:B, 'Surfer Stats - Event 4'!AF:AF), ""), IFERROR(XLOOKUP(B27, 'Surfer Stats - Event 2'!B:B, 'Surfer Stats - Event 2'!AG:AG), ""), IFERROR(XLOOKUP(B27, 'Surfer Stats - Event 3'!B:B, 'Surfer Stats - Event 3'!AF:AF), "") }, "&lt;&gt;"),2)</f>
        <v>99.62</v>
      </c>
      <c r="Y27" s="3">
        <f t="array" ref="Y27">XLOOKUP(B27, 'Surfer Stats - Event 4'!B:B, 'Surfer Stats - Event 4'!AF:AF)</f>
        <v>99.62</v>
      </c>
      <c r="Z27" s="78">
        <v>6500.0</v>
      </c>
      <c r="AA27" s="10">
        <f t="array" ref="AA27">XLOOKUP(B27, 'Post-Event_5'!C:C, 'Post-Event_5'!G:G)</f>
        <v>19.76</v>
      </c>
    </row>
    <row r="28">
      <c r="A28" s="51">
        <v>1.0</v>
      </c>
      <c r="B28" s="51" t="s">
        <v>59</v>
      </c>
      <c r="C28" s="78">
        <v>3.0</v>
      </c>
      <c r="D28" s="3" t="str">
        <f t="array" ref="D28">XLOOKUP(B28, 'Surfer Stats - Event 4'!B:B, 'Surfer Stats - Event 4'!D:D)</f>
        <v>Regular</v>
      </c>
      <c r="E28" s="3">
        <f t="shared" si="1"/>
        <v>8</v>
      </c>
      <c r="F28" s="10">
        <v>0.0</v>
      </c>
      <c r="G28" s="3">
        <f t="shared" si="2"/>
        <v>0</v>
      </c>
      <c r="H28" s="35" t="s">
        <v>215</v>
      </c>
      <c r="I28" s="39">
        <v>13.0</v>
      </c>
      <c r="J28" s="10">
        <v>13.0</v>
      </c>
      <c r="K28" s="10">
        <v>99.0</v>
      </c>
      <c r="L28" s="3">
        <f>COUNTIFS( historical_events_FACT!J:J, "&gt;16", historical_events_FACT!G:G, B28,historical_events_FACT!C:C, "5" )</f>
        <v>0</v>
      </c>
      <c r="M28" s="3">
        <f t="shared" si="3"/>
        <v>11.89</v>
      </c>
      <c r="N28" s="3">
        <f>IF(P28=0,0,ROUND(O28/P28,2))</f>
        <v>14.6</v>
      </c>
      <c r="O28" s="3">
        <f>SUMIFS( '2014Data'!I:I, '2014Data'!F:F, B28,'2014Data'!B:B, "5" )</f>
        <v>43.8</v>
      </c>
      <c r="P28" s="3">
        <f>COUNTIFS('2014Data'!F:F, B28,'2014Data'!B:B, "5" )</f>
        <v>3</v>
      </c>
      <c r="Q28" s="3">
        <f>IF(S28=0,0,ROUND(R28/S28,2))</f>
        <v>10.37</v>
      </c>
      <c r="R28" s="3">
        <f>SUMIFS( historical_events_FACT!J:J, historical_events_FACT!G:G, B28,historical_events_FACT!B:B, "2015",historical_events_FACT!C:C, "5" )</f>
        <v>31.1</v>
      </c>
      <c r="S28" s="3">
        <f>COUNTIFS(historical_events_FACT!G:G, B28,historical_events_FACT!B:B, "2015",historical_events_FACT!C:C, "5" )</f>
        <v>3</v>
      </c>
      <c r="T28" s="10">
        <v>10.09</v>
      </c>
      <c r="U28" s="3">
        <f t="shared" si="14"/>
        <v>20.18</v>
      </c>
      <c r="V28" s="10">
        <v>2.0</v>
      </c>
      <c r="W28" s="3">
        <f>MAXIFS( historical_events_FACT!J:J, historical_events_FACT!G:G, B28,historical_events_FACT!C:C, "5" )</f>
        <v>15.93</v>
      </c>
      <c r="X28" s="97">
        <f t="array" ref="X28">ROUND(AVERAGEIF({ IFERROR(XLOOKUP(B28, 'Surfer Stats - Event 4'!B:B, 'Surfer Stats - Event 4'!AF:AF), ""), IFERROR(XLOOKUP(B28, 'Surfer Stats - Event 2'!B:B, 'Surfer Stats - Event 2'!AG:AG), ""), IFERROR(XLOOKUP(B28, 'Surfer Stats - Event 3'!B:B, 'Surfer Stats - Event 3'!AF:AF), "") }, "&lt;&gt;"),2)</f>
        <v>39.05</v>
      </c>
      <c r="Y28" s="3">
        <f t="array" ref="Y28">XLOOKUP(B28, 'Surfer Stats - Event 4'!B:B, 'Surfer Stats - Event 4'!AF:AF)</f>
        <v>41.06</v>
      </c>
      <c r="Z28" s="75">
        <f t="shared" ref="Z28:Z30" si="15">4000+1750</f>
        <v>5750</v>
      </c>
      <c r="AA28" s="10">
        <f t="array" ref="AA28">XLOOKUP(B28, 'Post-Event_5'!C:C, 'Post-Event_5'!G:G)</f>
        <v>60.66</v>
      </c>
    </row>
    <row r="29">
      <c r="A29" s="78">
        <v>1.0</v>
      </c>
      <c r="B29" s="51" t="s">
        <v>67</v>
      </c>
      <c r="C29" s="78">
        <v>3.0</v>
      </c>
      <c r="D29" s="3" t="str">
        <f t="array" ref="D29">XLOOKUP(B29, 'Surfer Stats - Event 4'!B:B, 'Surfer Stats - Event 4'!D:D)</f>
        <v>Goofy</v>
      </c>
      <c r="E29" s="3">
        <f t="shared" si="1"/>
        <v>7</v>
      </c>
      <c r="F29" s="10">
        <v>0.0</v>
      </c>
      <c r="G29" s="3">
        <f t="shared" si="2"/>
        <v>0</v>
      </c>
      <c r="H29" s="35" t="s">
        <v>213</v>
      </c>
      <c r="I29" s="39">
        <v>99.0</v>
      </c>
      <c r="J29" s="10">
        <v>99.0</v>
      </c>
      <c r="K29" s="10">
        <v>99.0</v>
      </c>
      <c r="L29" s="3">
        <f>COUNTIFS( historical_events_FACT!J:J, "&gt;16", historical_events_FACT!G:G, B29,historical_events_FACT!C:C, "5" )</f>
        <v>0</v>
      </c>
      <c r="M29" s="3">
        <f t="shared" si="3"/>
        <v>11.01</v>
      </c>
      <c r="N29" s="10">
        <v>10.6</v>
      </c>
      <c r="O29" s="3">
        <f>N29*P29</f>
        <v>21.2</v>
      </c>
      <c r="P29" s="10">
        <v>2.0</v>
      </c>
      <c r="Q29" s="10">
        <v>11.9</v>
      </c>
      <c r="R29" s="3">
        <f>Q29*S29</f>
        <v>35.7</v>
      </c>
      <c r="S29" s="10">
        <v>3.0</v>
      </c>
      <c r="T29" s="10">
        <v>10.09</v>
      </c>
      <c r="U29" s="3">
        <f t="shared" si="14"/>
        <v>20.18</v>
      </c>
      <c r="V29" s="10">
        <v>2.0</v>
      </c>
      <c r="W29" s="10">
        <v>13.39</v>
      </c>
      <c r="X29" s="97">
        <f t="array" ref="X29">ROUND(AVERAGEIF({ IFERROR(XLOOKUP(B29, 'Surfer Stats - Event 4'!B:B, 'Surfer Stats - Event 4'!AF:AF), ""), IFERROR(XLOOKUP(B29, 'Surfer Stats - Event 2'!B:B, 'Surfer Stats - Event 2'!AG:AG), ""), IFERROR(XLOOKUP(B29, 'Surfer Stats - Event 3'!B:B, 'Surfer Stats - Event 3'!AF:AF), "") }, "&lt;&gt;"),2)</f>
        <v>25.19</v>
      </c>
      <c r="Y29" s="3">
        <f t="array" ref="Y29">XLOOKUP(B29, 'Surfer Stats - Event 4'!B:B, 'Surfer Stats - Event 4'!AF:AF)</f>
        <v>26.73</v>
      </c>
      <c r="Z29" s="75">
        <f t="shared" si="15"/>
        <v>5750</v>
      </c>
      <c r="AA29" s="10">
        <f t="array" ref="AA29">XLOOKUP(B29, 'Post-Event_5'!C:C, 'Post-Event_5'!G:G)</f>
        <v>61.66</v>
      </c>
    </row>
    <row r="30">
      <c r="A30" s="78">
        <v>1.0</v>
      </c>
      <c r="B30" s="51" t="s">
        <v>56</v>
      </c>
      <c r="C30" s="78">
        <v>3.0</v>
      </c>
      <c r="D30" s="3" t="str">
        <f t="array" ref="D30">XLOOKUP(B30, 'Surfer Stats - Event 4'!B:B, 'Surfer Stats - Event 4'!D:D)</f>
        <v>Goofy</v>
      </c>
      <c r="E30" s="3">
        <f t="shared" si="1"/>
        <v>11</v>
      </c>
      <c r="F30" s="10">
        <v>0.0</v>
      </c>
      <c r="G30" s="3">
        <f t="shared" si="2"/>
        <v>0</v>
      </c>
      <c r="H30" s="39" t="s">
        <v>214</v>
      </c>
      <c r="I30" s="39">
        <v>2.0</v>
      </c>
      <c r="J30" s="10">
        <v>13.0</v>
      </c>
      <c r="K30" s="10">
        <v>25.0</v>
      </c>
      <c r="L30" s="3">
        <f>COUNTIFS( historical_events_FACT!J:J, "&gt;16", historical_events_FACT!G:G, B30,historical_events_FACT!C:C, "5" )</f>
        <v>1</v>
      </c>
      <c r="M30" s="3">
        <f t="shared" si="3"/>
        <v>13.6</v>
      </c>
      <c r="N30" s="3">
        <f t="shared" ref="N30:N32" si="16">IF(P30=0,0,ROUND(O30/P30,2))</f>
        <v>14.05</v>
      </c>
      <c r="O30" s="3">
        <f>SUMIFS( '2014Data'!I:I, '2014Data'!F:F, B30,'2014Data'!B:B, "5" )</f>
        <v>98.33</v>
      </c>
      <c r="P30" s="3">
        <f>COUNTIFS('2014Data'!F:F, B30,'2014Data'!B:B, "5" )</f>
        <v>7</v>
      </c>
      <c r="Q30" s="3">
        <f t="shared" ref="Q30:Q32" si="17">IF(S30=0,0,ROUND(R30/S30,2))</f>
        <v>13.47</v>
      </c>
      <c r="R30" s="3">
        <f>SUMIFS( historical_events_FACT!J:J, historical_events_FACT!G:G, B30,historical_events_FACT!B:B, "2015",historical_events_FACT!C:C, "5" )</f>
        <v>26.94</v>
      </c>
      <c r="S30" s="3">
        <f>COUNTIFS(historical_events_FACT!G:G, B30,historical_events_FACT!B:B, "2015",historical_events_FACT!C:C, "5" )</f>
        <v>2</v>
      </c>
      <c r="T30" s="62">
        <f t="shared" ref="T30:T33" si="18">IF(U30=0,0,ROUND(U30/V30,2))</f>
        <v>12.19</v>
      </c>
      <c r="U30" s="3">
        <f>SUMIFS( historical_events_FACT!J:J, historical_events_FACT!G:G, B30,historical_events_FACT!B:B, "2016",historical_events_FACT!C:C, "5" )</f>
        <v>24.37</v>
      </c>
      <c r="V30" s="3">
        <f>COUNTIFS(historical_events_FACT!G:G, B30,historical_events_FACT!B:B, "2016",historical_events_FACT!C:C, "5" )</f>
        <v>2</v>
      </c>
      <c r="W30" s="3">
        <f>MAXIFS( historical_events_FACT!J:J, historical_events_FACT!G:G, B30,historical_events_FACT!C:C, "5" )</f>
        <v>16.33</v>
      </c>
      <c r="X30" s="97">
        <f t="array" ref="X30">ROUND(AVERAGEIF({ IFERROR(XLOOKUP(B30, 'Surfer Stats - Event 4'!B:B, 'Surfer Stats - Event 4'!AF:AF), ""), IFERROR(XLOOKUP(B30, 'Surfer Stats - Event 2'!B:B, 'Surfer Stats - Event 2'!AG:AG), ""), IFERROR(XLOOKUP(B30, 'Surfer Stats - Event 3'!B:B, 'Surfer Stats - Event 3'!AF:AF), "") }, "&lt;&gt;"),2)</f>
        <v>31.74</v>
      </c>
      <c r="Y30" s="3">
        <f t="array" ref="Y30">XLOOKUP(B30, 'Surfer Stats - Event 4'!B:B, 'Surfer Stats - Event 4'!AF:AF)</f>
        <v>29.7</v>
      </c>
      <c r="Z30" s="75">
        <f t="shared" si="15"/>
        <v>5750</v>
      </c>
      <c r="AA30" s="10">
        <f t="array" ref="AA30">XLOOKUP(B30, 'Post-Event_5'!C:C, 'Post-Event_5'!G:G)</f>
        <v>18.53</v>
      </c>
    </row>
    <row r="31">
      <c r="A31" s="78">
        <v>1.0</v>
      </c>
      <c r="B31" s="51" t="s">
        <v>55</v>
      </c>
      <c r="C31" s="78">
        <v>3.0</v>
      </c>
      <c r="D31" s="3" t="str">
        <f t="array" ref="D31">XLOOKUP(B31, 'Surfer Stats - Event 4'!B:B, 'Surfer Stats - Event 4'!D:D)</f>
        <v>Goofy</v>
      </c>
      <c r="E31" s="3">
        <f t="shared" si="1"/>
        <v>6</v>
      </c>
      <c r="F31" s="10">
        <v>0.0</v>
      </c>
      <c r="G31" s="3">
        <f t="shared" si="2"/>
        <v>0</v>
      </c>
      <c r="H31" s="39" t="s">
        <v>213</v>
      </c>
      <c r="I31" s="39">
        <v>25.0</v>
      </c>
      <c r="J31" s="10">
        <v>25.0</v>
      </c>
      <c r="K31" s="10">
        <v>13.0</v>
      </c>
      <c r="L31" s="3">
        <f>COUNTIFS( historical_events_FACT!J:J, "&gt;16", historical_events_FACT!G:G, B31,historical_events_FACT!C:C, "5" )</f>
        <v>0</v>
      </c>
      <c r="M31" s="3">
        <f t="shared" si="3"/>
        <v>11.34</v>
      </c>
      <c r="N31" s="3">
        <f t="shared" si="16"/>
        <v>12.82</v>
      </c>
      <c r="O31" s="3">
        <f>SUMIFS( '2014Data'!I:I, '2014Data'!F:F, B31,'2014Data'!B:B, "5" )</f>
        <v>25.63</v>
      </c>
      <c r="P31" s="3">
        <f>COUNTIFS('2014Data'!F:F, B31,'2014Data'!B:B, "5" )</f>
        <v>2</v>
      </c>
      <c r="Q31" s="3">
        <f t="shared" si="17"/>
        <v>8.64</v>
      </c>
      <c r="R31" s="3">
        <f>SUMIFS( historical_events_FACT!J:J, historical_events_FACT!G:G, B31,historical_events_FACT!B:B, "2015",historical_events_FACT!C:C, "5" )</f>
        <v>17.27</v>
      </c>
      <c r="S31" s="3">
        <f>COUNTIFS(historical_events_FACT!G:G, B31,historical_events_FACT!B:B, "2015",historical_events_FACT!C:C, "5" )</f>
        <v>2</v>
      </c>
      <c r="T31" s="62">
        <f t="shared" si="18"/>
        <v>12.58</v>
      </c>
      <c r="U31" s="3">
        <f>SUMIFS( historical_events_FACT!J:J, historical_events_FACT!G:G, B31,historical_events_FACT!B:B, "2016",historical_events_FACT!C:C, "5" )</f>
        <v>25.16</v>
      </c>
      <c r="V31" s="3">
        <f>COUNTIFS(historical_events_FACT!G:G, B31,historical_events_FACT!B:B, "2016",historical_events_FACT!C:C, "5" )</f>
        <v>2</v>
      </c>
      <c r="W31" s="3">
        <f>MAXIFS( historical_events_FACT!J:J, historical_events_FACT!G:G, B31,historical_events_FACT!C:C, "5" )</f>
        <v>15.23</v>
      </c>
      <c r="X31" s="97">
        <f t="array" ref="X31">ROUND(AVERAGEIF({ IFERROR(XLOOKUP(B31, 'Surfer Stats - Event 4'!B:B, 'Surfer Stats - Event 4'!AF:AF), ""), IFERROR(XLOOKUP(B31, 'Surfer Stats - Event 2'!B:B, 'Surfer Stats - Event 2'!AG:AG), ""), IFERROR(XLOOKUP(B31, 'Surfer Stats - Event 3'!B:B, 'Surfer Stats - Event 3'!AF:AF), "") }, "&lt;&gt;"),2)</f>
        <v>23.88</v>
      </c>
      <c r="Y31" s="3">
        <f t="array" ref="Y31">XLOOKUP(B31, 'Surfer Stats - Event 4'!B:B, 'Surfer Stats - Event 4'!AF:AF)</f>
        <v>26.07</v>
      </c>
      <c r="Z31" s="75">
        <f>500+4000</f>
        <v>4500</v>
      </c>
      <c r="AA31" s="10">
        <f t="array" ref="AA31">XLOOKUP(B31, 'Post-Event_5'!C:C, 'Post-Event_5'!G:G)</f>
        <v>35.17</v>
      </c>
    </row>
    <row r="32">
      <c r="A32" s="64">
        <v>1.0</v>
      </c>
      <c r="B32" s="51" t="s">
        <v>35</v>
      </c>
      <c r="C32" s="78">
        <v>3.0</v>
      </c>
      <c r="D32" s="3" t="str">
        <f t="array" ref="D32">XLOOKUP(B32, 'Surfer Stats - Event 4'!B:B, 'Surfer Stats - Event 4'!D:D)</f>
        <v>Goofy</v>
      </c>
      <c r="E32" s="3">
        <f t="shared" si="1"/>
        <v>8</v>
      </c>
      <c r="F32" s="10">
        <v>0.0</v>
      </c>
      <c r="G32" s="3">
        <f t="shared" si="2"/>
        <v>0</v>
      </c>
      <c r="H32" s="39" t="s">
        <v>213</v>
      </c>
      <c r="I32" s="39">
        <v>25.0</v>
      </c>
      <c r="J32" s="10">
        <v>13.0</v>
      </c>
      <c r="K32" s="10">
        <v>9.0</v>
      </c>
      <c r="L32" s="3">
        <f>COUNTIFS( historical_events_FACT!J:J, "&gt;16", historical_events_FACT!G:G, B32,historical_events_FACT!C:C, "5" )</f>
        <v>0</v>
      </c>
      <c r="M32" s="3">
        <f t="shared" si="3"/>
        <v>12.8</v>
      </c>
      <c r="N32" s="3">
        <f t="shared" si="16"/>
        <v>11.37</v>
      </c>
      <c r="O32" s="3">
        <f>SUMIFS( '2014Data'!I:I, '2014Data'!F:F, B32,'2014Data'!B:B, "5" )</f>
        <v>22.73</v>
      </c>
      <c r="P32" s="3">
        <f>COUNTIFS('2014Data'!F:F, B32,'2014Data'!B:B, "5" )</f>
        <v>2</v>
      </c>
      <c r="Q32" s="3">
        <f t="shared" si="17"/>
        <v>13.49</v>
      </c>
      <c r="R32" s="3">
        <f>SUMIFS( historical_events_FACT!J:J, historical_events_FACT!G:G, B32,historical_events_FACT!B:B, "2015",historical_events_FACT!C:C, "5" )</f>
        <v>26.97</v>
      </c>
      <c r="S32" s="3">
        <f>COUNTIFS(historical_events_FACT!G:G, B32,historical_events_FACT!B:B, "2015",historical_events_FACT!C:C, "5" )</f>
        <v>2</v>
      </c>
      <c r="T32" s="62">
        <f t="shared" si="18"/>
        <v>13.18</v>
      </c>
      <c r="U32" s="3">
        <f>SUMIFS( historical_events_FACT!J:J, historical_events_FACT!G:G, B32,historical_events_FACT!B:B, "2016",historical_events_FACT!C:C, "5" )</f>
        <v>52.7</v>
      </c>
      <c r="V32" s="3">
        <f>COUNTIFS(historical_events_FACT!G:G, B32,historical_events_FACT!B:B, "2016",historical_events_FACT!C:C, "5" )</f>
        <v>4</v>
      </c>
      <c r="W32" s="3">
        <f>MAXIFS( historical_events_FACT!J:J, historical_events_FACT!G:G, B32,historical_events_FACT!C:C, "5" )</f>
        <v>15.17</v>
      </c>
      <c r="X32" s="97">
        <f t="array" ref="X32">ROUND(AVERAGEIF({ IFERROR(XLOOKUP(B32, 'Surfer Stats - Event 4'!B:B, 'Surfer Stats - Event 4'!AF:AF), ""), IFERROR(XLOOKUP(B32, 'Surfer Stats - Event 2'!B:B, 'Surfer Stats - Event 2'!AG:AG), ""), IFERROR(XLOOKUP(B32, 'Surfer Stats - Event 3'!B:B, 'Surfer Stats - Event 3'!AF:AF), "") }, "&lt;&gt;"),2)</f>
        <v>23.03</v>
      </c>
      <c r="Y32" s="3">
        <f t="array" ref="Y32">XLOOKUP(B32, 'Surfer Stats - Event 4'!B:B, 'Surfer Stats - Event 4'!AF:AF)</f>
        <v>35.43</v>
      </c>
      <c r="Z32" s="75">
        <f>2750+1750</f>
        <v>4500</v>
      </c>
      <c r="AA32" s="10">
        <f t="array" ref="AA32">XLOOKUP(B32, 'Post-Event_5'!C:C, 'Post-Event_5'!G:G)</f>
        <v>21.6</v>
      </c>
    </row>
    <row r="33">
      <c r="A33" s="78">
        <v>1.0</v>
      </c>
      <c r="B33" s="51" t="s">
        <v>36</v>
      </c>
      <c r="C33" s="78">
        <v>3.0</v>
      </c>
      <c r="D33" s="3" t="str">
        <f t="array" ref="D33">XLOOKUP(B33, 'Surfer Stats - Event 4'!B:B, 'Surfer Stats - Event 4'!D:D)</f>
        <v>Regular</v>
      </c>
      <c r="E33" s="3">
        <f t="shared" si="1"/>
        <v>7</v>
      </c>
      <c r="F33" s="10">
        <v>0.0</v>
      </c>
      <c r="G33" s="3">
        <f t="shared" si="2"/>
        <v>0</v>
      </c>
      <c r="H33" s="10" t="s">
        <v>215</v>
      </c>
      <c r="I33" s="39">
        <v>99.0</v>
      </c>
      <c r="J33" s="10">
        <v>99.0</v>
      </c>
      <c r="K33" s="10">
        <v>25.0</v>
      </c>
      <c r="L33" s="3">
        <f>COUNTIFS( historical_events_FACT!J:J, "&gt;16", historical_events_FACT!G:G, B33,historical_events_FACT!C:C, "5" )</f>
        <v>0</v>
      </c>
      <c r="M33" s="3">
        <f t="shared" si="3"/>
        <v>11.2</v>
      </c>
      <c r="N33" s="10">
        <v>10.6</v>
      </c>
      <c r="O33" s="3">
        <f t="shared" ref="O33:O34" si="19">N33*P33</f>
        <v>21.2</v>
      </c>
      <c r="P33" s="10">
        <v>2.0</v>
      </c>
      <c r="Q33" s="10">
        <v>11.9</v>
      </c>
      <c r="R33" s="3">
        <f t="shared" ref="R33:R34" si="20">Q33*S33</f>
        <v>35.7</v>
      </c>
      <c r="S33" s="10">
        <v>3.0</v>
      </c>
      <c r="T33" s="62">
        <f t="shared" si="18"/>
        <v>10.75</v>
      </c>
      <c r="U33" s="3">
        <f>SUMIFS( historical_events_FACT!J:J, historical_events_FACT!G:G, B33,historical_events_FACT!B:B, "2016",historical_events_FACT!C:C, "5" )</f>
        <v>21.5</v>
      </c>
      <c r="V33" s="3">
        <f>COUNTIFS(historical_events_FACT!G:G, B33,historical_events_FACT!B:B, "2016",historical_events_FACT!C:C, "5" )</f>
        <v>2</v>
      </c>
      <c r="W33" s="3">
        <f>MAXIFS( historical_events_FACT!J:J, historical_events_FACT!G:G, B33,historical_events_FACT!C:C, "5" )</f>
        <v>12.67</v>
      </c>
      <c r="X33" s="97">
        <f t="array" ref="X33">ROUND(AVERAGEIF({ IFERROR(XLOOKUP(B33, 'Surfer Stats - Event 4'!B:B, 'Surfer Stats - Event 4'!AF:AF), ""), IFERROR(XLOOKUP(B33, 'Surfer Stats - Event 2'!B:B, 'Surfer Stats - Event 2'!AG:AG), ""), IFERROR(XLOOKUP(B33, 'Surfer Stats - Event 3'!B:B, 'Surfer Stats - Event 3'!AF:AF), "") }, "&lt;&gt;"),2)</f>
        <v>21.39</v>
      </c>
      <c r="Y33" s="3">
        <f t="array" ref="Y33">XLOOKUP(B33, 'Surfer Stats - Event 4'!B:B, 'Surfer Stats - Event 4'!AF:AF)</f>
        <v>28.02</v>
      </c>
      <c r="Z33" s="75">
        <f t="shared" ref="Z33:Z34" si="21">2750+500</f>
        <v>3250</v>
      </c>
      <c r="AA33" s="10">
        <f t="array" ref="AA33">XLOOKUP(B33, 'Post-Event_5'!C:C, 'Post-Event_5'!G:G)</f>
        <v>52.37</v>
      </c>
    </row>
    <row r="34">
      <c r="A34" s="78">
        <v>1.0</v>
      </c>
      <c r="B34" s="51" t="s">
        <v>65</v>
      </c>
      <c r="C34" s="78">
        <v>3.0</v>
      </c>
      <c r="D34" s="3" t="str">
        <f t="array" ref="D34">XLOOKUP(B34, 'Surfer Stats - Event 4'!B:B, 'Surfer Stats - Event 4'!D:D)</f>
        <v>Goofy</v>
      </c>
      <c r="E34" s="3">
        <f t="shared" si="1"/>
        <v>7</v>
      </c>
      <c r="F34" s="10">
        <v>0.0</v>
      </c>
      <c r="G34" s="3">
        <f t="shared" si="2"/>
        <v>0</v>
      </c>
      <c r="H34" s="39" t="s">
        <v>220</v>
      </c>
      <c r="I34" s="39">
        <v>99.0</v>
      </c>
      <c r="J34" s="10">
        <v>99.0</v>
      </c>
      <c r="K34" s="10">
        <v>99.0</v>
      </c>
      <c r="L34" s="3">
        <f>COUNTIFS( historical_events_FACT!J:J, "&gt;16", historical_events_FACT!G:G, B34,historical_events_FACT!C:C, "5" )</f>
        <v>0</v>
      </c>
      <c r="M34" s="3">
        <f t="shared" si="3"/>
        <v>11.01</v>
      </c>
      <c r="N34" s="10">
        <v>10.6</v>
      </c>
      <c r="O34" s="3">
        <f t="shared" si="19"/>
        <v>21.2</v>
      </c>
      <c r="P34" s="10">
        <v>2.0</v>
      </c>
      <c r="Q34" s="10">
        <v>11.9</v>
      </c>
      <c r="R34" s="3">
        <f t="shared" si="20"/>
        <v>35.7</v>
      </c>
      <c r="S34" s="10">
        <v>3.0</v>
      </c>
      <c r="T34" s="10">
        <v>10.09</v>
      </c>
      <c r="U34" s="3">
        <f>T34*V34</f>
        <v>20.18</v>
      </c>
      <c r="V34" s="10">
        <v>2.0</v>
      </c>
      <c r="W34" s="10">
        <v>13.39</v>
      </c>
      <c r="X34" s="97">
        <f t="array" ref="X34">ROUND(AVERAGEIF({ IFERROR(XLOOKUP(B34, 'Surfer Stats - Event 4'!B:B, 'Surfer Stats - Event 4'!AF:AF), ""), IFERROR(XLOOKUP(B34, 'Surfer Stats - Event 2'!B:B, 'Surfer Stats - Event 2'!AG:AG), ""), IFERROR(XLOOKUP(B34, 'Surfer Stats - Event 3'!B:B, 'Surfer Stats - Event 3'!AF:AF), "") }, "&lt;&gt;"),2)</f>
        <v>29.83</v>
      </c>
      <c r="Y34" s="3">
        <f t="array" ref="Y34">XLOOKUP(B34, 'Surfer Stats - Event 4'!B:B, 'Surfer Stats - Event 4'!AF:AF)</f>
        <v>28.1</v>
      </c>
      <c r="Z34" s="75">
        <f t="shared" si="21"/>
        <v>3250</v>
      </c>
      <c r="AA34" s="10">
        <f t="array" ref="AA34">XLOOKUP(B34, 'Post-Event_5'!C:C, 'Post-Event_5'!G:G)</f>
        <v>76.07</v>
      </c>
    </row>
    <row r="35">
      <c r="A35" s="64">
        <v>1.0</v>
      </c>
      <c r="B35" s="51" t="s">
        <v>45</v>
      </c>
      <c r="C35" s="78">
        <v>3.0</v>
      </c>
      <c r="D35" s="3" t="str">
        <f t="array" ref="D35">XLOOKUP(B35, 'Surfer Stats - Event 4'!B:B, 'Surfer Stats - Event 4'!D:D)</f>
        <v>Regular</v>
      </c>
      <c r="E35" s="3">
        <f t="shared" si="1"/>
        <v>9</v>
      </c>
      <c r="F35" s="10">
        <v>0.0</v>
      </c>
      <c r="G35" s="3">
        <f t="shared" si="2"/>
        <v>0</v>
      </c>
      <c r="H35" s="10" t="s">
        <v>214</v>
      </c>
      <c r="I35" s="39">
        <v>25.0</v>
      </c>
      <c r="J35" s="10">
        <v>25.0</v>
      </c>
      <c r="K35" s="10">
        <v>9.0</v>
      </c>
      <c r="L35" s="3">
        <f>COUNTIFS( historical_events_FACT!J:J, "&gt;16", historical_events_FACT!G:G, B35,historical_events_FACT!C:C, "5" )</f>
        <v>0</v>
      </c>
      <c r="M35" s="3">
        <f t="shared" si="3"/>
        <v>11.81</v>
      </c>
      <c r="N35" s="3">
        <f>IF(P35=0,0,ROUND(O35/P35,2))</f>
        <v>10.95</v>
      </c>
      <c r="O35" s="3">
        <f>SUMIFS( '2014Data'!I:I, '2014Data'!F:F, B35,'2014Data'!B:B, "5" )</f>
        <v>21.9</v>
      </c>
      <c r="P35" s="3">
        <f>COUNTIFS('2014Data'!F:F, B35,'2014Data'!B:B, "5" )</f>
        <v>2</v>
      </c>
      <c r="Q35" s="3">
        <f>IF(S35=0,0,ROUND(R35/S35,2))</f>
        <v>9.59</v>
      </c>
      <c r="R35" s="3">
        <f>SUMIFS( historical_events_FACT!J:J, historical_events_FACT!G:G, B35,historical_events_FACT!B:B, "2015",historical_events_FACT!C:C, "5" )</f>
        <v>19.17</v>
      </c>
      <c r="S35" s="3">
        <f>COUNTIFS(historical_events_FACT!G:G, B35,historical_events_FACT!B:B, "2015",historical_events_FACT!C:C, "5" )</f>
        <v>2</v>
      </c>
      <c r="T35" s="62">
        <f>IF(U35=0,0,ROUND(U35/V35,2))</f>
        <v>13.05</v>
      </c>
      <c r="U35" s="3">
        <f>SUMIFS( historical_events_FACT!J:J, historical_events_FACT!G:G, B35,historical_events_FACT!B:B, "2016",historical_events_FACT!C:C, "5" )</f>
        <v>65.25</v>
      </c>
      <c r="V35" s="3">
        <f>COUNTIFS(historical_events_FACT!G:G, B35,historical_events_FACT!B:B, "2016",historical_events_FACT!C:C, "5" )</f>
        <v>5</v>
      </c>
      <c r="W35" s="3">
        <f>MAXIFS( historical_events_FACT!J:J, historical_events_FACT!G:G, B35,historical_events_FACT!C:C, "5" )</f>
        <v>15.07</v>
      </c>
      <c r="X35" s="97">
        <f t="array" ref="X35">ROUND(AVERAGEIF({ IFERROR(XLOOKUP(B35, 'Surfer Stats - Event 4'!B:B, 'Surfer Stats - Event 4'!AF:AF), ""), IFERROR(XLOOKUP(B35, 'Surfer Stats - Event 2'!B:B, 'Surfer Stats - Event 2'!AG:AG), ""), IFERROR(XLOOKUP(B35, 'Surfer Stats - Event 3'!B:B, 'Surfer Stats - Event 3'!AF:AF), "") }, "&lt;&gt;"),2)</f>
        <v>21.75</v>
      </c>
      <c r="Y35" s="3">
        <f t="array" ref="Y35">XLOOKUP(B35, 'Surfer Stats - Event 4'!B:B, 'Surfer Stats - Event 4'!AF:AF)</f>
        <v>27</v>
      </c>
      <c r="Z35" s="75">
        <f>1500+1750</f>
        <v>3250</v>
      </c>
      <c r="AA35" s="10">
        <f t="array" ref="AA35">XLOOKUP(B35, 'Post-Event_5'!C:C, 'Post-Event_5'!G:G)</f>
        <v>18.23</v>
      </c>
    </row>
    <row r="36">
      <c r="A36" s="51">
        <v>0.0</v>
      </c>
      <c r="B36" s="90" t="s">
        <v>142</v>
      </c>
      <c r="C36" s="91">
        <v>3.0</v>
      </c>
      <c r="D36" s="3" t="str">
        <f t="array" ref="D36">XLOOKUP(B36, 'Surfer Stats - Event 4'!B:B, 'Surfer Stats - Event 4'!D:D)</f>
        <v>Goofy</v>
      </c>
      <c r="E36" s="3">
        <f t="shared" si="1"/>
        <v>7</v>
      </c>
      <c r="F36" s="10">
        <v>0.0</v>
      </c>
      <c r="G36" s="3">
        <f t="shared" si="2"/>
        <v>0</v>
      </c>
      <c r="H36" s="10" t="s">
        <v>213</v>
      </c>
      <c r="I36" s="39">
        <v>99.0</v>
      </c>
      <c r="J36" s="10">
        <v>99.0</v>
      </c>
      <c r="K36" s="10">
        <v>99.0</v>
      </c>
      <c r="L36" s="3">
        <f>COUNTIFS( historical_events_FACT!J:J, "&gt;16", historical_events_FACT!G:G, B36,historical_events_FACT!C:C, "5" )</f>
        <v>0</v>
      </c>
      <c r="M36" s="3">
        <f t="shared" si="3"/>
        <v>11.01</v>
      </c>
      <c r="N36" s="10">
        <v>10.6</v>
      </c>
      <c r="O36" s="3">
        <f t="shared" ref="O36:O44" si="22">N36*P36</f>
        <v>21.2</v>
      </c>
      <c r="P36" s="10">
        <v>2.0</v>
      </c>
      <c r="Q36" s="10">
        <v>11.9</v>
      </c>
      <c r="R36" s="3">
        <f t="shared" ref="R36:R44" si="23">Q36*S36</f>
        <v>35.7</v>
      </c>
      <c r="S36" s="10">
        <v>3.0</v>
      </c>
      <c r="T36" s="10">
        <v>10.09</v>
      </c>
      <c r="U36" s="3">
        <f t="shared" ref="U36:U43" si="24">T36*V36</f>
        <v>20.18</v>
      </c>
      <c r="V36" s="10">
        <v>2.0</v>
      </c>
      <c r="W36" s="10">
        <v>13.39</v>
      </c>
      <c r="X36" s="97">
        <f t="array" ref="X36">ROUND(AVERAGEIF({ IFERROR(XLOOKUP(B36, 'Surfer Stats - Event 4'!B:B, 'Surfer Stats - Event 4'!AF:AF), ""), IFERROR(XLOOKUP(B36, 'Surfer Stats - Event 2'!B:B, 'Surfer Stats - Event 2'!AG:AG), ""), IFERROR(XLOOKUP(B36, 'Surfer Stats - Event 3'!B:B, 'Surfer Stats - Event 3'!AF:AF), "") }, "&lt;&gt;"),2)</f>
        <v>14.68</v>
      </c>
      <c r="Y36" s="3">
        <f t="array" ref="Y36">XLOOKUP(B36, 'Surfer Stats - Event 4'!B:B, 'Surfer Stats - Event 4'!AF:AF)</f>
        <v>23.29</v>
      </c>
      <c r="Z36" s="83">
        <f>1750+500</f>
        <v>2250</v>
      </c>
      <c r="AA36" s="10">
        <v>0.0</v>
      </c>
    </row>
    <row r="37">
      <c r="A37" s="78">
        <v>1.0</v>
      </c>
      <c r="B37" s="51" t="s">
        <v>63</v>
      </c>
      <c r="C37" s="78">
        <v>3.0</v>
      </c>
      <c r="D37" s="3" t="str">
        <f t="array" ref="D37">XLOOKUP(B37, 'Surfer Stats - Event 4'!B:B, 'Surfer Stats - Event 4'!D:D)</f>
        <v>Regular</v>
      </c>
      <c r="E37" s="3">
        <f t="shared" si="1"/>
        <v>7</v>
      </c>
      <c r="F37" s="10">
        <v>0.0</v>
      </c>
      <c r="G37" s="3">
        <f t="shared" si="2"/>
        <v>0</v>
      </c>
      <c r="H37" s="10" t="s">
        <v>215</v>
      </c>
      <c r="I37" s="39">
        <v>99.0</v>
      </c>
      <c r="J37" s="10">
        <v>99.0</v>
      </c>
      <c r="K37" s="10">
        <v>99.0</v>
      </c>
      <c r="L37" s="3">
        <f>COUNTIFS( historical_events_FACT!J:J, "&gt;16", historical_events_FACT!G:G, B37,historical_events_FACT!C:C, "5" )</f>
        <v>0</v>
      </c>
      <c r="M37" s="3">
        <f t="shared" si="3"/>
        <v>11.01</v>
      </c>
      <c r="N37" s="10">
        <v>10.6</v>
      </c>
      <c r="O37" s="3">
        <f t="shared" si="22"/>
        <v>21.2</v>
      </c>
      <c r="P37" s="10">
        <v>2.0</v>
      </c>
      <c r="Q37" s="10">
        <v>11.9</v>
      </c>
      <c r="R37" s="3">
        <f t="shared" si="23"/>
        <v>35.7</v>
      </c>
      <c r="S37" s="10">
        <v>3.0</v>
      </c>
      <c r="T37" s="10">
        <v>10.09</v>
      </c>
      <c r="U37" s="3">
        <f t="shared" si="24"/>
        <v>20.18</v>
      </c>
      <c r="V37" s="10">
        <v>2.0</v>
      </c>
      <c r="W37" s="10">
        <v>13.39</v>
      </c>
      <c r="X37" s="97">
        <f t="array" ref="X37">ROUND(AVERAGEIF({ IFERROR(XLOOKUP(B37, 'Surfer Stats - Event 4'!B:B, 'Surfer Stats - Event 4'!AF:AF), ""), IFERROR(XLOOKUP(B37, 'Surfer Stats - Event 2'!B:B, 'Surfer Stats - Event 2'!AG:AG), ""), IFERROR(XLOOKUP(B37, 'Surfer Stats - Event 3'!B:B, 'Surfer Stats - Event 3'!AF:AF), "") }, "&lt;&gt;"),2)</f>
        <v>20.25</v>
      </c>
      <c r="Y37" s="3">
        <f t="array" ref="Y37">XLOOKUP(B37, 'Surfer Stats - Event 4'!B:B, 'Surfer Stats - Event 4'!AF:AF)</f>
        <v>15.91</v>
      </c>
      <c r="Z37" s="75">
        <f t="shared" ref="Z37:Z38" si="25">1500+500</f>
        <v>2000</v>
      </c>
      <c r="AA37" s="10">
        <f t="array" ref="AA37">XLOOKUP(B37, 'Post-Event_5'!C:C, 'Post-Event_5'!G:G)</f>
        <v>15.9</v>
      </c>
    </row>
    <row r="38">
      <c r="A38" s="51">
        <v>1.0</v>
      </c>
      <c r="B38" s="51" t="s">
        <v>66</v>
      </c>
      <c r="C38" s="78">
        <v>3.0</v>
      </c>
      <c r="D38" s="3" t="str">
        <f t="array" ref="D38">XLOOKUP(B38, 'Surfer Stats - Event 4'!B:B, 'Surfer Stats - Event 4'!D:D)</f>
        <v>Regular</v>
      </c>
      <c r="E38" s="3">
        <f t="shared" si="1"/>
        <v>7</v>
      </c>
      <c r="F38" s="10">
        <v>0.0</v>
      </c>
      <c r="G38" s="3">
        <f t="shared" si="2"/>
        <v>0</v>
      </c>
      <c r="H38" s="10" t="s">
        <v>221</v>
      </c>
      <c r="I38" s="39">
        <v>99.0</v>
      </c>
      <c r="J38" s="10">
        <v>99.0</v>
      </c>
      <c r="K38" s="10">
        <v>99.0</v>
      </c>
      <c r="L38" s="3">
        <f>COUNTIFS( historical_events_FACT!J:J, "&gt;16", historical_events_FACT!G:G, B38,historical_events_FACT!C:C, "5" )</f>
        <v>0</v>
      </c>
      <c r="M38" s="3">
        <f t="shared" si="3"/>
        <v>11.01</v>
      </c>
      <c r="N38" s="10">
        <v>10.6</v>
      </c>
      <c r="O38" s="3">
        <f t="shared" si="22"/>
        <v>21.2</v>
      </c>
      <c r="P38" s="10">
        <v>2.0</v>
      </c>
      <c r="Q38" s="10">
        <v>11.9</v>
      </c>
      <c r="R38" s="3">
        <f t="shared" si="23"/>
        <v>35.7</v>
      </c>
      <c r="S38" s="10">
        <v>3.0</v>
      </c>
      <c r="T38" s="10">
        <v>10.09</v>
      </c>
      <c r="U38" s="3">
        <f t="shared" si="24"/>
        <v>20.18</v>
      </c>
      <c r="V38" s="10">
        <v>2.0</v>
      </c>
      <c r="W38" s="10">
        <v>13.39</v>
      </c>
      <c r="X38" s="97">
        <f t="array" ref="X38">ROUND(AVERAGEIF({ IFERROR(XLOOKUP(B38, 'Surfer Stats - Event 4'!B:B, 'Surfer Stats - Event 4'!AF:AF), ""), IFERROR(XLOOKUP(B38, 'Surfer Stats - Event 2'!B:B, 'Surfer Stats - Event 2'!AG:AG), ""), IFERROR(XLOOKUP(B38, 'Surfer Stats - Event 3'!B:B, 'Surfer Stats - Event 3'!AF:AF), "") }, "&lt;&gt;"),2)</f>
        <v>19.79</v>
      </c>
      <c r="Y38" s="3">
        <f t="array" ref="Y38">XLOOKUP(B38, 'Surfer Stats - Event 4'!B:B, 'Surfer Stats - Event 4'!AF:AF)</f>
        <v>20.53</v>
      </c>
      <c r="Z38" s="75">
        <f t="shared" si="25"/>
        <v>2000</v>
      </c>
      <c r="AA38" s="10">
        <v>0.0</v>
      </c>
    </row>
    <row r="39">
      <c r="A39" s="51">
        <v>0.0</v>
      </c>
      <c r="B39" s="100" t="s">
        <v>262</v>
      </c>
      <c r="C39" s="91">
        <v>3.0</v>
      </c>
      <c r="D39" s="3" t="str">
        <f t="array" ref="D39">XLOOKUP(B39, 'Surfer Stats - Event 4'!B:B, 'Surfer Stats - Event 4'!D:D)</f>
        <v>Goofy</v>
      </c>
      <c r="E39" s="3">
        <f t="shared" si="1"/>
        <v>7</v>
      </c>
      <c r="F39" s="10">
        <v>0.0</v>
      </c>
      <c r="G39" s="3">
        <f t="shared" si="2"/>
        <v>0</v>
      </c>
      <c r="H39" s="66" t="s">
        <v>215</v>
      </c>
      <c r="I39" s="39">
        <v>99.0</v>
      </c>
      <c r="J39" s="10">
        <v>99.0</v>
      </c>
      <c r="K39" s="10">
        <v>99.0</v>
      </c>
      <c r="L39" s="3">
        <f>COUNTIFS( historical_events_FACT!J:J, "&gt;16", historical_events_FACT!G:G, B39,historical_events_FACT!C:C, "5" )</f>
        <v>0</v>
      </c>
      <c r="M39" s="3">
        <f t="shared" si="3"/>
        <v>11.01</v>
      </c>
      <c r="N39" s="10">
        <v>10.6</v>
      </c>
      <c r="O39" s="3">
        <f t="shared" si="22"/>
        <v>21.2</v>
      </c>
      <c r="P39" s="10">
        <v>2.0</v>
      </c>
      <c r="Q39" s="10">
        <v>11.9</v>
      </c>
      <c r="R39" s="3">
        <f t="shared" si="23"/>
        <v>35.7</v>
      </c>
      <c r="S39" s="10">
        <v>3.0</v>
      </c>
      <c r="T39" s="10">
        <v>10.09</v>
      </c>
      <c r="U39" s="3">
        <f t="shared" si="24"/>
        <v>20.18</v>
      </c>
      <c r="V39" s="10">
        <v>2.0</v>
      </c>
      <c r="W39" s="10">
        <v>13.39</v>
      </c>
      <c r="X39" s="97">
        <f t="array" ref="X39">ROUND(AVERAGEIF({ IFERROR(XLOOKUP(B39, 'Surfer Stats - Event 4'!B:B, 'Surfer Stats - Event 4'!AF:AF), ""), IFERROR(XLOOKUP(B39, 'Surfer Stats - Event 2'!B:B, 'Surfer Stats - Event 2'!AG:AG), ""), IFERROR(XLOOKUP(B39, 'Surfer Stats - Event 3'!B:B, 'Surfer Stats - Event 3'!AF:AF), "") }, "&lt;&gt;"),2)</f>
        <v>29.87</v>
      </c>
      <c r="Y39" s="3" t="str">
        <f t="array" ref="Y39">XLOOKUP(B39, 'Surfer Stats - Event 4'!B:B, 'Surfer Stats - Event 4'!AF:AF)</f>
        <v/>
      </c>
      <c r="Z39" s="83">
        <v>1750.0</v>
      </c>
      <c r="AA39" s="10">
        <v>0.0</v>
      </c>
    </row>
    <row r="40">
      <c r="A40" s="51">
        <v>0.0</v>
      </c>
      <c r="B40" s="100" t="s">
        <v>46</v>
      </c>
      <c r="C40" s="91">
        <v>3.0</v>
      </c>
      <c r="D40" s="3" t="str">
        <f t="array" ref="D40">XLOOKUP(B40, 'Surfer Stats - Event 4'!B:B, 'Surfer Stats - Event 4'!D:D)</f>
        <v>Regular</v>
      </c>
      <c r="E40" s="3">
        <f t="shared" si="1"/>
        <v>7</v>
      </c>
      <c r="F40" s="10">
        <v>0.0</v>
      </c>
      <c r="G40" s="3">
        <f t="shared" si="2"/>
        <v>0</v>
      </c>
      <c r="H40" s="66" t="s">
        <v>215</v>
      </c>
      <c r="I40" s="39">
        <v>99.0</v>
      </c>
      <c r="J40" s="10">
        <v>99.0</v>
      </c>
      <c r="K40" s="10">
        <v>99.0</v>
      </c>
      <c r="L40" s="3">
        <f>COUNTIFS( historical_events_FACT!J:J, "&gt;16", historical_events_FACT!G:G, B40,historical_events_FACT!C:C, "5" )</f>
        <v>0</v>
      </c>
      <c r="M40" s="3">
        <f t="shared" si="3"/>
        <v>11.01</v>
      </c>
      <c r="N40" s="10">
        <v>10.6</v>
      </c>
      <c r="O40" s="3">
        <f t="shared" si="22"/>
        <v>21.2</v>
      </c>
      <c r="P40" s="10">
        <v>2.0</v>
      </c>
      <c r="Q40" s="10">
        <v>11.9</v>
      </c>
      <c r="R40" s="3">
        <f t="shared" si="23"/>
        <v>35.7</v>
      </c>
      <c r="S40" s="10">
        <v>3.0</v>
      </c>
      <c r="T40" s="10">
        <v>10.09</v>
      </c>
      <c r="U40" s="3">
        <f t="shared" si="24"/>
        <v>20.18</v>
      </c>
      <c r="V40" s="10">
        <v>2.0</v>
      </c>
      <c r="W40" s="10">
        <v>13.39</v>
      </c>
      <c r="X40" s="97">
        <f t="array" ref="X40">ROUND(AVERAGEIF({ IFERROR(XLOOKUP(B40, 'Surfer Stats - Event 4'!B:B, 'Surfer Stats - Event 4'!AF:AF), ""), IFERROR(XLOOKUP(B40, 'Surfer Stats - Event 2'!B:B, 'Surfer Stats - Event 2'!AG:AG), ""), IFERROR(XLOOKUP(B40, 'Surfer Stats - Event 3'!B:B, 'Surfer Stats - Event 3'!AF:AF), "") }, "&lt;&gt;"),2)</f>
        <v>0</v>
      </c>
      <c r="Y40" s="3" t="str">
        <f t="array" ref="Y40">XLOOKUP(B40, 'Surfer Stats - Event 4'!B:B, 'Surfer Stats - Event 4'!AF:AF)</f>
        <v/>
      </c>
      <c r="Z40" s="83">
        <v>1750.0</v>
      </c>
      <c r="AA40" s="10">
        <v>0.0</v>
      </c>
    </row>
    <row r="41">
      <c r="A41" s="51">
        <v>0.0</v>
      </c>
      <c r="B41" s="90" t="s">
        <v>143</v>
      </c>
      <c r="C41" s="91">
        <v>3.0</v>
      </c>
      <c r="D41" s="3" t="str">
        <f t="array" ref="D41">XLOOKUP(B41, 'Surfer Stats - Event 4'!B:B, 'Surfer Stats - Event 4'!D:D)</f>
        <v>Regular</v>
      </c>
      <c r="E41" s="3">
        <f t="shared" si="1"/>
        <v>7</v>
      </c>
      <c r="F41" s="10">
        <v>0.0</v>
      </c>
      <c r="G41" s="3">
        <f t="shared" si="2"/>
        <v>0</v>
      </c>
      <c r="H41" s="10" t="s">
        <v>213</v>
      </c>
      <c r="I41" s="10">
        <v>99.0</v>
      </c>
      <c r="J41" s="10">
        <v>99.0</v>
      </c>
      <c r="K41" s="10">
        <v>99.0</v>
      </c>
      <c r="L41" s="3">
        <f>COUNTIFS( historical_events_FACT!J:J, "&gt;16", historical_events_FACT!G:G, B41,historical_events_FACT!C:C, "5" )</f>
        <v>0</v>
      </c>
      <c r="M41" s="3">
        <f t="shared" si="3"/>
        <v>11.01</v>
      </c>
      <c r="N41" s="10">
        <v>10.6</v>
      </c>
      <c r="O41" s="3">
        <f t="shared" si="22"/>
        <v>21.2</v>
      </c>
      <c r="P41" s="10">
        <v>2.0</v>
      </c>
      <c r="Q41" s="10">
        <v>11.9</v>
      </c>
      <c r="R41" s="3">
        <f t="shared" si="23"/>
        <v>35.7</v>
      </c>
      <c r="S41" s="10">
        <v>3.0</v>
      </c>
      <c r="T41" s="10">
        <v>10.09</v>
      </c>
      <c r="U41" s="3">
        <f t="shared" si="24"/>
        <v>20.18</v>
      </c>
      <c r="V41" s="10">
        <v>2.0</v>
      </c>
      <c r="W41" s="10">
        <v>13.39</v>
      </c>
      <c r="X41" s="97">
        <f t="array" ref="X41">ROUND(AVERAGEIF({ IFERROR(XLOOKUP(B41, 'Surfer Stats - Event 4'!B:B, 'Surfer Stats - Event 4'!AF:AF), ""), IFERROR(XLOOKUP(B41, 'Surfer Stats - Event 2'!B:B, 'Surfer Stats - Event 2'!AG:AG), ""), IFERROR(XLOOKUP(B41, 'Surfer Stats - Event 3'!B:B, 'Surfer Stats - Event 3'!AF:AF), "") }, "&lt;&gt;"),2)</f>
        <v>19.03</v>
      </c>
      <c r="Y41" s="3" t="str">
        <f t="array" ref="Y41">XLOOKUP(B41, 'Surfer Stats - Event 4'!B:B, 'Surfer Stats - Event 4'!AF:AF)</f>
        <v/>
      </c>
      <c r="Z41" s="83">
        <v>500.0</v>
      </c>
      <c r="AA41" s="10">
        <v>0.0</v>
      </c>
    </row>
    <row r="42">
      <c r="A42" s="51">
        <v>0.0</v>
      </c>
      <c r="B42" s="90" t="s">
        <v>144</v>
      </c>
      <c r="C42" s="91">
        <v>3.0</v>
      </c>
      <c r="D42" s="3" t="str">
        <f t="array" ref="D42">XLOOKUP(B42, 'Surfer Stats - Event 4'!B:B, 'Surfer Stats - Event 4'!D:D)</f>
        <v>Regular</v>
      </c>
      <c r="E42" s="3">
        <f t="shared" si="1"/>
        <v>7</v>
      </c>
      <c r="F42" s="10">
        <v>0.0</v>
      </c>
      <c r="G42" s="3">
        <f t="shared" si="2"/>
        <v>0</v>
      </c>
      <c r="H42" s="66" t="s">
        <v>215</v>
      </c>
      <c r="I42" s="10">
        <v>99.0</v>
      </c>
      <c r="J42" s="10">
        <v>99.0</v>
      </c>
      <c r="K42" s="10">
        <v>99.0</v>
      </c>
      <c r="L42" s="3">
        <f>COUNTIFS( historical_events_FACT!J:J, "&gt;16", historical_events_FACT!G:G, B42,historical_events_FACT!C:C, "5" )</f>
        <v>0</v>
      </c>
      <c r="M42" s="3">
        <f t="shared" si="3"/>
        <v>11.01</v>
      </c>
      <c r="N42" s="10">
        <v>10.6</v>
      </c>
      <c r="O42" s="3">
        <f t="shared" si="22"/>
        <v>21.2</v>
      </c>
      <c r="P42" s="10">
        <v>2.0</v>
      </c>
      <c r="Q42" s="10">
        <v>11.9</v>
      </c>
      <c r="R42" s="3">
        <f t="shared" si="23"/>
        <v>35.7</v>
      </c>
      <c r="S42" s="10">
        <v>3.0</v>
      </c>
      <c r="T42" s="10">
        <v>10.09</v>
      </c>
      <c r="U42" s="3">
        <f t="shared" si="24"/>
        <v>20.18</v>
      </c>
      <c r="V42" s="10">
        <v>2.0</v>
      </c>
      <c r="W42" s="10">
        <v>13.39</v>
      </c>
      <c r="X42" s="97">
        <f t="array" ref="X42">ROUND(AVERAGEIF({ IFERROR(XLOOKUP(B42, 'Surfer Stats - Event 4'!B:B, 'Surfer Stats - Event 4'!AF:AF), ""), IFERROR(XLOOKUP(B42, 'Surfer Stats - Event 2'!B:B, 'Surfer Stats - Event 2'!AG:AG), ""), IFERROR(XLOOKUP(B42, 'Surfer Stats - Event 3'!B:B, 'Surfer Stats - Event 3'!AF:AF), "") }, "&lt;&gt;"),2)</f>
        <v>20.07</v>
      </c>
      <c r="Y42" s="3" t="str">
        <f t="array" ref="Y42">XLOOKUP(B42, 'Surfer Stats - Event 4'!B:B, 'Surfer Stats - Event 4'!AF:AF)</f>
        <v/>
      </c>
      <c r="Z42" s="83">
        <v>500.0</v>
      </c>
      <c r="AA42" s="10">
        <v>0.0</v>
      </c>
    </row>
    <row r="43">
      <c r="A43" s="78">
        <v>1.0</v>
      </c>
      <c r="B43" s="101" t="s">
        <v>168</v>
      </c>
      <c r="C43" s="78">
        <v>3.0</v>
      </c>
      <c r="D43" s="3" t="str">
        <f t="array" ref="D43">XLOOKUP(B43, 'Surfer Stats - Event 4'!B:B, 'Surfer Stats - Event 4'!D:D)</f>
        <v>Regular</v>
      </c>
      <c r="E43" s="3">
        <f t="shared" si="1"/>
        <v>7</v>
      </c>
      <c r="F43" s="10">
        <v>0.0</v>
      </c>
      <c r="G43" s="3">
        <f t="shared" si="2"/>
        <v>0</v>
      </c>
      <c r="H43" s="66" t="s">
        <v>213</v>
      </c>
      <c r="I43" s="10">
        <v>99.0</v>
      </c>
      <c r="J43" s="10">
        <v>99.0</v>
      </c>
      <c r="K43" s="10">
        <v>99.0</v>
      </c>
      <c r="L43" s="3">
        <f>COUNTIFS( historical_events_FACT!J:J, "&gt;16", historical_events_FACT!G:G, B43,historical_events_FACT!C:C, "5" )</f>
        <v>0</v>
      </c>
      <c r="M43" s="3">
        <f t="shared" si="3"/>
        <v>11.01</v>
      </c>
      <c r="N43" s="10">
        <v>10.6</v>
      </c>
      <c r="O43" s="3">
        <f t="shared" si="22"/>
        <v>21.2</v>
      </c>
      <c r="P43" s="10">
        <v>2.0</v>
      </c>
      <c r="Q43" s="10">
        <v>11.9</v>
      </c>
      <c r="R43" s="3">
        <f t="shared" si="23"/>
        <v>35.7</v>
      </c>
      <c r="S43" s="10">
        <v>3.0</v>
      </c>
      <c r="T43" s="10">
        <v>10.09</v>
      </c>
      <c r="U43" s="3">
        <f t="shared" si="24"/>
        <v>20.18</v>
      </c>
      <c r="V43" s="10">
        <v>2.0</v>
      </c>
      <c r="W43" s="10">
        <v>13.39</v>
      </c>
      <c r="X43" s="97">
        <f t="array" ref="X43">ROUND(AVERAGEIF({ IFERROR(XLOOKUP(B43, 'Surfer Stats - Event 4'!B:B, 'Surfer Stats - Event 4'!AF:AF), ""), IFERROR(XLOOKUP(B43, 'Surfer Stats - Event 2'!B:B, 'Surfer Stats - Event 2'!AG:AG), ""), IFERROR(XLOOKUP(B43, 'Surfer Stats - Event 3'!B:B, 'Surfer Stats - Event 3'!AF:AF), "") }, "&lt;&gt;"),2)</f>
        <v>20.03</v>
      </c>
      <c r="Y43" s="3">
        <f t="array" ref="Y43">XLOOKUP(B43, 'Surfer Stats - Event 4'!B:B, 'Surfer Stats - Event 4'!AF:AF)</f>
        <v>20.03</v>
      </c>
      <c r="Z43" s="78">
        <f>0+500</f>
        <v>500</v>
      </c>
      <c r="AA43" s="10">
        <f t="array" ref="AA43">XLOOKUP(B43, 'Post-Event_5'!C:C, 'Post-Event_5'!G:G)</f>
        <v>12.83</v>
      </c>
    </row>
    <row r="44">
      <c r="A44" s="78">
        <v>1.0</v>
      </c>
      <c r="B44" s="98" t="s">
        <v>82</v>
      </c>
      <c r="C44" s="78">
        <v>3.0</v>
      </c>
      <c r="D44" s="10" t="s">
        <v>247</v>
      </c>
      <c r="E44" s="10">
        <v>7.0</v>
      </c>
      <c r="F44" s="10">
        <v>1.0</v>
      </c>
      <c r="G44" s="3">
        <f t="shared" si="2"/>
        <v>1</v>
      </c>
      <c r="H44" s="10" t="s">
        <v>277</v>
      </c>
      <c r="I44" s="10">
        <v>99.0</v>
      </c>
      <c r="J44" s="10">
        <v>99.0</v>
      </c>
      <c r="K44" s="10">
        <v>25.0</v>
      </c>
      <c r="L44" s="3">
        <f>COUNTIFS( historical_events_FACT!J:J, "&gt;16", historical_events_FACT!G:G, B44,historical_events_FACT!C:C, "5" )</f>
        <v>0</v>
      </c>
      <c r="M44" s="3">
        <f t="shared" si="3"/>
        <v>9.8</v>
      </c>
      <c r="N44" s="10">
        <v>10.6</v>
      </c>
      <c r="O44" s="3">
        <f t="shared" si="22"/>
        <v>21.2</v>
      </c>
      <c r="P44" s="10">
        <v>2.0</v>
      </c>
      <c r="Q44" s="10">
        <v>11.9</v>
      </c>
      <c r="R44" s="3">
        <f t="shared" si="23"/>
        <v>35.7</v>
      </c>
      <c r="S44" s="10">
        <v>3.0</v>
      </c>
      <c r="T44" s="62">
        <f>IF(U44=0,0,ROUND(U44/V44,2))</f>
        <v>5.84</v>
      </c>
      <c r="U44" s="3">
        <f>SUMIFS( historical_events_FACT!J:J, historical_events_FACT!G:G, B44,historical_events_FACT!B:B, "2016",historical_events_FACT!C:C, "5" )</f>
        <v>11.67</v>
      </c>
      <c r="V44" s="3">
        <f>COUNTIFS(historical_events_FACT!G:G, B44,historical_events_FACT!B:B, "2016",historical_events_FACT!C:C, "5" )</f>
        <v>2</v>
      </c>
      <c r="W44" s="3">
        <f>MAXIFS( historical_events_FACT!J:J, historical_events_FACT!G:G, B44,historical_events_FACT!C:C, "5" )</f>
        <v>8.17</v>
      </c>
      <c r="X44" s="99">
        <v>0.0</v>
      </c>
      <c r="Y44" s="10">
        <v>0.0</v>
      </c>
      <c r="Z44" s="51">
        <v>0.0</v>
      </c>
      <c r="AA44" s="10">
        <f t="array" ref="AA44">XLOOKUP(B44, 'Post-Event_5'!C:C, 'Post-Event_5'!G:G)</f>
        <v>14.33</v>
      </c>
    </row>
    <row r="45">
      <c r="A45" s="78"/>
      <c r="X45" s="99"/>
      <c r="Y45" s="10"/>
      <c r="AA45" s="10"/>
    </row>
    <row r="46">
      <c r="A46" s="78"/>
      <c r="B46" s="62" t="s">
        <v>124</v>
      </c>
      <c r="N46" s="3">
        <f t="shared" ref="N46:N48" si="26">IF(P46=0,0,ROUND(O46/P46,2))</f>
        <v>9.35</v>
      </c>
      <c r="O46" s="3">
        <f>SUMIFS( '2014Data'!I:I, '2014Data'!F:F, B46,'2014Data'!B:B, "5" )</f>
        <v>18.7</v>
      </c>
      <c r="P46" s="3">
        <f>COUNTIFS('2014Data'!F:F, B46,'2014Data'!B:B, "5" )</f>
        <v>2</v>
      </c>
      <c r="Q46" s="3">
        <f t="shared" ref="Q46:Q48" si="27">IF(S46=0,0,ROUND(R46/S46,2))</f>
        <v>0</v>
      </c>
      <c r="R46" s="3">
        <f>SUMIFS( historical_events_FACT!J:J, historical_events_FACT!G:G, B46,historical_events_FACT!B:B, "2015",historical_events_FACT!C:C, "5" )</f>
        <v>0</v>
      </c>
      <c r="S46" s="3">
        <f>COUNTIFS(historical_events_FACT!G:G, B46,historical_events_FACT!B:B, "2015",historical_events_FACT!C:C, "5" )</f>
        <v>0</v>
      </c>
      <c r="T46" s="62">
        <f t="shared" ref="T46:T48" si="28">IF(U46=0,0,ROUND(U46/V46,2))</f>
        <v>0</v>
      </c>
      <c r="U46" s="3">
        <f>SUMIFS( historical_events_FACT!J:J, historical_events_FACT!G:G, B46,historical_events_FACT!B:B, "2016",historical_events_FACT!C:C, "5" )</f>
        <v>0</v>
      </c>
      <c r="V46" s="3">
        <f>COUNTIFS(historical_events_FACT!G:G, B46,historical_events_FACT!B:B, "2016",historical_events_FACT!C:C, "5" )</f>
        <v>0</v>
      </c>
      <c r="W46" s="3">
        <f>MAXIFS( historical_events_FACT!J:J, historical_events_FACT!G:G, B46,historical_events_FACT!B:B, "2015",historical_events_FACT!C:C, "5" )</f>
        <v>0</v>
      </c>
      <c r="Y46" s="10">
        <v>87.09</v>
      </c>
      <c r="Z46" s="10">
        <v>7.0</v>
      </c>
    </row>
    <row r="47">
      <c r="A47" s="78"/>
      <c r="B47" s="62" t="s">
        <v>126</v>
      </c>
      <c r="N47" s="3">
        <f t="shared" si="26"/>
        <v>10.97</v>
      </c>
      <c r="O47" s="3">
        <f>SUMIFS( '2014Data'!I:I, '2014Data'!F:F, B47,'2014Data'!B:B, "5" )</f>
        <v>21.93</v>
      </c>
      <c r="P47" s="3">
        <f>COUNTIFS('2014Data'!F:F, B47,'2014Data'!B:B, "5" )</f>
        <v>2</v>
      </c>
      <c r="Q47" s="3">
        <f t="shared" si="27"/>
        <v>0</v>
      </c>
      <c r="R47" s="3">
        <f>SUMIFS( historical_events_FACT!J:J, historical_events_FACT!G:G, B47,historical_events_FACT!B:B, "2015",historical_events_FACT!C:C, "5" )</f>
        <v>0</v>
      </c>
      <c r="S47" s="3">
        <f>COUNTIFS(historical_events_FACT!G:G, B47,historical_events_FACT!B:B, "2015",historical_events_FACT!C:C, "5" )</f>
        <v>0</v>
      </c>
      <c r="T47" s="62">
        <f t="shared" si="28"/>
        <v>0</v>
      </c>
      <c r="U47" s="3">
        <f>SUMIFS( historical_events_FACT!J:J, historical_events_FACT!G:G, B47,historical_events_FACT!B:B, "2016",historical_events_FACT!C:C, "5" )</f>
        <v>0</v>
      </c>
      <c r="V47" s="3">
        <f>COUNTIFS(historical_events_FACT!G:G, B47,historical_events_FACT!B:B, "2016",historical_events_FACT!C:C, "5" )</f>
        <v>0</v>
      </c>
      <c r="W47" s="3">
        <f>MAXIFS( historical_events_FACT!J:J, historical_events_FACT!G:G, B47,historical_events_FACT!B:B, "2015",historical_events_FACT!C:C, "5" )</f>
        <v>0</v>
      </c>
      <c r="Y47" s="10">
        <v>73.63</v>
      </c>
      <c r="Z47" s="10">
        <v>5.0</v>
      </c>
    </row>
    <row r="48">
      <c r="A48" s="78"/>
      <c r="B48" s="62" t="s">
        <v>107</v>
      </c>
      <c r="N48" s="3">
        <f t="shared" si="26"/>
        <v>11.47</v>
      </c>
      <c r="O48" s="3">
        <f>SUMIFS( '2014Data'!I:I, '2014Data'!F:F, B48,'2014Data'!B:B, "5" )</f>
        <v>22.93</v>
      </c>
      <c r="P48" s="3">
        <f>COUNTIFS('2014Data'!F:F, B48,'2014Data'!B:B, "5" )</f>
        <v>2</v>
      </c>
      <c r="Q48" s="3">
        <f t="shared" si="27"/>
        <v>9.77</v>
      </c>
      <c r="R48" s="3">
        <f>SUMIFS( historical_events_FACT!J:J, historical_events_FACT!G:G, B48,historical_events_FACT!B:B, "2015",historical_events_FACT!C:C, "5" )</f>
        <v>19.53</v>
      </c>
      <c r="S48" s="3">
        <f>COUNTIFS(historical_events_FACT!G:G, B48,historical_events_FACT!B:B, "2015",historical_events_FACT!C:C, "5" )</f>
        <v>2</v>
      </c>
      <c r="T48" s="62">
        <f t="shared" si="28"/>
        <v>0</v>
      </c>
      <c r="U48" s="3">
        <f>SUMIFS( historical_events_FACT!J:J, historical_events_FACT!G:G, B48,historical_events_FACT!B:B, "2016",historical_events_FACT!C:C, "5" )</f>
        <v>0</v>
      </c>
      <c r="V48" s="3">
        <f>COUNTIFS(historical_events_FACT!G:G, B48,historical_events_FACT!B:B, "2016",historical_events_FACT!C:C, "5" )</f>
        <v>0</v>
      </c>
      <c r="W48" s="3">
        <f>MAXIFS( historical_events_FACT!J:J, historical_events_FACT!G:G, B48,historical_events_FACT!B:B, "2015",historical_events_FACT!C:C, "5" )</f>
        <v>10.5</v>
      </c>
    </row>
    <row r="49">
      <c r="A49" s="78"/>
    </row>
    <row r="50">
      <c r="A50" s="78"/>
      <c r="N50" s="10">
        <v>10.6</v>
      </c>
      <c r="O50" s="3">
        <f>N50*P50</f>
        <v>21.2</v>
      </c>
      <c r="P50" s="10">
        <v>2.0</v>
      </c>
    </row>
    <row r="51">
      <c r="A51" s="78"/>
    </row>
    <row r="52">
      <c r="A52" s="78"/>
    </row>
    <row r="53">
      <c r="A53" s="78"/>
      <c r="N53" s="3">
        <f>IF(P53=0,0,ROUND(O53/P53,2))</f>
        <v>0</v>
      </c>
      <c r="O53" s="3">
        <f>SUMIFS( '2014Data'!I:I, '2014Data'!F:F, B53,'2014Data'!B:B, "5" )</f>
        <v>0</v>
      </c>
      <c r="P53" s="3">
        <f>COUNTIFS('2014Data'!F:F, B53,'2014Data'!B:B, "5" )</f>
        <v>0</v>
      </c>
      <c r="Q53" s="3">
        <f>IF(S53=0,0,ROUND(R53/S53,2))</f>
        <v>0</v>
      </c>
      <c r="R53" s="3">
        <f>SUMIFS( historical_events_FACT!J:J, historical_events_FACT!G:G, B53,historical_events_FACT!B:B, "2015",historical_events_FACT!C:C, "5" )</f>
        <v>0</v>
      </c>
      <c r="S53" s="3">
        <f>COUNTIFS(historical_events_FACT!G:G, B53,historical_events_FACT!B:B, "2015",historical_events_FACT!C:C, "5" )</f>
        <v>0</v>
      </c>
      <c r="T53" s="62">
        <f>IF(U53=0,0,ROUND(U53/V53,2))</f>
        <v>0</v>
      </c>
      <c r="U53" s="3">
        <f>SUMIFS( historical_events_FACT!J:J, historical_events_FACT!G:G, B53,historical_events_FACT!B:B, "2016",historical_events_FACT!C:C, "5" )</f>
        <v>0</v>
      </c>
      <c r="V53" s="3">
        <f>COUNTIFS(historical_events_FACT!G:G, B53,historical_events_FACT!B:B, "2016",historical_events_FACT!C:C, "5" )</f>
        <v>0</v>
      </c>
      <c r="W53" s="3">
        <f>MAXIFS( historical_events_FACT!J:J, historical_events_FACT!G:G, B53,historical_events_FACT!C:C, "5" )</f>
        <v>0</v>
      </c>
    </row>
    <row r="54">
      <c r="A54" s="78"/>
    </row>
    <row r="55">
      <c r="A55" s="75"/>
      <c r="Q55" s="10">
        <v>11.9</v>
      </c>
      <c r="R55" s="3">
        <f>Q55*S55</f>
        <v>35.7</v>
      </c>
      <c r="S55" s="10">
        <v>3.0</v>
      </c>
      <c r="T55" s="10">
        <v>10.09</v>
      </c>
      <c r="U55" s="3">
        <f>T55*V55</f>
        <v>20.18</v>
      </c>
      <c r="V55" s="10">
        <v>2.0</v>
      </c>
    </row>
    <row r="56">
      <c r="A56" s="74"/>
    </row>
    <row r="57">
      <c r="A57" s="74"/>
    </row>
    <row r="58">
      <c r="A58" s="74"/>
    </row>
    <row r="59">
      <c r="A59" s="74"/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3" t="s">
        <v>278</v>
      </c>
      <c r="B1" s="73" t="s">
        <v>2</v>
      </c>
      <c r="C1" s="73" t="s">
        <v>6</v>
      </c>
      <c r="D1" s="73" t="s">
        <v>279</v>
      </c>
      <c r="E1" s="73" t="s">
        <v>252</v>
      </c>
      <c r="F1" s="73" t="s">
        <v>280</v>
      </c>
      <c r="G1" s="73" t="s">
        <v>281</v>
      </c>
    </row>
    <row r="2">
      <c r="A2" s="75">
        <v>1.0</v>
      </c>
      <c r="B2" s="78">
        <v>5.0</v>
      </c>
      <c r="C2" s="102" t="s">
        <v>34</v>
      </c>
      <c r="D2" s="75">
        <f>10250+6500+10000</f>
        <v>26750</v>
      </c>
      <c r="E2" s="75">
        <v>1.0</v>
      </c>
      <c r="F2" s="75">
        <v>0.0</v>
      </c>
      <c r="G2" s="103">
        <v>91.44</v>
      </c>
    </row>
    <row r="3">
      <c r="A3" s="75">
        <v>2.0</v>
      </c>
      <c r="B3" s="78">
        <v>5.0</v>
      </c>
      <c r="C3" s="66" t="s">
        <v>26</v>
      </c>
      <c r="D3" s="75">
        <f>23000+1750+1750</f>
        <v>26500</v>
      </c>
      <c r="E3" s="75">
        <v>1.0</v>
      </c>
      <c r="F3" s="75">
        <v>0.0</v>
      </c>
      <c r="G3" s="103">
        <v>28.17</v>
      </c>
    </row>
    <row r="4">
      <c r="A4" s="75">
        <v>3.0</v>
      </c>
      <c r="B4" s="78">
        <v>5.0</v>
      </c>
      <c r="C4" s="66" t="s">
        <v>28</v>
      </c>
      <c r="D4" s="75">
        <f>19200+5200+1750</f>
        <v>26150</v>
      </c>
      <c r="E4" s="75">
        <v>1.0</v>
      </c>
      <c r="F4" s="75">
        <v>0.0</v>
      </c>
      <c r="G4" s="103">
        <v>23.89</v>
      </c>
    </row>
    <row r="5">
      <c r="A5" s="78">
        <v>3.0</v>
      </c>
      <c r="B5" s="78">
        <v>5.0</v>
      </c>
      <c r="C5" s="66" t="s">
        <v>57</v>
      </c>
      <c r="D5" s="75">
        <f>19200++5200+1750</f>
        <v>26150</v>
      </c>
      <c r="E5" s="75">
        <v>1.0</v>
      </c>
      <c r="F5" s="75">
        <v>0.0</v>
      </c>
      <c r="G5" s="103">
        <v>29.26</v>
      </c>
    </row>
    <row r="6">
      <c r="A6" s="78">
        <v>3.0</v>
      </c>
      <c r="B6" s="78">
        <v>5.0</v>
      </c>
      <c r="C6" s="66" t="s">
        <v>42</v>
      </c>
      <c r="D6" s="75">
        <f>14400+10000+1750</f>
        <v>26150</v>
      </c>
      <c r="E6" s="78">
        <v>1.0</v>
      </c>
      <c r="F6" s="75">
        <v>0.0</v>
      </c>
      <c r="G6" s="103">
        <v>25.16</v>
      </c>
    </row>
    <row r="7">
      <c r="A7" s="78">
        <v>6.0</v>
      </c>
      <c r="B7" s="78">
        <v>5.0</v>
      </c>
      <c r="C7" s="102" t="s">
        <v>39</v>
      </c>
      <c r="D7" s="75">
        <f>10950+5200+6500</f>
        <v>22650</v>
      </c>
      <c r="E7" s="75">
        <v>1.0</v>
      </c>
      <c r="F7" s="75">
        <v>0.0</v>
      </c>
      <c r="G7" s="103">
        <v>79.99</v>
      </c>
    </row>
    <row r="8">
      <c r="A8" s="78">
        <v>7.0</v>
      </c>
      <c r="B8" s="78">
        <v>5.0</v>
      </c>
      <c r="C8" s="102" t="s">
        <v>61</v>
      </c>
      <c r="D8" s="75">
        <f>8700+1750+8000</f>
        <v>18450</v>
      </c>
      <c r="E8" s="75">
        <v>1.0</v>
      </c>
      <c r="F8" s="75">
        <v>0.0</v>
      </c>
      <c r="G8" s="104">
        <v>77.66</v>
      </c>
    </row>
    <row r="9">
      <c r="A9" s="78">
        <v>8.0</v>
      </c>
      <c r="B9" s="78">
        <v>5.0</v>
      </c>
      <c r="C9" s="102" t="s">
        <v>31</v>
      </c>
      <c r="D9" s="75">
        <f>7500+4000+5200</f>
        <v>16700</v>
      </c>
      <c r="E9" s="78">
        <v>1.0</v>
      </c>
      <c r="F9" s="78">
        <v>0.0</v>
      </c>
      <c r="G9" s="104">
        <v>74.94</v>
      </c>
    </row>
    <row r="10">
      <c r="A10" s="78">
        <v>9.0</v>
      </c>
      <c r="B10" s="78">
        <v>5.0</v>
      </c>
      <c r="C10" s="66" t="s">
        <v>32</v>
      </c>
      <c r="D10" s="75">
        <f>13750+500+1750</f>
        <v>16000</v>
      </c>
      <c r="E10" s="78">
        <v>1.0</v>
      </c>
      <c r="F10" s="78">
        <v>0.0</v>
      </c>
      <c r="G10" s="103">
        <v>36.4</v>
      </c>
    </row>
    <row r="11">
      <c r="A11" s="78">
        <v>10.0</v>
      </c>
      <c r="B11" s="78">
        <v>5.0</v>
      </c>
      <c r="C11" s="102" t="s">
        <v>38</v>
      </c>
      <c r="D11" s="75">
        <f>9750+1750+4000</f>
        <v>15500</v>
      </c>
      <c r="E11" s="75">
        <v>1.0</v>
      </c>
      <c r="F11" s="75">
        <v>0.0</v>
      </c>
      <c r="G11" s="104">
        <v>56.87</v>
      </c>
    </row>
    <row r="12">
      <c r="A12" s="78">
        <v>11.0</v>
      </c>
      <c r="B12" s="78">
        <v>5.0</v>
      </c>
      <c r="C12" s="66" t="s">
        <v>30</v>
      </c>
      <c r="D12" s="75">
        <f>8750+4000+1750</f>
        <v>14500</v>
      </c>
      <c r="E12" s="78">
        <v>1.0</v>
      </c>
      <c r="F12" s="78">
        <v>0.0</v>
      </c>
      <c r="G12" s="103">
        <v>27.47</v>
      </c>
    </row>
    <row r="13">
      <c r="A13" s="78">
        <v>12.0</v>
      </c>
      <c r="B13" s="78">
        <v>5.0</v>
      </c>
      <c r="C13" s="82" t="s">
        <v>33</v>
      </c>
      <c r="D13" s="83">
        <f>12200+1750+500</f>
        <v>14450</v>
      </c>
      <c r="E13" s="91">
        <v>0.0</v>
      </c>
      <c r="F13" s="91">
        <v>1.0</v>
      </c>
      <c r="G13" s="93"/>
    </row>
    <row r="14">
      <c r="A14" s="78">
        <v>12.0</v>
      </c>
      <c r="B14" s="78">
        <v>5.0</v>
      </c>
      <c r="C14" s="102" t="s">
        <v>27</v>
      </c>
      <c r="D14" s="75">
        <f>7450+500+6500</f>
        <v>14450</v>
      </c>
      <c r="E14" s="75">
        <v>1.0</v>
      </c>
      <c r="F14" s="75">
        <v>0.0</v>
      </c>
      <c r="G14" s="104">
        <v>79.76</v>
      </c>
    </row>
    <row r="15">
      <c r="A15" s="78">
        <v>14.0</v>
      </c>
      <c r="B15" s="78">
        <v>5.0</v>
      </c>
      <c r="C15" s="66" t="s">
        <v>41</v>
      </c>
      <c r="D15" s="75">
        <f>7450+5200+1750</f>
        <v>14400</v>
      </c>
      <c r="E15" s="75">
        <v>1.0</v>
      </c>
      <c r="F15" s="75">
        <v>0.0</v>
      </c>
      <c r="G15" s="104">
        <v>25.13</v>
      </c>
    </row>
    <row r="16">
      <c r="A16" s="78">
        <v>15.0</v>
      </c>
      <c r="B16" s="78">
        <v>5.0</v>
      </c>
      <c r="C16" s="82" t="s">
        <v>40</v>
      </c>
      <c r="D16" s="83">
        <f>11500+1750+500</f>
        <v>13750</v>
      </c>
      <c r="E16" s="91">
        <v>0.0</v>
      </c>
      <c r="F16" s="91">
        <v>1.0</v>
      </c>
      <c r="G16" s="93"/>
    </row>
    <row r="17">
      <c r="A17" s="78">
        <v>16.0</v>
      </c>
      <c r="B17" s="78">
        <v>5.0</v>
      </c>
      <c r="C17" s="66" t="s">
        <v>47</v>
      </c>
      <c r="D17" s="75">
        <f>4000+8000+500</f>
        <v>12500</v>
      </c>
      <c r="E17" s="75">
        <v>1.0</v>
      </c>
      <c r="F17" s="75">
        <v>0.0</v>
      </c>
      <c r="G17" s="104">
        <v>24.2</v>
      </c>
    </row>
    <row r="18">
      <c r="A18" s="78">
        <v>17.0</v>
      </c>
      <c r="B18" s="78">
        <v>5.0</v>
      </c>
      <c r="C18" s="66" t="s">
        <v>50</v>
      </c>
      <c r="D18" s="75">
        <f>7500+1750+1750</f>
        <v>11000</v>
      </c>
      <c r="E18" s="75">
        <v>1.0</v>
      </c>
      <c r="F18" s="75">
        <v>0.0</v>
      </c>
      <c r="G18" s="104">
        <v>29.15</v>
      </c>
    </row>
    <row r="19">
      <c r="A19" s="78">
        <v>18.0</v>
      </c>
      <c r="B19" s="78">
        <v>5.0</v>
      </c>
      <c r="C19" s="66" t="s">
        <v>37</v>
      </c>
      <c r="D19" s="75">
        <f>8700+500+1750</f>
        <v>10950</v>
      </c>
      <c r="E19" s="75">
        <v>1.0</v>
      </c>
      <c r="F19" s="75">
        <v>0.0</v>
      </c>
      <c r="G19" s="104">
        <v>31.07</v>
      </c>
    </row>
    <row r="20">
      <c r="A20" s="78">
        <v>18.0</v>
      </c>
      <c r="B20" s="78">
        <v>5.0</v>
      </c>
      <c r="C20" s="66" t="s">
        <v>64</v>
      </c>
      <c r="D20" s="75">
        <f>7450+1750+1750</f>
        <v>10950</v>
      </c>
      <c r="E20" s="78">
        <v>1.0</v>
      </c>
      <c r="F20" s="75">
        <v>0.0</v>
      </c>
      <c r="G20" s="104">
        <v>20.64</v>
      </c>
    </row>
    <row r="21">
      <c r="A21" s="78">
        <v>18.0</v>
      </c>
      <c r="B21" s="78">
        <v>5.0</v>
      </c>
      <c r="C21" s="66" t="s">
        <v>59</v>
      </c>
      <c r="D21" s="75">
        <f>4000+1750+5200</f>
        <v>10950</v>
      </c>
      <c r="E21" s="75">
        <v>1.0</v>
      </c>
      <c r="F21" s="75">
        <v>0.0</v>
      </c>
      <c r="G21" s="105">
        <v>60.66</v>
      </c>
    </row>
    <row r="22">
      <c r="A22" s="78">
        <v>21.0</v>
      </c>
      <c r="B22" s="78">
        <v>5.0</v>
      </c>
      <c r="C22" s="66" t="s">
        <v>54</v>
      </c>
      <c r="D22" s="75">
        <f>5000+4000+1750</f>
        <v>10750</v>
      </c>
      <c r="E22" s="75">
        <v>1.0</v>
      </c>
      <c r="F22" s="75">
        <v>0.0</v>
      </c>
      <c r="G22" s="104">
        <v>33.2</v>
      </c>
    </row>
    <row r="23">
      <c r="A23" s="78">
        <v>22.0</v>
      </c>
      <c r="B23" s="78">
        <v>5.0</v>
      </c>
      <c r="C23" s="66" t="s">
        <v>17</v>
      </c>
      <c r="D23" s="75">
        <f>6200+500+4000</f>
        <v>10700</v>
      </c>
      <c r="E23" s="78">
        <v>1.0</v>
      </c>
      <c r="F23" s="78">
        <v>0.0</v>
      </c>
      <c r="G23" s="104">
        <v>43.1</v>
      </c>
    </row>
    <row r="24">
      <c r="A24" s="78">
        <v>23.0</v>
      </c>
      <c r="B24" s="78">
        <v>5.0</v>
      </c>
      <c r="C24" s="66" t="s">
        <v>69</v>
      </c>
      <c r="D24" s="75">
        <f>8750+500+500</f>
        <v>9750</v>
      </c>
      <c r="E24" s="75">
        <v>1.0</v>
      </c>
      <c r="F24" s="75">
        <v>0.0</v>
      </c>
      <c r="G24" s="104">
        <v>17.27</v>
      </c>
    </row>
    <row r="25">
      <c r="A25" s="78">
        <v>23.0</v>
      </c>
      <c r="B25" s="78">
        <v>5.0</v>
      </c>
      <c r="C25" s="66" t="s">
        <v>67</v>
      </c>
      <c r="D25" s="75">
        <f>4000+1750+4000</f>
        <v>9750</v>
      </c>
      <c r="E25" s="75">
        <v>1.0</v>
      </c>
      <c r="F25" s="75">
        <v>0.0</v>
      </c>
      <c r="G25" s="105">
        <v>61.66</v>
      </c>
    </row>
    <row r="26">
      <c r="A26" s="78">
        <v>25.0</v>
      </c>
      <c r="B26" s="78">
        <v>5.0</v>
      </c>
      <c r="C26" s="66" t="s">
        <v>52</v>
      </c>
      <c r="D26" s="75">
        <f>+500+8500+500</f>
        <v>9500</v>
      </c>
      <c r="E26" s="75">
        <v>1.0</v>
      </c>
      <c r="F26" s="75">
        <v>0.0</v>
      </c>
      <c r="G26" s="104">
        <v>25.57</v>
      </c>
    </row>
    <row r="27">
      <c r="A27" s="78">
        <v>26.0</v>
      </c>
      <c r="B27" s="78">
        <v>5.0</v>
      </c>
      <c r="C27" s="66" t="s">
        <v>68</v>
      </c>
      <c r="D27" s="75">
        <f>7500+500+500</f>
        <v>8500</v>
      </c>
      <c r="E27" s="78">
        <v>1.0</v>
      </c>
      <c r="F27" s="75">
        <v>0.0</v>
      </c>
      <c r="G27" s="104">
        <v>14.33</v>
      </c>
    </row>
    <row r="28">
      <c r="A28" s="78">
        <v>27.0</v>
      </c>
      <c r="B28" s="78">
        <v>5.0</v>
      </c>
      <c r="C28" s="102" t="s">
        <v>65</v>
      </c>
      <c r="D28" s="75">
        <f>2750+500+5200</f>
        <v>8450</v>
      </c>
      <c r="E28" s="75">
        <v>1.0</v>
      </c>
      <c r="F28" s="75">
        <v>0.0</v>
      </c>
      <c r="G28" s="105">
        <v>76.07</v>
      </c>
    </row>
    <row r="29">
      <c r="A29" s="78">
        <v>28.0</v>
      </c>
      <c r="B29" s="78">
        <v>5.0</v>
      </c>
      <c r="C29" s="66" t="s">
        <v>53</v>
      </c>
      <c r="D29" s="75">
        <f>2750+4000+500</f>
        <v>7250</v>
      </c>
      <c r="E29" s="75">
        <v>1.0</v>
      </c>
      <c r="F29" s="75">
        <v>0.0</v>
      </c>
      <c r="G29" s="104">
        <v>14.56</v>
      </c>
    </row>
    <row r="30">
      <c r="A30" s="78">
        <v>28.0</v>
      </c>
      <c r="B30" s="78">
        <v>5.0</v>
      </c>
      <c r="C30" s="66" t="s">
        <v>36</v>
      </c>
      <c r="D30" s="75">
        <f>2750+500+4000</f>
        <v>7250</v>
      </c>
      <c r="E30" s="75">
        <v>1.0</v>
      </c>
      <c r="F30" s="75">
        <v>0.0</v>
      </c>
      <c r="G30" s="105">
        <v>52.37</v>
      </c>
    </row>
    <row r="31">
      <c r="A31" s="78">
        <v>30.0</v>
      </c>
      <c r="B31" s="78">
        <v>5.0</v>
      </c>
      <c r="C31" s="102" t="s">
        <v>141</v>
      </c>
      <c r="D31" s="75">
        <f>1500+500+5200</f>
        <v>7200</v>
      </c>
      <c r="E31" s="75">
        <v>1.0</v>
      </c>
      <c r="F31" s="75">
        <v>0.0</v>
      </c>
      <c r="G31" s="105">
        <v>80.86</v>
      </c>
    </row>
    <row r="32">
      <c r="A32" s="78">
        <v>31.0</v>
      </c>
      <c r="B32" s="78">
        <v>5.0</v>
      </c>
      <c r="C32" s="66" t="s">
        <v>169</v>
      </c>
      <c r="D32" s="78">
        <f>6500+500</f>
        <v>7000</v>
      </c>
      <c r="E32" s="78">
        <v>1.0</v>
      </c>
      <c r="F32" s="75">
        <v>0.0</v>
      </c>
      <c r="G32" s="105">
        <v>19.76</v>
      </c>
    </row>
    <row r="33">
      <c r="A33" s="78">
        <v>32.0</v>
      </c>
      <c r="B33" s="78">
        <v>5.0</v>
      </c>
      <c r="C33" s="66" t="s">
        <v>56</v>
      </c>
      <c r="D33" s="75">
        <f>4000+1750+500</f>
        <v>6250</v>
      </c>
      <c r="E33" s="78">
        <v>1.0</v>
      </c>
      <c r="F33" s="75">
        <v>0.0</v>
      </c>
      <c r="G33" s="105">
        <v>18.53</v>
      </c>
    </row>
    <row r="34">
      <c r="A34" s="78">
        <v>32.0</v>
      </c>
      <c r="B34" s="78">
        <v>5.0</v>
      </c>
      <c r="C34" s="66" t="s">
        <v>55</v>
      </c>
      <c r="D34" s="75">
        <f>500+4000+1750</f>
        <v>6250</v>
      </c>
      <c r="E34" s="78">
        <v>1.0</v>
      </c>
      <c r="F34" s="75">
        <v>0.0</v>
      </c>
      <c r="G34" s="105">
        <v>35.17</v>
      </c>
    </row>
    <row r="35">
      <c r="A35" s="78">
        <v>34.0</v>
      </c>
      <c r="B35" s="78">
        <v>5.0</v>
      </c>
      <c r="C35" s="66" t="s">
        <v>35</v>
      </c>
      <c r="D35" s="75">
        <f>2750+1750+500</f>
        <v>5000</v>
      </c>
      <c r="E35" s="78">
        <v>1.0</v>
      </c>
      <c r="F35" s="75">
        <v>0.0</v>
      </c>
      <c r="G35" s="105">
        <v>21.6</v>
      </c>
    </row>
    <row r="36">
      <c r="A36" s="78">
        <v>35.0</v>
      </c>
      <c r="B36" s="78">
        <v>5.0</v>
      </c>
      <c r="C36" s="66" t="s">
        <v>45</v>
      </c>
      <c r="D36" s="75">
        <f>1500+1750+500</f>
        <v>3750</v>
      </c>
      <c r="E36" s="78">
        <v>1.0</v>
      </c>
      <c r="F36" s="75">
        <v>0.0</v>
      </c>
      <c r="G36" s="105">
        <v>18.23</v>
      </c>
    </row>
    <row r="37">
      <c r="A37" s="78">
        <v>36.0</v>
      </c>
      <c r="B37" s="78">
        <v>5.0</v>
      </c>
      <c r="C37" s="66" t="s">
        <v>63</v>
      </c>
      <c r="D37" s="75">
        <f>1500+500+500</f>
        <v>2500</v>
      </c>
      <c r="E37" s="75">
        <v>1.0</v>
      </c>
      <c r="F37" s="75">
        <v>0.0</v>
      </c>
      <c r="G37" s="105">
        <v>15.9</v>
      </c>
    </row>
    <row r="38">
      <c r="A38" s="78">
        <v>37.0</v>
      </c>
      <c r="B38" s="78">
        <v>5.0</v>
      </c>
      <c r="C38" s="82" t="s">
        <v>142</v>
      </c>
      <c r="D38" s="83">
        <f>1750+500</f>
        <v>2250</v>
      </c>
      <c r="E38" s="91">
        <v>0.0</v>
      </c>
      <c r="F38" s="83">
        <v>0.0</v>
      </c>
      <c r="G38" s="93"/>
    </row>
    <row r="39">
      <c r="A39" s="78">
        <v>38.0</v>
      </c>
      <c r="B39" s="78">
        <v>5.0</v>
      </c>
      <c r="C39" s="93" t="s">
        <v>262</v>
      </c>
      <c r="D39" s="83">
        <v>1750.0</v>
      </c>
      <c r="E39" s="91">
        <v>0.0</v>
      </c>
      <c r="F39" s="83">
        <v>0.0</v>
      </c>
      <c r="G39" s="93"/>
    </row>
    <row r="40">
      <c r="A40" s="78">
        <v>38.0</v>
      </c>
      <c r="B40" s="78">
        <v>5.0</v>
      </c>
      <c r="C40" s="93" t="s">
        <v>46</v>
      </c>
      <c r="D40" s="83">
        <v>1750.0</v>
      </c>
      <c r="E40" s="91">
        <v>0.0</v>
      </c>
      <c r="F40" s="83">
        <v>0.0</v>
      </c>
      <c r="G40" s="93"/>
    </row>
    <row r="41">
      <c r="A41" s="78">
        <v>40.0</v>
      </c>
      <c r="B41" s="78">
        <v>5.0</v>
      </c>
      <c r="C41" s="87" t="s">
        <v>168</v>
      </c>
      <c r="D41" s="78">
        <f>0+500+500</f>
        <v>1000</v>
      </c>
      <c r="E41" s="78">
        <v>1.0</v>
      </c>
      <c r="F41" s="75">
        <v>0.0</v>
      </c>
      <c r="G41" s="105">
        <v>12.83</v>
      </c>
    </row>
    <row r="42">
      <c r="A42" s="78">
        <v>41.0</v>
      </c>
      <c r="B42" s="78">
        <v>5.0</v>
      </c>
      <c r="C42" s="82" t="s">
        <v>144</v>
      </c>
      <c r="D42" s="83">
        <v>500.0</v>
      </c>
      <c r="E42" s="91">
        <v>0.0</v>
      </c>
      <c r="F42" s="91">
        <v>0.0</v>
      </c>
      <c r="G42" s="93"/>
    </row>
    <row r="43">
      <c r="A43" s="78">
        <v>41.0</v>
      </c>
      <c r="B43" s="78">
        <v>5.0</v>
      </c>
      <c r="C43" s="82" t="s">
        <v>143</v>
      </c>
      <c r="D43" s="83">
        <v>500.0</v>
      </c>
      <c r="E43" s="91">
        <v>0.0</v>
      </c>
      <c r="F43" s="91">
        <v>0.0</v>
      </c>
      <c r="G43" s="93"/>
    </row>
    <row r="44">
      <c r="A44" s="78">
        <v>41.0</v>
      </c>
      <c r="B44" s="78">
        <v>5.0</v>
      </c>
      <c r="C44" s="66" t="s">
        <v>82</v>
      </c>
      <c r="D44" s="78">
        <v>500.0</v>
      </c>
      <c r="E44" s="78">
        <v>1.0</v>
      </c>
      <c r="F44" s="78">
        <v>0.0</v>
      </c>
      <c r="G44" s="105">
        <v>14.33</v>
      </c>
    </row>
    <row r="45">
      <c r="A45" s="74"/>
      <c r="B45" s="74"/>
      <c r="C45" s="74"/>
      <c r="D45" s="74"/>
      <c r="E45" s="75">
        <f>SUM(E2:E44)</f>
        <v>36</v>
      </c>
      <c r="F45" s="74"/>
      <c r="G45" s="74"/>
    </row>
    <row r="46">
      <c r="A46" s="74"/>
      <c r="B46" s="74"/>
      <c r="C46" s="74"/>
      <c r="D46" s="74"/>
      <c r="E46" s="74"/>
      <c r="F46" s="74"/>
      <c r="G46" s="74"/>
    </row>
    <row r="47">
      <c r="A47" s="74"/>
      <c r="B47" s="74"/>
      <c r="C47" s="74"/>
      <c r="D47" s="74"/>
      <c r="E47" s="74"/>
      <c r="F47" s="74"/>
      <c r="G47" s="74"/>
    </row>
    <row r="48">
      <c r="A48" s="74"/>
      <c r="B48" s="74"/>
      <c r="C48" s="74"/>
      <c r="D48" s="74"/>
      <c r="E48" s="74"/>
      <c r="F48" s="74"/>
      <c r="G48" s="74"/>
    </row>
    <row r="49">
      <c r="A49" s="74"/>
      <c r="B49" s="74"/>
      <c r="C49" s="74"/>
      <c r="D49" s="74"/>
      <c r="E49" s="74"/>
      <c r="F49" s="74"/>
      <c r="G49" s="74"/>
    </row>
    <row r="50">
      <c r="A50" s="74"/>
      <c r="B50" s="74"/>
      <c r="C50" s="74"/>
      <c r="D50" s="74"/>
      <c r="E50" s="74"/>
      <c r="F50" s="74"/>
      <c r="G50" s="74"/>
    </row>
    <row r="51">
      <c r="A51" s="74"/>
      <c r="B51" s="74"/>
      <c r="C51" s="74"/>
      <c r="D51" s="74"/>
      <c r="E51" s="74"/>
      <c r="F51" s="74"/>
      <c r="G51" s="74"/>
    </row>
    <row r="52">
      <c r="A52" s="74"/>
      <c r="B52" s="74"/>
      <c r="C52" s="74"/>
      <c r="D52" s="74"/>
      <c r="E52" s="74"/>
      <c r="F52" s="74"/>
      <c r="G52" s="74"/>
    </row>
    <row r="53">
      <c r="A53" s="74"/>
      <c r="B53" s="74"/>
      <c r="C53" s="74"/>
      <c r="D53" s="74"/>
      <c r="E53" s="74"/>
      <c r="F53" s="74"/>
      <c r="G53" s="74"/>
    </row>
    <row r="54">
      <c r="A54" s="74"/>
      <c r="B54" s="74"/>
      <c r="C54" s="74"/>
      <c r="D54" s="74"/>
      <c r="E54" s="74"/>
      <c r="F54" s="74"/>
      <c r="G54" s="74"/>
    </row>
    <row r="55">
      <c r="A55" s="74"/>
      <c r="B55" s="74"/>
      <c r="C55" s="74"/>
      <c r="D55" s="74"/>
      <c r="E55" s="74"/>
      <c r="F55" s="74"/>
      <c r="G55" s="74"/>
    </row>
    <row r="56">
      <c r="A56" s="74"/>
      <c r="B56" s="74"/>
      <c r="C56" s="74"/>
      <c r="D56" s="74"/>
      <c r="E56" s="74"/>
      <c r="F56" s="74"/>
      <c r="G56" s="74"/>
    </row>
    <row r="57">
      <c r="A57" s="74"/>
      <c r="B57" s="74"/>
      <c r="C57" s="74"/>
      <c r="D57" s="74"/>
      <c r="E57" s="74"/>
      <c r="F57" s="74"/>
      <c r="G57" s="74"/>
    </row>
    <row r="58">
      <c r="A58" s="74"/>
      <c r="B58" s="74"/>
      <c r="C58" s="74"/>
      <c r="D58" s="74"/>
      <c r="E58" s="74"/>
      <c r="F58" s="74"/>
      <c r="G58" s="74"/>
    </row>
    <row r="59">
      <c r="A59" s="74"/>
      <c r="B59" s="74"/>
      <c r="C59" s="74"/>
      <c r="D59" s="74"/>
      <c r="E59" s="74"/>
      <c r="F59" s="74"/>
      <c r="G59" s="74"/>
    </row>
    <row r="60">
      <c r="A60" s="74"/>
      <c r="B60" s="74"/>
      <c r="C60" s="74"/>
      <c r="D60" s="74"/>
      <c r="E60" s="74"/>
      <c r="F60" s="74"/>
      <c r="G60" s="74"/>
    </row>
    <row r="61">
      <c r="A61" s="74"/>
      <c r="B61" s="74"/>
      <c r="C61" s="74"/>
      <c r="D61" s="74"/>
      <c r="E61" s="74"/>
      <c r="F61" s="74"/>
      <c r="G61" s="74"/>
    </row>
    <row r="62">
      <c r="A62" s="74"/>
      <c r="B62" s="74"/>
      <c r="C62" s="74"/>
      <c r="D62" s="74"/>
      <c r="E62" s="74"/>
      <c r="F62" s="74"/>
      <c r="G62" s="74"/>
    </row>
    <row r="63">
      <c r="A63" s="74"/>
      <c r="B63" s="74"/>
      <c r="C63" s="74"/>
      <c r="D63" s="74"/>
      <c r="E63" s="74"/>
      <c r="F63" s="74"/>
      <c r="G63" s="74"/>
    </row>
    <row r="64">
      <c r="A64" s="74"/>
      <c r="B64" s="74"/>
      <c r="C64" s="74"/>
      <c r="D64" s="74"/>
      <c r="E64" s="74"/>
      <c r="F64" s="74"/>
      <c r="G64" s="74"/>
    </row>
    <row r="65">
      <c r="A65" s="74"/>
      <c r="B65" s="74"/>
      <c r="C65" s="74"/>
      <c r="D65" s="74"/>
      <c r="E65" s="74"/>
      <c r="F65" s="74"/>
      <c r="G65" s="74"/>
    </row>
    <row r="66">
      <c r="A66" s="74"/>
      <c r="B66" s="74"/>
      <c r="C66" s="74"/>
      <c r="D66" s="74"/>
      <c r="E66" s="74"/>
      <c r="F66" s="74"/>
      <c r="G66" s="74"/>
    </row>
    <row r="67">
      <c r="A67" s="74"/>
      <c r="B67" s="74"/>
      <c r="C67" s="74"/>
      <c r="D67" s="74"/>
      <c r="E67" s="74"/>
      <c r="F67" s="74"/>
      <c r="G67" s="74"/>
    </row>
    <row r="68">
      <c r="A68" s="74"/>
      <c r="B68" s="74"/>
      <c r="C68" s="74"/>
      <c r="D68" s="74"/>
      <c r="E68" s="74"/>
      <c r="F68" s="74"/>
      <c r="G68" s="74"/>
    </row>
    <row r="69">
      <c r="A69" s="74"/>
      <c r="B69" s="74"/>
      <c r="C69" s="74"/>
      <c r="D69" s="74"/>
      <c r="E69" s="74"/>
      <c r="F69" s="74"/>
      <c r="G69" s="74"/>
    </row>
    <row r="70">
      <c r="A70" s="74"/>
      <c r="B70" s="74"/>
      <c r="C70" s="74"/>
      <c r="D70" s="74"/>
      <c r="E70" s="74"/>
      <c r="F70" s="74"/>
      <c r="G70" s="74"/>
    </row>
    <row r="71">
      <c r="A71" s="74"/>
      <c r="B71" s="74"/>
      <c r="C71" s="74"/>
      <c r="D71" s="74"/>
      <c r="E71" s="74"/>
      <c r="F71" s="74"/>
      <c r="G71" s="74"/>
    </row>
    <row r="72">
      <c r="A72" s="74"/>
      <c r="B72" s="74"/>
      <c r="C72" s="74"/>
      <c r="D72" s="74"/>
      <c r="E72" s="74"/>
      <c r="F72" s="74"/>
      <c r="G72" s="74"/>
    </row>
    <row r="73">
      <c r="A73" s="74"/>
      <c r="B73" s="74"/>
      <c r="C73" s="74"/>
      <c r="D73" s="74"/>
      <c r="E73" s="74"/>
      <c r="F73" s="74"/>
      <c r="G73" s="74"/>
    </row>
    <row r="74">
      <c r="A74" s="74"/>
      <c r="B74" s="74"/>
      <c r="C74" s="74"/>
      <c r="D74" s="74"/>
      <c r="E74" s="74"/>
      <c r="F74" s="74"/>
      <c r="G74" s="74"/>
    </row>
    <row r="75">
      <c r="A75" s="74"/>
      <c r="B75" s="74"/>
      <c r="C75" s="74"/>
      <c r="D75" s="74"/>
      <c r="E75" s="74"/>
      <c r="F75" s="74"/>
      <c r="G75" s="74"/>
    </row>
    <row r="76">
      <c r="A76" s="74"/>
      <c r="B76" s="74"/>
      <c r="C76" s="74"/>
      <c r="D76" s="74"/>
      <c r="E76" s="74"/>
      <c r="F76" s="74"/>
      <c r="G76" s="74"/>
    </row>
    <row r="77">
      <c r="A77" s="74"/>
      <c r="B77" s="74"/>
      <c r="C77" s="74"/>
      <c r="D77" s="74"/>
      <c r="E77" s="74"/>
      <c r="F77" s="74"/>
      <c r="G77" s="74"/>
    </row>
    <row r="78">
      <c r="A78" s="74"/>
      <c r="B78" s="74"/>
      <c r="C78" s="74"/>
      <c r="D78" s="74"/>
      <c r="E78" s="74"/>
      <c r="F78" s="74"/>
      <c r="G78" s="74"/>
    </row>
    <row r="79">
      <c r="A79" s="74"/>
      <c r="B79" s="74"/>
      <c r="C79" s="74"/>
      <c r="D79" s="74"/>
      <c r="E79" s="74"/>
      <c r="F79" s="74"/>
      <c r="G79" s="74"/>
    </row>
    <row r="80">
      <c r="A80" s="74"/>
      <c r="B80" s="74"/>
      <c r="C80" s="74"/>
      <c r="D80" s="74"/>
      <c r="E80" s="74"/>
      <c r="F80" s="74"/>
      <c r="G80" s="74"/>
    </row>
    <row r="81">
      <c r="A81" s="74"/>
      <c r="B81" s="74"/>
      <c r="C81" s="74"/>
      <c r="D81" s="74"/>
      <c r="E81" s="74"/>
      <c r="F81" s="74"/>
      <c r="G81" s="74"/>
    </row>
    <row r="82">
      <c r="A82" s="74"/>
      <c r="B82" s="74"/>
      <c r="C82" s="74"/>
      <c r="D82" s="74"/>
      <c r="E82" s="74"/>
      <c r="F82" s="74"/>
      <c r="G82" s="74"/>
    </row>
    <row r="83">
      <c r="A83" s="74"/>
      <c r="B83" s="74"/>
      <c r="C83" s="74"/>
      <c r="D83" s="74"/>
      <c r="E83" s="74"/>
      <c r="F83" s="74"/>
      <c r="G83" s="74"/>
    </row>
    <row r="84">
      <c r="A84" s="74"/>
      <c r="B84" s="74"/>
      <c r="C84" s="74"/>
      <c r="D84" s="74"/>
      <c r="E84" s="74"/>
      <c r="F84" s="74"/>
      <c r="G84" s="74"/>
    </row>
    <row r="85">
      <c r="A85" s="74"/>
      <c r="B85" s="74"/>
      <c r="C85" s="74"/>
      <c r="D85" s="74"/>
      <c r="E85" s="74"/>
      <c r="F85" s="74"/>
      <c r="G85" s="74"/>
    </row>
    <row r="86">
      <c r="A86" s="74"/>
      <c r="B86" s="74"/>
      <c r="C86" s="74"/>
      <c r="D86" s="74"/>
      <c r="E86" s="74"/>
      <c r="F86" s="74"/>
      <c r="G86" s="74"/>
    </row>
    <row r="87">
      <c r="A87" s="74"/>
      <c r="B87" s="74"/>
      <c r="C87" s="74"/>
      <c r="D87" s="74"/>
      <c r="E87" s="74"/>
      <c r="F87" s="74"/>
      <c r="G87" s="74"/>
    </row>
    <row r="88">
      <c r="A88" s="74"/>
      <c r="B88" s="74"/>
      <c r="C88" s="74"/>
      <c r="D88" s="74"/>
      <c r="E88" s="74"/>
      <c r="F88" s="74"/>
      <c r="G88" s="74"/>
    </row>
    <row r="89">
      <c r="A89" s="74"/>
      <c r="B89" s="74"/>
      <c r="C89" s="74"/>
      <c r="D89" s="74"/>
      <c r="E89" s="74"/>
      <c r="F89" s="74"/>
      <c r="G89" s="74"/>
    </row>
    <row r="90">
      <c r="A90" s="74"/>
      <c r="B90" s="74"/>
      <c r="C90" s="74"/>
      <c r="D90" s="74"/>
      <c r="E90" s="74"/>
      <c r="F90" s="74"/>
      <c r="G90" s="74"/>
    </row>
    <row r="91">
      <c r="A91" s="74"/>
      <c r="B91" s="74"/>
      <c r="C91" s="74"/>
      <c r="D91" s="74"/>
      <c r="E91" s="74"/>
      <c r="F91" s="74"/>
      <c r="G91" s="74"/>
    </row>
    <row r="92">
      <c r="A92" s="74"/>
      <c r="B92" s="74"/>
      <c r="C92" s="74"/>
      <c r="D92" s="74"/>
      <c r="E92" s="74"/>
      <c r="F92" s="74"/>
      <c r="G92" s="74"/>
    </row>
    <row r="93">
      <c r="A93" s="74"/>
      <c r="B93" s="74"/>
      <c r="C93" s="74"/>
      <c r="D93" s="74"/>
      <c r="E93" s="74"/>
      <c r="F93" s="74"/>
      <c r="G93" s="74"/>
    </row>
    <row r="94">
      <c r="A94" s="74"/>
      <c r="B94" s="74"/>
      <c r="C94" s="74"/>
      <c r="D94" s="74"/>
      <c r="E94" s="74"/>
      <c r="F94" s="74"/>
      <c r="G94" s="74"/>
    </row>
    <row r="95">
      <c r="A95" s="74"/>
      <c r="B95" s="74"/>
      <c r="C95" s="74"/>
      <c r="D95" s="74"/>
      <c r="E95" s="74"/>
      <c r="F95" s="74"/>
      <c r="G95" s="74"/>
    </row>
    <row r="96">
      <c r="A96" s="74"/>
      <c r="B96" s="74"/>
      <c r="C96" s="74"/>
      <c r="D96" s="74"/>
      <c r="E96" s="74"/>
      <c r="F96" s="74"/>
      <c r="G96" s="74"/>
    </row>
    <row r="97">
      <c r="A97" s="74"/>
      <c r="B97" s="74"/>
      <c r="C97" s="74"/>
      <c r="D97" s="74"/>
      <c r="E97" s="74"/>
      <c r="F97" s="74"/>
      <c r="G97" s="74"/>
    </row>
    <row r="98">
      <c r="A98" s="74"/>
      <c r="B98" s="74"/>
      <c r="C98" s="74"/>
      <c r="D98" s="74"/>
      <c r="E98" s="74"/>
      <c r="F98" s="74"/>
      <c r="G98" s="74"/>
    </row>
    <row r="99">
      <c r="A99" s="74"/>
      <c r="B99" s="74"/>
      <c r="C99" s="74"/>
      <c r="D99" s="74"/>
      <c r="E99" s="74"/>
      <c r="F99" s="74"/>
      <c r="G99" s="74"/>
    </row>
    <row r="100">
      <c r="A100" s="74"/>
      <c r="B100" s="74"/>
      <c r="C100" s="74"/>
      <c r="D100" s="74"/>
      <c r="E100" s="74"/>
      <c r="F100" s="74"/>
      <c r="G100" s="74"/>
    </row>
    <row r="101">
      <c r="A101" s="74"/>
      <c r="B101" s="74"/>
      <c r="C101" s="74"/>
      <c r="D101" s="74"/>
      <c r="E101" s="74"/>
      <c r="F101" s="74"/>
      <c r="G101" s="74"/>
    </row>
    <row r="102">
      <c r="A102" s="74"/>
      <c r="B102" s="74"/>
      <c r="C102" s="74"/>
      <c r="D102" s="74"/>
      <c r="E102" s="74"/>
      <c r="F102" s="74"/>
      <c r="G102" s="74"/>
    </row>
    <row r="103">
      <c r="A103" s="74"/>
      <c r="B103" s="74"/>
      <c r="C103" s="74"/>
      <c r="D103" s="74"/>
      <c r="E103" s="74"/>
      <c r="F103" s="74"/>
      <c r="G103" s="74"/>
    </row>
    <row r="104">
      <c r="A104" s="74"/>
      <c r="B104" s="74"/>
      <c r="C104" s="74"/>
      <c r="D104" s="74"/>
      <c r="E104" s="74"/>
      <c r="F104" s="74"/>
      <c r="G104" s="74"/>
    </row>
    <row r="105">
      <c r="A105" s="74"/>
      <c r="B105" s="74"/>
      <c r="C105" s="74"/>
      <c r="D105" s="74"/>
      <c r="E105" s="74"/>
      <c r="F105" s="74"/>
      <c r="G105" s="74"/>
    </row>
    <row r="106">
      <c r="A106" s="74"/>
      <c r="B106" s="74"/>
      <c r="C106" s="74"/>
      <c r="D106" s="74"/>
      <c r="E106" s="74"/>
      <c r="F106" s="74"/>
      <c r="G106" s="74"/>
    </row>
    <row r="107">
      <c r="A107" s="74"/>
      <c r="B107" s="74"/>
      <c r="C107" s="74"/>
      <c r="D107" s="74"/>
      <c r="E107" s="74"/>
      <c r="F107" s="74"/>
      <c r="G107" s="74"/>
    </row>
    <row r="108">
      <c r="A108" s="74"/>
      <c r="B108" s="74"/>
      <c r="C108" s="74"/>
      <c r="D108" s="74"/>
      <c r="E108" s="74"/>
      <c r="F108" s="74"/>
      <c r="G108" s="74"/>
    </row>
    <row r="109">
      <c r="A109" s="74"/>
      <c r="B109" s="74"/>
      <c r="C109" s="74"/>
      <c r="D109" s="74"/>
      <c r="E109" s="74"/>
      <c r="F109" s="74"/>
      <c r="G109" s="74"/>
    </row>
    <row r="110">
      <c r="A110" s="74"/>
      <c r="B110" s="74"/>
      <c r="C110" s="74"/>
      <c r="D110" s="74"/>
      <c r="E110" s="74"/>
      <c r="F110" s="74"/>
      <c r="G110" s="74"/>
    </row>
    <row r="111">
      <c r="A111" s="74"/>
      <c r="B111" s="74"/>
      <c r="C111" s="74"/>
      <c r="D111" s="74"/>
      <c r="E111" s="74"/>
      <c r="F111" s="74"/>
      <c r="G111" s="74"/>
    </row>
    <row r="112">
      <c r="A112" s="74"/>
      <c r="B112" s="74"/>
      <c r="C112" s="74"/>
      <c r="D112" s="74"/>
      <c r="E112" s="74"/>
      <c r="F112" s="74"/>
      <c r="G112" s="74"/>
    </row>
    <row r="113">
      <c r="A113" s="74"/>
      <c r="B113" s="74"/>
      <c r="C113" s="74"/>
      <c r="D113" s="74"/>
      <c r="E113" s="74"/>
      <c r="F113" s="74"/>
      <c r="G113" s="74"/>
    </row>
    <row r="114">
      <c r="A114" s="74"/>
      <c r="B114" s="74"/>
      <c r="C114" s="74"/>
      <c r="D114" s="74"/>
      <c r="E114" s="74"/>
      <c r="F114" s="74"/>
      <c r="G114" s="74"/>
    </row>
    <row r="115">
      <c r="A115" s="74"/>
      <c r="B115" s="74"/>
      <c r="C115" s="74"/>
      <c r="D115" s="74"/>
      <c r="E115" s="74"/>
      <c r="F115" s="74"/>
      <c r="G115" s="74"/>
    </row>
    <row r="116">
      <c r="A116" s="74"/>
      <c r="B116" s="74"/>
      <c r="C116" s="74"/>
      <c r="D116" s="74"/>
      <c r="E116" s="74"/>
      <c r="F116" s="74"/>
      <c r="G116" s="74"/>
    </row>
    <row r="117">
      <c r="A117" s="74"/>
      <c r="B117" s="74"/>
      <c r="C117" s="74"/>
      <c r="D117" s="74"/>
      <c r="E117" s="74"/>
      <c r="F117" s="74"/>
      <c r="G117" s="74"/>
    </row>
    <row r="118">
      <c r="A118" s="74"/>
      <c r="B118" s="74"/>
      <c r="C118" s="74"/>
      <c r="D118" s="74"/>
      <c r="E118" s="74"/>
      <c r="F118" s="74"/>
      <c r="G118" s="74"/>
    </row>
    <row r="119">
      <c r="A119" s="74"/>
      <c r="B119" s="74"/>
      <c r="C119" s="74"/>
      <c r="D119" s="74"/>
      <c r="E119" s="74"/>
      <c r="F119" s="74"/>
      <c r="G119" s="74"/>
    </row>
    <row r="120">
      <c r="A120" s="74"/>
      <c r="B120" s="74"/>
      <c r="C120" s="74"/>
      <c r="D120" s="74"/>
      <c r="E120" s="74"/>
      <c r="F120" s="74"/>
      <c r="G120" s="74"/>
    </row>
    <row r="121">
      <c r="A121" s="74"/>
      <c r="B121" s="74"/>
      <c r="C121" s="74"/>
      <c r="D121" s="74"/>
      <c r="E121" s="74"/>
      <c r="F121" s="74"/>
      <c r="G121" s="74"/>
    </row>
    <row r="122">
      <c r="A122" s="74"/>
      <c r="B122" s="74"/>
      <c r="C122" s="74"/>
      <c r="D122" s="74"/>
      <c r="E122" s="74"/>
      <c r="F122" s="74"/>
      <c r="G122" s="74"/>
    </row>
    <row r="123">
      <c r="A123" s="74"/>
      <c r="B123" s="74"/>
      <c r="C123" s="74"/>
      <c r="D123" s="74"/>
      <c r="E123" s="74"/>
      <c r="F123" s="74"/>
      <c r="G123" s="74"/>
    </row>
    <row r="124">
      <c r="A124" s="74"/>
      <c r="B124" s="74"/>
      <c r="C124" s="74"/>
      <c r="D124" s="74"/>
      <c r="E124" s="74"/>
      <c r="F124" s="74"/>
      <c r="G124" s="74"/>
    </row>
    <row r="125">
      <c r="A125" s="74"/>
      <c r="B125" s="74"/>
      <c r="C125" s="74"/>
      <c r="D125" s="74"/>
      <c r="E125" s="74"/>
      <c r="F125" s="74"/>
      <c r="G125" s="74"/>
    </row>
    <row r="126">
      <c r="A126" s="74"/>
      <c r="B126" s="74"/>
      <c r="C126" s="74"/>
      <c r="D126" s="74"/>
      <c r="E126" s="74"/>
      <c r="F126" s="74"/>
      <c r="G126" s="74"/>
    </row>
    <row r="127">
      <c r="A127" s="74"/>
      <c r="B127" s="74"/>
      <c r="C127" s="74"/>
      <c r="D127" s="74"/>
      <c r="E127" s="74"/>
      <c r="F127" s="74"/>
      <c r="G127" s="74"/>
    </row>
    <row r="128">
      <c r="A128" s="74"/>
      <c r="B128" s="74"/>
      <c r="C128" s="74"/>
      <c r="D128" s="74"/>
      <c r="E128" s="74"/>
      <c r="F128" s="74"/>
      <c r="G128" s="74"/>
    </row>
    <row r="129">
      <c r="A129" s="74"/>
      <c r="B129" s="74"/>
      <c r="C129" s="74"/>
      <c r="D129" s="74"/>
      <c r="E129" s="74"/>
      <c r="F129" s="74"/>
      <c r="G129" s="74"/>
    </row>
    <row r="130">
      <c r="A130" s="74"/>
      <c r="B130" s="74"/>
      <c r="C130" s="74"/>
      <c r="D130" s="74"/>
      <c r="E130" s="74"/>
      <c r="F130" s="74"/>
      <c r="G130" s="74"/>
    </row>
    <row r="131">
      <c r="A131" s="74"/>
      <c r="B131" s="74"/>
      <c r="C131" s="74"/>
      <c r="D131" s="74"/>
      <c r="E131" s="74"/>
      <c r="F131" s="74"/>
      <c r="G131" s="74"/>
    </row>
    <row r="132">
      <c r="A132" s="74"/>
      <c r="B132" s="74"/>
      <c r="C132" s="74"/>
      <c r="D132" s="74"/>
      <c r="E132" s="74"/>
      <c r="F132" s="74"/>
      <c r="G132" s="74"/>
    </row>
    <row r="133">
      <c r="A133" s="74"/>
      <c r="B133" s="74"/>
      <c r="C133" s="74"/>
      <c r="D133" s="74"/>
      <c r="E133" s="74"/>
      <c r="F133" s="74"/>
      <c r="G133" s="74"/>
    </row>
    <row r="134">
      <c r="A134" s="74"/>
      <c r="B134" s="74"/>
      <c r="C134" s="74"/>
      <c r="D134" s="74"/>
      <c r="E134" s="74"/>
      <c r="F134" s="74"/>
      <c r="G134" s="74"/>
    </row>
    <row r="135">
      <c r="A135" s="74"/>
      <c r="B135" s="74"/>
      <c r="C135" s="74"/>
      <c r="D135" s="74"/>
      <c r="E135" s="74"/>
      <c r="F135" s="74"/>
      <c r="G135" s="74"/>
    </row>
    <row r="136">
      <c r="A136" s="74"/>
      <c r="B136" s="74"/>
      <c r="C136" s="74"/>
      <c r="D136" s="74"/>
      <c r="E136" s="74"/>
      <c r="F136" s="74"/>
      <c r="G136" s="74"/>
    </row>
    <row r="137">
      <c r="A137" s="74"/>
      <c r="B137" s="74"/>
      <c r="C137" s="74"/>
      <c r="D137" s="74"/>
      <c r="E137" s="74"/>
      <c r="F137" s="74"/>
      <c r="G137" s="74"/>
    </row>
    <row r="138">
      <c r="A138" s="74"/>
      <c r="B138" s="74"/>
      <c r="C138" s="74"/>
      <c r="D138" s="74"/>
      <c r="E138" s="74"/>
      <c r="F138" s="74"/>
      <c r="G138" s="74"/>
    </row>
    <row r="139">
      <c r="A139" s="74"/>
      <c r="B139" s="74"/>
      <c r="C139" s="74"/>
      <c r="D139" s="74"/>
      <c r="E139" s="74"/>
      <c r="F139" s="74"/>
      <c r="G139" s="74"/>
    </row>
    <row r="140">
      <c r="A140" s="74"/>
      <c r="B140" s="74"/>
      <c r="C140" s="74"/>
      <c r="D140" s="74"/>
      <c r="E140" s="74"/>
      <c r="F140" s="74"/>
      <c r="G140" s="74"/>
    </row>
    <row r="141">
      <c r="A141" s="74"/>
      <c r="B141" s="74"/>
      <c r="C141" s="74"/>
      <c r="D141" s="74"/>
      <c r="E141" s="74"/>
      <c r="F141" s="74"/>
      <c r="G141" s="74"/>
    </row>
    <row r="142">
      <c r="A142" s="74"/>
      <c r="B142" s="74"/>
      <c r="C142" s="74"/>
      <c r="D142" s="74"/>
      <c r="E142" s="74"/>
      <c r="F142" s="74"/>
      <c r="G142" s="74"/>
    </row>
    <row r="143">
      <c r="A143" s="74"/>
      <c r="B143" s="74"/>
      <c r="C143" s="74"/>
      <c r="D143" s="74"/>
      <c r="E143" s="74"/>
      <c r="F143" s="74"/>
      <c r="G143" s="74"/>
    </row>
    <row r="144">
      <c r="A144" s="74"/>
      <c r="B144" s="74"/>
      <c r="C144" s="74"/>
      <c r="D144" s="74"/>
      <c r="E144" s="74"/>
      <c r="F144" s="74"/>
      <c r="G144" s="74"/>
    </row>
    <row r="145">
      <c r="A145" s="74"/>
      <c r="B145" s="74"/>
      <c r="C145" s="74"/>
      <c r="D145" s="74"/>
      <c r="E145" s="74"/>
      <c r="F145" s="74"/>
      <c r="G145" s="74"/>
    </row>
    <row r="146">
      <c r="A146" s="74"/>
      <c r="B146" s="74"/>
      <c r="C146" s="74"/>
      <c r="D146" s="74"/>
      <c r="E146" s="74"/>
      <c r="F146" s="74"/>
      <c r="G146" s="74"/>
    </row>
    <row r="147">
      <c r="A147" s="74"/>
      <c r="B147" s="74"/>
      <c r="C147" s="74"/>
      <c r="D147" s="74"/>
      <c r="E147" s="74"/>
      <c r="F147" s="74"/>
      <c r="G147" s="74"/>
    </row>
    <row r="148">
      <c r="A148" s="74"/>
      <c r="B148" s="74"/>
      <c r="C148" s="74"/>
      <c r="D148" s="74"/>
      <c r="E148" s="74"/>
      <c r="F148" s="74"/>
      <c r="G148" s="74"/>
    </row>
    <row r="149">
      <c r="A149" s="74"/>
      <c r="B149" s="74"/>
      <c r="C149" s="74"/>
      <c r="D149" s="74"/>
      <c r="E149" s="74"/>
      <c r="F149" s="74"/>
      <c r="G149" s="74"/>
    </row>
    <row r="150">
      <c r="A150" s="74"/>
      <c r="B150" s="74"/>
      <c r="C150" s="74"/>
      <c r="D150" s="74"/>
      <c r="E150" s="74"/>
      <c r="F150" s="74"/>
      <c r="G150" s="74"/>
    </row>
    <row r="151">
      <c r="A151" s="74"/>
      <c r="B151" s="74"/>
      <c r="C151" s="74"/>
      <c r="D151" s="74"/>
      <c r="E151" s="74"/>
      <c r="F151" s="74"/>
      <c r="G151" s="74"/>
    </row>
    <row r="152">
      <c r="A152" s="74"/>
      <c r="B152" s="74"/>
      <c r="C152" s="74"/>
      <c r="D152" s="74"/>
      <c r="E152" s="74"/>
      <c r="F152" s="74"/>
      <c r="G152" s="74"/>
    </row>
    <row r="153">
      <c r="A153" s="74"/>
      <c r="B153" s="74"/>
      <c r="C153" s="74"/>
      <c r="D153" s="74"/>
      <c r="E153" s="74"/>
      <c r="F153" s="74"/>
      <c r="G153" s="74"/>
    </row>
    <row r="154">
      <c r="A154" s="74"/>
      <c r="B154" s="74"/>
      <c r="C154" s="74"/>
      <c r="D154" s="74"/>
      <c r="E154" s="74"/>
      <c r="F154" s="74"/>
      <c r="G154" s="74"/>
    </row>
    <row r="155">
      <c r="A155" s="74"/>
      <c r="B155" s="74"/>
      <c r="C155" s="74"/>
      <c r="D155" s="74"/>
      <c r="E155" s="74"/>
      <c r="F155" s="74"/>
      <c r="G155" s="74"/>
    </row>
    <row r="156">
      <c r="A156" s="74"/>
      <c r="B156" s="74"/>
      <c r="C156" s="74"/>
      <c r="D156" s="74"/>
      <c r="E156" s="74"/>
      <c r="F156" s="74"/>
      <c r="G156" s="74"/>
    </row>
    <row r="157">
      <c r="A157" s="74"/>
      <c r="B157" s="74"/>
      <c r="C157" s="74"/>
      <c r="D157" s="74"/>
      <c r="E157" s="74"/>
      <c r="F157" s="74"/>
      <c r="G157" s="74"/>
    </row>
    <row r="158">
      <c r="A158" s="74"/>
      <c r="B158" s="74"/>
      <c r="C158" s="74"/>
      <c r="D158" s="74"/>
      <c r="E158" s="74"/>
      <c r="F158" s="74"/>
      <c r="G158" s="74"/>
    </row>
    <row r="159">
      <c r="A159" s="74"/>
      <c r="B159" s="74"/>
      <c r="C159" s="74"/>
      <c r="D159" s="74"/>
      <c r="E159" s="74"/>
      <c r="F159" s="74"/>
      <c r="G159" s="74"/>
    </row>
    <row r="160">
      <c r="A160" s="74"/>
      <c r="B160" s="74"/>
      <c r="C160" s="74"/>
      <c r="D160" s="74"/>
      <c r="E160" s="74"/>
      <c r="F160" s="74"/>
      <c r="G160" s="74"/>
    </row>
    <row r="161">
      <c r="A161" s="74"/>
      <c r="B161" s="74"/>
      <c r="C161" s="74"/>
      <c r="D161" s="74"/>
      <c r="E161" s="74"/>
      <c r="F161" s="74"/>
      <c r="G161" s="74"/>
    </row>
    <row r="162">
      <c r="A162" s="74"/>
      <c r="B162" s="74"/>
      <c r="C162" s="74"/>
      <c r="D162" s="74"/>
      <c r="E162" s="74"/>
      <c r="F162" s="74"/>
      <c r="G162" s="74"/>
    </row>
    <row r="163">
      <c r="A163" s="74"/>
      <c r="B163" s="74"/>
      <c r="C163" s="74"/>
      <c r="D163" s="74"/>
      <c r="E163" s="74"/>
      <c r="F163" s="74"/>
      <c r="G163" s="74"/>
    </row>
    <row r="164">
      <c r="A164" s="74"/>
      <c r="B164" s="74"/>
      <c r="C164" s="74"/>
      <c r="D164" s="74"/>
      <c r="E164" s="74"/>
      <c r="F164" s="74"/>
      <c r="G164" s="74"/>
    </row>
    <row r="165">
      <c r="A165" s="74"/>
      <c r="B165" s="74"/>
      <c r="C165" s="74"/>
      <c r="D165" s="74"/>
      <c r="E165" s="74"/>
      <c r="F165" s="74"/>
      <c r="G165" s="74"/>
    </row>
    <row r="166">
      <c r="A166" s="74"/>
      <c r="B166" s="74"/>
      <c r="C166" s="74"/>
      <c r="D166" s="74"/>
      <c r="E166" s="74"/>
      <c r="F166" s="74"/>
      <c r="G166" s="74"/>
    </row>
    <row r="167">
      <c r="A167" s="74"/>
      <c r="B167" s="74"/>
      <c r="C167" s="74"/>
      <c r="D167" s="74"/>
      <c r="E167" s="74"/>
      <c r="F167" s="74"/>
      <c r="G167" s="74"/>
    </row>
    <row r="168">
      <c r="A168" s="74"/>
      <c r="B168" s="74"/>
      <c r="C168" s="74"/>
      <c r="D168" s="74"/>
      <c r="E168" s="74"/>
      <c r="F168" s="74"/>
      <c r="G168" s="74"/>
    </row>
    <row r="169">
      <c r="A169" s="74"/>
      <c r="B169" s="74"/>
      <c r="C169" s="74"/>
      <c r="D169" s="74"/>
      <c r="E169" s="74"/>
      <c r="F169" s="74"/>
      <c r="G169" s="74"/>
    </row>
    <row r="170">
      <c r="A170" s="74"/>
      <c r="B170" s="74"/>
      <c r="C170" s="74"/>
      <c r="D170" s="74"/>
      <c r="E170" s="74"/>
      <c r="F170" s="74"/>
      <c r="G170" s="74"/>
    </row>
    <row r="171">
      <c r="A171" s="74"/>
      <c r="B171" s="74"/>
      <c r="C171" s="74"/>
      <c r="D171" s="74"/>
      <c r="E171" s="74"/>
      <c r="F171" s="74"/>
      <c r="G171" s="74"/>
    </row>
    <row r="172">
      <c r="A172" s="74"/>
      <c r="B172" s="74"/>
      <c r="C172" s="74"/>
      <c r="D172" s="74"/>
      <c r="E172" s="74"/>
      <c r="F172" s="74"/>
      <c r="G172" s="74"/>
    </row>
    <row r="173">
      <c r="A173" s="74"/>
      <c r="B173" s="74"/>
      <c r="C173" s="74"/>
      <c r="D173" s="74"/>
      <c r="E173" s="74"/>
      <c r="F173" s="74"/>
      <c r="G173" s="74"/>
    </row>
    <row r="174">
      <c r="A174" s="74"/>
      <c r="B174" s="74"/>
      <c r="C174" s="74"/>
      <c r="D174" s="74"/>
      <c r="E174" s="74"/>
      <c r="F174" s="74"/>
      <c r="G174" s="74"/>
    </row>
    <row r="175">
      <c r="A175" s="74"/>
      <c r="B175" s="74"/>
      <c r="C175" s="74"/>
      <c r="D175" s="74"/>
      <c r="E175" s="74"/>
      <c r="F175" s="74"/>
      <c r="G175" s="74"/>
    </row>
    <row r="176">
      <c r="A176" s="74"/>
      <c r="B176" s="74"/>
      <c r="C176" s="74"/>
      <c r="D176" s="74"/>
      <c r="E176" s="74"/>
      <c r="F176" s="74"/>
      <c r="G176" s="74"/>
    </row>
    <row r="177">
      <c r="A177" s="74"/>
      <c r="B177" s="74"/>
      <c r="C177" s="74"/>
      <c r="D177" s="74"/>
      <c r="E177" s="74"/>
      <c r="F177" s="74"/>
      <c r="G177" s="74"/>
    </row>
    <row r="178">
      <c r="A178" s="74"/>
      <c r="B178" s="74"/>
      <c r="C178" s="74"/>
      <c r="D178" s="74"/>
      <c r="E178" s="74"/>
      <c r="F178" s="74"/>
      <c r="G178" s="74"/>
    </row>
    <row r="179">
      <c r="A179" s="74"/>
      <c r="B179" s="74"/>
      <c r="C179" s="74"/>
      <c r="D179" s="74"/>
      <c r="E179" s="74"/>
      <c r="F179" s="74"/>
      <c r="G179" s="74"/>
    </row>
    <row r="180">
      <c r="A180" s="74"/>
      <c r="B180" s="74"/>
      <c r="C180" s="74"/>
      <c r="D180" s="74"/>
      <c r="E180" s="74"/>
      <c r="F180" s="74"/>
      <c r="G180" s="74"/>
    </row>
    <row r="181">
      <c r="A181" s="74"/>
      <c r="B181" s="74"/>
      <c r="C181" s="74"/>
      <c r="D181" s="74"/>
      <c r="E181" s="74"/>
      <c r="F181" s="74"/>
      <c r="G181" s="74"/>
    </row>
    <row r="182">
      <c r="A182" s="74"/>
      <c r="B182" s="74"/>
      <c r="C182" s="74"/>
      <c r="D182" s="74"/>
      <c r="E182" s="74"/>
      <c r="F182" s="74"/>
      <c r="G182" s="74"/>
    </row>
    <row r="183">
      <c r="A183" s="74"/>
      <c r="B183" s="74"/>
      <c r="C183" s="74"/>
      <c r="D183" s="74"/>
      <c r="E183" s="74"/>
      <c r="F183" s="74"/>
      <c r="G183" s="74"/>
    </row>
    <row r="184">
      <c r="A184" s="74"/>
      <c r="B184" s="74"/>
      <c r="C184" s="74"/>
      <c r="D184" s="74"/>
      <c r="E184" s="74"/>
      <c r="F184" s="74"/>
      <c r="G184" s="74"/>
    </row>
    <row r="185">
      <c r="A185" s="74"/>
      <c r="B185" s="74"/>
      <c r="C185" s="74"/>
      <c r="D185" s="74"/>
      <c r="E185" s="74"/>
      <c r="F185" s="74"/>
      <c r="G185" s="74"/>
    </row>
    <row r="186">
      <c r="A186" s="74"/>
      <c r="B186" s="74"/>
      <c r="C186" s="74"/>
      <c r="D186" s="74"/>
      <c r="E186" s="74"/>
      <c r="F186" s="74"/>
      <c r="G186" s="74"/>
    </row>
    <row r="187">
      <c r="A187" s="74"/>
      <c r="B187" s="74"/>
      <c r="C187" s="74"/>
      <c r="D187" s="74"/>
      <c r="E187" s="74"/>
      <c r="F187" s="74"/>
      <c r="G187" s="74"/>
    </row>
    <row r="188">
      <c r="A188" s="74"/>
      <c r="B188" s="74"/>
      <c r="C188" s="74"/>
      <c r="D188" s="74"/>
      <c r="E188" s="74"/>
      <c r="F188" s="74"/>
      <c r="G188" s="74"/>
    </row>
    <row r="189">
      <c r="A189" s="74"/>
      <c r="B189" s="74"/>
      <c r="C189" s="74"/>
      <c r="D189" s="74"/>
      <c r="E189" s="74"/>
      <c r="F189" s="74"/>
      <c r="G189" s="74"/>
    </row>
    <row r="190">
      <c r="A190" s="74"/>
      <c r="B190" s="74"/>
      <c r="C190" s="74"/>
      <c r="D190" s="74"/>
      <c r="E190" s="74"/>
      <c r="F190" s="74"/>
      <c r="G190" s="74"/>
    </row>
    <row r="191">
      <c r="A191" s="74"/>
      <c r="B191" s="74"/>
      <c r="C191" s="74"/>
      <c r="D191" s="74"/>
      <c r="E191" s="74"/>
      <c r="F191" s="74"/>
      <c r="G191" s="74"/>
    </row>
    <row r="192">
      <c r="A192" s="74"/>
      <c r="B192" s="74"/>
      <c r="C192" s="74"/>
      <c r="D192" s="74"/>
      <c r="E192" s="74"/>
      <c r="F192" s="74"/>
      <c r="G192" s="74"/>
    </row>
    <row r="193">
      <c r="A193" s="74"/>
      <c r="B193" s="74"/>
      <c r="C193" s="74"/>
      <c r="D193" s="74"/>
      <c r="E193" s="74"/>
      <c r="F193" s="74"/>
      <c r="G193" s="74"/>
    </row>
    <row r="194">
      <c r="A194" s="74"/>
      <c r="B194" s="74"/>
      <c r="C194" s="74"/>
      <c r="D194" s="74"/>
      <c r="E194" s="74"/>
      <c r="F194" s="74"/>
      <c r="G194" s="74"/>
    </row>
    <row r="195">
      <c r="A195" s="74"/>
      <c r="B195" s="74"/>
      <c r="C195" s="74"/>
      <c r="D195" s="74"/>
      <c r="E195" s="74"/>
      <c r="F195" s="74"/>
      <c r="G195" s="74"/>
    </row>
    <row r="196">
      <c r="A196" s="74"/>
      <c r="B196" s="74"/>
      <c r="C196" s="74"/>
      <c r="D196" s="74"/>
      <c r="E196" s="74"/>
      <c r="F196" s="74"/>
      <c r="G196" s="74"/>
    </row>
    <row r="197">
      <c r="A197" s="74"/>
      <c r="B197" s="74"/>
      <c r="C197" s="74"/>
      <c r="D197" s="74"/>
      <c r="E197" s="74"/>
      <c r="F197" s="74"/>
      <c r="G197" s="74"/>
    </row>
    <row r="198">
      <c r="A198" s="74"/>
      <c r="B198" s="74"/>
      <c r="C198" s="74"/>
      <c r="D198" s="74"/>
      <c r="E198" s="74"/>
      <c r="F198" s="74"/>
      <c r="G198" s="74"/>
    </row>
    <row r="199">
      <c r="A199" s="74"/>
      <c r="B199" s="74"/>
      <c r="C199" s="74"/>
      <c r="D199" s="74"/>
      <c r="E199" s="74"/>
      <c r="F199" s="74"/>
      <c r="G199" s="74"/>
    </row>
    <row r="200">
      <c r="A200" s="74"/>
      <c r="B200" s="74"/>
      <c r="C200" s="74"/>
      <c r="D200" s="74"/>
      <c r="E200" s="74"/>
      <c r="F200" s="74"/>
      <c r="G200" s="74"/>
    </row>
    <row r="201">
      <c r="A201" s="74"/>
      <c r="B201" s="74"/>
      <c r="C201" s="74"/>
      <c r="D201" s="74"/>
      <c r="E201" s="74"/>
      <c r="F201" s="74"/>
      <c r="G201" s="74"/>
    </row>
    <row r="202">
      <c r="A202" s="74"/>
      <c r="B202" s="74"/>
      <c r="C202" s="74"/>
      <c r="D202" s="74"/>
      <c r="E202" s="74"/>
      <c r="F202" s="74"/>
      <c r="G202" s="74"/>
    </row>
    <row r="203">
      <c r="A203" s="74"/>
      <c r="B203" s="74"/>
      <c r="C203" s="74"/>
      <c r="D203" s="74"/>
      <c r="E203" s="74"/>
      <c r="F203" s="74"/>
      <c r="G203" s="74"/>
    </row>
    <row r="204">
      <c r="A204" s="74"/>
      <c r="B204" s="74"/>
      <c r="C204" s="74"/>
      <c r="D204" s="74"/>
      <c r="E204" s="74"/>
      <c r="F204" s="74"/>
      <c r="G204" s="74"/>
    </row>
    <row r="205">
      <c r="A205" s="74"/>
      <c r="B205" s="74"/>
      <c r="C205" s="74"/>
      <c r="D205" s="74"/>
      <c r="E205" s="74"/>
      <c r="F205" s="74"/>
      <c r="G205" s="74"/>
    </row>
    <row r="206">
      <c r="A206" s="74"/>
      <c r="B206" s="74"/>
      <c r="C206" s="74"/>
      <c r="D206" s="74"/>
      <c r="E206" s="74"/>
      <c r="F206" s="74"/>
      <c r="G206" s="74"/>
    </row>
    <row r="207">
      <c r="A207" s="74"/>
      <c r="B207" s="74"/>
      <c r="C207" s="74"/>
      <c r="D207" s="74"/>
      <c r="E207" s="74"/>
      <c r="F207" s="74"/>
      <c r="G207" s="74"/>
    </row>
    <row r="208">
      <c r="A208" s="74"/>
      <c r="B208" s="74"/>
      <c r="C208" s="74"/>
      <c r="D208" s="74"/>
      <c r="E208" s="74"/>
      <c r="F208" s="74"/>
      <c r="G208" s="74"/>
    </row>
    <row r="209">
      <c r="A209" s="74"/>
      <c r="B209" s="74"/>
      <c r="C209" s="74"/>
      <c r="D209" s="74"/>
      <c r="E209" s="74"/>
      <c r="F209" s="74"/>
      <c r="G209" s="74"/>
    </row>
    <row r="210">
      <c r="A210" s="74"/>
      <c r="B210" s="74"/>
      <c r="C210" s="74"/>
      <c r="D210" s="74"/>
      <c r="E210" s="74"/>
      <c r="F210" s="74"/>
      <c r="G210" s="74"/>
    </row>
    <row r="211">
      <c r="A211" s="74"/>
      <c r="B211" s="74"/>
      <c r="C211" s="74"/>
      <c r="D211" s="74"/>
      <c r="E211" s="74"/>
      <c r="F211" s="74"/>
      <c r="G211" s="74"/>
    </row>
    <row r="212">
      <c r="A212" s="74"/>
      <c r="B212" s="74"/>
      <c r="C212" s="74"/>
      <c r="D212" s="74"/>
      <c r="E212" s="74"/>
      <c r="F212" s="74"/>
      <c r="G212" s="74"/>
    </row>
    <row r="213">
      <c r="A213" s="74"/>
      <c r="B213" s="74"/>
      <c r="C213" s="74"/>
      <c r="D213" s="74"/>
      <c r="E213" s="74"/>
      <c r="F213" s="74"/>
      <c r="G213" s="74"/>
    </row>
    <row r="214">
      <c r="A214" s="74"/>
      <c r="B214" s="74"/>
      <c r="C214" s="74"/>
      <c r="D214" s="74"/>
      <c r="E214" s="74"/>
      <c r="F214" s="74"/>
      <c r="G214" s="74"/>
    </row>
    <row r="215">
      <c r="A215" s="74"/>
      <c r="B215" s="74"/>
      <c r="C215" s="74"/>
      <c r="D215" s="74"/>
      <c r="E215" s="74"/>
      <c r="F215" s="74"/>
      <c r="G215" s="74"/>
    </row>
    <row r="216">
      <c r="A216" s="74"/>
      <c r="B216" s="74"/>
      <c r="C216" s="74"/>
      <c r="D216" s="74"/>
      <c r="E216" s="74"/>
      <c r="F216" s="74"/>
      <c r="G216" s="74"/>
    </row>
    <row r="217">
      <c r="A217" s="74"/>
      <c r="B217" s="74"/>
      <c r="C217" s="74"/>
      <c r="D217" s="74"/>
      <c r="E217" s="74"/>
      <c r="F217" s="74"/>
      <c r="G217" s="74"/>
    </row>
    <row r="218">
      <c r="A218" s="74"/>
      <c r="B218" s="74"/>
      <c r="C218" s="74"/>
      <c r="D218" s="74"/>
      <c r="E218" s="74"/>
      <c r="F218" s="74"/>
      <c r="G218" s="74"/>
    </row>
    <row r="219">
      <c r="A219" s="74"/>
      <c r="B219" s="74"/>
      <c r="C219" s="74"/>
      <c r="D219" s="74"/>
      <c r="E219" s="74"/>
      <c r="F219" s="74"/>
      <c r="G219" s="74"/>
    </row>
    <row r="220">
      <c r="A220" s="74"/>
      <c r="B220" s="74"/>
      <c r="C220" s="74"/>
      <c r="D220" s="74"/>
      <c r="E220" s="74"/>
      <c r="F220" s="74"/>
      <c r="G220" s="74"/>
    </row>
    <row r="221">
      <c r="A221" s="74"/>
      <c r="B221" s="74"/>
      <c r="C221" s="74"/>
      <c r="D221" s="74"/>
      <c r="E221" s="74"/>
      <c r="F221" s="74"/>
      <c r="G221" s="74"/>
    </row>
    <row r="222">
      <c r="A222" s="74"/>
      <c r="B222" s="74"/>
      <c r="C222" s="74"/>
      <c r="D222" s="74"/>
      <c r="E222" s="74"/>
      <c r="F222" s="74"/>
      <c r="G222" s="74"/>
    </row>
    <row r="223">
      <c r="A223" s="74"/>
      <c r="B223" s="74"/>
      <c r="C223" s="74"/>
      <c r="D223" s="74"/>
      <c r="E223" s="74"/>
      <c r="F223" s="74"/>
      <c r="G223" s="74"/>
    </row>
    <row r="224">
      <c r="A224" s="74"/>
      <c r="B224" s="74"/>
      <c r="C224" s="74"/>
      <c r="D224" s="74"/>
      <c r="E224" s="74"/>
      <c r="F224" s="74"/>
      <c r="G224" s="74"/>
    </row>
    <row r="225">
      <c r="A225" s="74"/>
      <c r="B225" s="74"/>
      <c r="C225" s="74"/>
      <c r="D225" s="74"/>
      <c r="E225" s="74"/>
      <c r="F225" s="74"/>
      <c r="G225" s="74"/>
    </row>
    <row r="226">
      <c r="A226" s="74"/>
      <c r="B226" s="74"/>
      <c r="C226" s="74"/>
      <c r="D226" s="74"/>
      <c r="E226" s="74"/>
      <c r="F226" s="74"/>
      <c r="G226" s="74"/>
    </row>
    <row r="227">
      <c r="A227" s="74"/>
      <c r="B227" s="74"/>
      <c r="C227" s="74"/>
      <c r="D227" s="74"/>
      <c r="E227" s="74"/>
      <c r="F227" s="74"/>
      <c r="G227" s="74"/>
    </row>
    <row r="228">
      <c r="A228" s="74"/>
      <c r="B228" s="74"/>
      <c r="C228" s="74"/>
      <c r="D228" s="74"/>
      <c r="E228" s="74"/>
      <c r="F228" s="74"/>
      <c r="G228" s="74"/>
    </row>
    <row r="229">
      <c r="A229" s="74"/>
      <c r="B229" s="74"/>
      <c r="C229" s="74"/>
      <c r="D229" s="74"/>
      <c r="E229" s="74"/>
      <c r="F229" s="74"/>
      <c r="G229" s="74"/>
    </row>
    <row r="230">
      <c r="A230" s="74"/>
      <c r="B230" s="74"/>
      <c r="C230" s="74"/>
      <c r="D230" s="74"/>
      <c r="E230" s="74"/>
      <c r="F230" s="74"/>
      <c r="G230" s="74"/>
    </row>
    <row r="231">
      <c r="A231" s="74"/>
      <c r="B231" s="74"/>
      <c r="C231" s="74"/>
      <c r="D231" s="74"/>
      <c r="E231" s="74"/>
      <c r="F231" s="74"/>
      <c r="G231" s="74"/>
    </row>
    <row r="232">
      <c r="A232" s="74"/>
      <c r="B232" s="74"/>
      <c r="C232" s="74"/>
      <c r="D232" s="74"/>
      <c r="E232" s="74"/>
      <c r="F232" s="74"/>
      <c r="G232" s="74"/>
    </row>
    <row r="233">
      <c r="A233" s="74"/>
      <c r="B233" s="74"/>
      <c r="C233" s="74"/>
      <c r="D233" s="74"/>
      <c r="E233" s="74"/>
      <c r="F233" s="74"/>
      <c r="G233" s="74"/>
    </row>
    <row r="234">
      <c r="A234" s="74"/>
      <c r="B234" s="74"/>
      <c r="C234" s="74"/>
      <c r="D234" s="74"/>
      <c r="E234" s="74"/>
      <c r="F234" s="74"/>
      <c r="G234" s="74"/>
    </row>
    <row r="235">
      <c r="A235" s="74"/>
      <c r="B235" s="74"/>
      <c r="C235" s="74"/>
      <c r="D235" s="74"/>
      <c r="E235" s="74"/>
      <c r="F235" s="74"/>
      <c r="G235" s="74"/>
    </row>
    <row r="236">
      <c r="A236" s="74"/>
      <c r="B236" s="74"/>
      <c r="C236" s="74"/>
      <c r="D236" s="74"/>
      <c r="E236" s="74"/>
      <c r="F236" s="74"/>
      <c r="G236" s="74"/>
    </row>
    <row r="237">
      <c r="A237" s="74"/>
      <c r="B237" s="74"/>
      <c r="C237" s="74"/>
      <c r="D237" s="74"/>
      <c r="E237" s="74"/>
      <c r="F237" s="74"/>
      <c r="G237" s="74"/>
    </row>
    <row r="238">
      <c r="A238" s="74"/>
      <c r="B238" s="74"/>
      <c r="C238" s="74"/>
      <c r="D238" s="74"/>
      <c r="E238" s="74"/>
      <c r="F238" s="74"/>
      <c r="G238" s="74"/>
    </row>
    <row r="239">
      <c r="A239" s="74"/>
      <c r="B239" s="74"/>
      <c r="C239" s="74"/>
      <c r="D239" s="74"/>
      <c r="E239" s="74"/>
      <c r="F239" s="74"/>
      <c r="G239" s="74"/>
    </row>
    <row r="240">
      <c r="A240" s="74"/>
      <c r="B240" s="74"/>
      <c r="C240" s="74"/>
      <c r="D240" s="74"/>
      <c r="E240" s="74"/>
      <c r="F240" s="74"/>
      <c r="G240" s="74"/>
    </row>
    <row r="241">
      <c r="A241" s="74"/>
      <c r="B241" s="74"/>
      <c r="C241" s="74"/>
      <c r="D241" s="74"/>
      <c r="E241" s="74"/>
      <c r="F241" s="74"/>
      <c r="G241" s="74"/>
    </row>
    <row r="242">
      <c r="A242" s="74"/>
      <c r="B242" s="74"/>
      <c r="C242" s="74"/>
      <c r="D242" s="74"/>
      <c r="E242" s="74"/>
      <c r="F242" s="74"/>
      <c r="G242" s="74"/>
    </row>
    <row r="243">
      <c r="A243" s="74"/>
      <c r="B243" s="74"/>
      <c r="C243" s="74"/>
      <c r="D243" s="74"/>
      <c r="E243" s="74"/>
      <c r="F243" s="74"/>
      <c r="G243" s="74"/>
    </row>
    <row r="244">
      <c r="A244" s="74"/>
      <c r="B244" s="74"/>
      <c r="C244" s="74"/>
      <c r="D244" s="74"/>
      <c r="E244" s="74"/>
      <c r="F244" s="74"/>
      <c r="G244" s="74"/>
    </row>
    <row r="245">
      <c r="A245" s="74"/>
      <c r="B245" s="74"/>
      <c r="C245" s="74"/>
      <c r="D245" s="74"/>
      <c r="E245" s="74"/>
      <c r="F245" s="74"/>
      <c r="G245" s="74"/>
    </row>
    <row r="246">
      <c r="A246" s="74"/>
      <c r="B246" s="74"/>
      <c r="C246" s="74"/>
      <c r="D246" s="74"/>
      <c r="E246" s="74"/>
      <c r="F246" s="74"/>
      <c r="G246" s="74"/>
    </row>
    <row r="247">
      <c r="A247" s="74"/>
      <c r="B247" s="74"/>
      <c r="C247" s="74"/>
      <c r="D247" s="74"/>
      <c r="E247" s="74"/>
      <c r="F247" s="74"/>
      <c r="G247" s="74"/>
    </row>
    <row r="248">
      <c r="A248" s="74"/>
      <c r="B248" s="74"/>
      <c r="C248" s="74"/>
      <c r="D248" s="74"/>
      <c r="E248" s="74"/>
      <c r="F248" s="74"/>
      <c r="G248" s="74"/>
    </row>
    <row r="249">
      <c r="A249" s="74"/>
      <c r="B249" s="74"/>
      <c r="C249" s="74"/>
      <c r="D249" s="74"/>
      <c r="E249" s="74"/>
      <c r="F249" s="74"/>
      <c r="G249" s="74"/>
    </row>
    <row r="250">
      <c r="A250" s="74"/>
      <c r="B250" s="74"/>
      <c r="C250" s="74"/>
      <c r="D250" s="74"/>
      <c r="E250" s="74"/>
      <c r="F250" s="74"/>
      <c r="G250" s="74"/>
    </row>
    <row r="251">
      <c r="A251" s="74"/>
      <c r="B251" s="74"/>
      <c r="C251" s="74"/>
      <c r="D251" s="74"/>
      <c r="E251" s="74"/>
      <c r="F251" s="74"/>
      <c r="G251" s="74"/>
    </row>
    <row r="252">
      <c r="A252" s="74"/>
      <c r="B252" s="74"/>
      <c r="C252" s="74"/>
      <c r="D252" s="74"/>
      <c r="E252" s="74"/>
      <c r="F252" s="74"/>
      <c r="G252" s="74"/>
    </row>
    <row r="253">
      <c r="A253" s="74"/>
      <c r="B253" s="74"/>
      <c r="C253" s="74"/>
      <c r="D253" s="74"/>
      <c r="E253" s="74"/>
      <c r="F253" s="74"/>
      <c r="G253" s="74"/>
    </row>
    <row r="254">
      <c r="A254" s="74"/>
      <c r="B254" s="74"/>
      <c r="C254" s="74"/>
      <c r="D254" s="74"/>
      <c r="E254" s="74"/>
      <c r="F254" s="74"/>
      <c r="G254" s="74"/>
    </row>
    <row r="255">
      <c r="A255" s="74"/>
      <c r="B255" s="74"/>
      <c r="C255" s="74"/>
      <c r="D255" s="74"/>
      <c r="E255" s="74"/>
      <c r="F255" s="74"/>
      <c r="G255" s="74"/>
    </row>
    <row r="256">
      <c r="A256" s="74"/>
      <c r="B256" s="74"/>
      <c r="C256" s="74"/>
      <c r="D256" s="74"/>
      <c r="E256" s="74"/>
      <c r="F256" s="74"/>
      <c r="G256" s="74"/>
    </row>
    <row r="257">
      <c r="A257" s="74"/>
      <c r="B257" s="74"/>
      <c r="C257" s="74"/>
      <c r="D257" s="74"/>
      <c r="E257" s="74"/>
      <c r="F257" s="74"/>
      <c r="G257" s="74"/>
    </row>
    <row r="258">
      <c r="A258" s="74"/>
      <c r="B258" s="74"/>
      <c r="C258" s="74"/>
      <c r="D258" s="74"/>
      <c r="E258" s="74"/>
      <c r="F258" s="74"/>
      <c r="G258" s="74"/>
    </row>
    <row r="259">
      <c r="A259" s="74"/>
      <c r="B259" s="74"/>
      <c r="C259" s="74"/>
      <c r="D259" s="74"/>
      <c r="E259" s="74"/>
      <c r="F259" s="74"/>
      <c r="G259" s="74"/>
    </row>
    <row r="260">
      <c r="A260" s="74"/>
      <c r="B260" s="74"/>
      <c r="C260" s="74"/>
      <c r="D260" s="74"/>
      <c r="E260" s="74"/>
      <c r="F260" s="74"/>
      <c r="G260" s="74"/>
    </row>
    <row r="261">
      <c r="A261" s="74"/>
      <c r="B261" s="74"/>
      <c r="C261" s="74"/>
      <c r="D261" s="74"/>
      <c r="E261" s="74"/>
      <c r="F261" s="74"/>
      <c r="G261" s="74"/>
    </row>
    <row r="262">
      <c r="A262" s="74"/>
      <c r="B262" s="74"/>
      <c r="C262" s="74"/>
      <c r="D262" s="74"/>
      <c r="E262" s="74"/>
      <c r="F262" s="74"/>
      <c r="G262" s="74"/>
    </row>
    <row r="263">
      <c r="A263" s="74"/>
      <c r="B263" s="74"/>
      <c r="C263" s="74"/>
      <c r="D263" s="74"/>
      <c r="E263" s="74"/>
      <c r="F263" s="74"/>
      <c r="G263" s="74"/>
    </row>
    <row r="264">
      <c r="A264" s="74"/>
      <c r="B264" s="74"/>
      <c r="C264" s="74"/>
      <c r="D264" s="74"/>
      <c r="E264" s="74"/>
      <c r="F264" s="74"/>
      <c r="G264" s="74"/>
    </row>
    <row r="265">
      <c r="A265" s="74"/>
      <c r="B265" s="74"/>
      <c r="C265" s="74"/>
      <c r="D265" s="74"/>
      <c r="E265" s="74"/>
      <c r="F265" s="74"/>
      <c r="G265" s="74"/>
    </row>
    <row r="266">
      <c r="A266" s="74"/>
      <c r="B266" s="74"/>
      <c r="C266" s="74"/>
      <c r="D266" s="74"/>
      <c r="E266" s="74"/>
      <c r="F266" s="74"/>
      <c r="G266" s="74"/>
    </row>
    <row r="267">
      <c r="A267" s="74"/>
      <c r="B267" s="74"/>
      <c r="C267" s="74"/>
      <c r="D267" s="74"/>
      <c r="E267" s="74"/>
      <c r="F267" s="74"/>
      <c r="G267" s="74"/>
    </row>
    <row r="268">
      <c r="A268" s="74"/>
      <c r="B268" s="74"/>
      <c r="C268" s="74"/>
      <c r="D268" s="74"/>
      <c r="E268" s="74"/>
      <c r="F268" s="74"/>
      <c r="G268" s="74"/>
    </row>
    <row r="269">
      <c r="A269" s="74"/>
      <c r="B269" s="74"/>
      <c r="C269" s="74"/>
      <c r="D269" s="74"/>
      <c r="E269" s="74"/>
      <c r="F269" s="74"/>
      <c r="G269" s="74"/>
    </row>
    <row r="270">
      <c r="A270" s="74"/>
      <c r="B270" s="74"/>
      <c r="C270" s="74"/>
      <c r="D270" s="74"/>
      <c r="E270" s="74"/>
      <c r="F270" s="74"/>
      <c r="G270" s="74"/>
    </row>
    <row r="271">
      <c r="A271" s="74"/>
      <c r="B271" s="74"/>
      <c r="C271" s="74"/>
      <c r="D271" s="74"/>
      <c r="E271" s="74"/>
      <c r="F271" s="74"/>
      <c r="G271" s="74"/>
    </row>
    <row r="272">
      <c r="A272" s="74"/>
      <c r="B272" s="74"/>
      <c r="C272" s="74"/>
      <c r="D272" s="74"/>
      <c r="E272" s="74"/>
      <c r="F272" s="74"/>
      <c r="G272" s="74"/>
    </row>
    <row r="273">
      <c r="A273" s="74"/>
      <c r="B273" s="74"/>
      <c r="C273" s="74"/>
      <c r="D273" s="74"/>
      <c r="E273" s="74"/>
      <c r="F273" s="74"/>
      <c r="G273" s="74"/>
    </row>
    <row r="274">
      <c r="A274" s="74"/>
      <c r="B274" s="74"/>
      <c r="C274" s="74"/>
      <c r="D274" s="74"/>
      <c r="E274" s="74"/>
      <c r="F274" s="74"/>
      <c r="G274" s="74"/>
    </row>
    <row r="275">
      <c r="A275" s="74"/>
      <c r="B275" s="74"/>
      <c r="C275" s="74"/>
      <c r="D275" s="74"/>
      <c r="E275" s="74"/>
      <c r="F275" s="74"/>
      <c r="G275" s="74"/>
    </row>
    <row r="276">
      <c r="A276" s="74"/>
      <c r="B276" s="74"/>
      <c r="C276" s="74"/>
      <c r="D276" s="74"/>
      <c r="E276" s="74"/>
      <c r="F276" s="74"/>
      <c r="G276" s="74"/>
    </row>
    <row r="277">
      <c r="A277" s="74"/>
      <c r="B277" s="74"/>
      <c r="C277" s="74"/>
      <c r="D277" s="74"/>
      <c r="E277" s="74"/>
      <c r="F277" s="74"/>
      <c r="G277" s="74"/>
    </row>
    <row r="278">
      <c r="A278" s="74"/>
      <c r="B278" s="74"/>
      <c r="C278" s="74"/>
      <c r="D278" s="74"/>
      <c r="E278" s="74"/>
      <c r="F278" s="74"/>
      <c r="G278" s="74"/>
    </row>
    <row r="279">
      <c r="A279" s="74"/>
      <c r="B279" s="74"/>
      <c r="C279" s="74"/>
      <c r="D279" s="74"/>
      <c r="E279" s="74"/>
      <c r="F279" s="74"/>
      <c r="G279" s="74"/>
    </row>
    <row r="280">
      <c r="A280" s="74"/>
      <c r="B280" s="74"/>
      <c r="C280" s="74"/>
      <c r="D280" s="74"/>
      <c r="E280" s="74"/>
      <c r="F280" s="74"/>
      <c r="G280" s="74"/>
    </row>
    <row r="281">
      <c r="A281" s="74"/>
      <c r="B281" s="74"/>
      <c r="C281" s="74"/>
      <c r="D281" s="74"/>
      <c r="E281" s="74"/>
      <c r="F281" s="74"/>
      <c r="G281" s="74"/>
    </row>
    <row r="282">
      <c r="A282" s="74"/>
      <c r="B282" s="74"/>
      <c r="C282" s="74"/>
      <c r="D282" s="74"/>
      <c r="E282" s="74"/>
      <c r="F282" s="74"/>
      <c r="G282" s="74"/>
    </row>
    <row r="283">
      <c r="A283" s="74"/>
      <c r="B283" s="74"/>
      <c r="C283" s="74"/>
      <c r="D283" s="74"/>
      <c r="E283" s="74"/>
      <c r="F283" s="74"/>
      <c r="G283" s="74"/>
    </row>
    <row r="284">
      <c r="A284" s="74"/>
      <c r="B284" s="74"/>
      <c r="C284" s="74"/>
      <c r="D284" s="74"/>
      <c r="E284" s="74"/>
      <c r="F284" s="74"/>
      <c r="G284" s="74"/>
    </row>
    <row r="285">
      <c r="A285" s="74"/>
      <c r="B285" s="74"/>
      <c r="C285" s="74"/>
      <c r="D285" s="74"/>
      <c r="E285" s="74"/>
      <c r="F285" s="74"/>
      <c r="G285" s="74"/>
    </row>
    <row r="286">
      <c r="A286" s="74"/>
      <c r="B286" s="74"/>
      <c r="C286" s="74"/>
      <c r="D286" s="74"/>
      <c r="E286" s="74"/>
      <c r="F286" s="74"/>
      <c r="G286" s="74"/>
    </row>
    <row r="287">
      <c r="A287" s="74"/>
      <c r="B287" s="74"/>
      <c r="C287" s="74"/>
      <c r="D287" s="74"/>
      <c r="E287" s="74"/>
      <c r="F287" s="74"/>
      <c r="G287" s="74"/>
    </row>
    <row r="288">
      <c r="A288" s="74"/>
      <c r="B288" s="74"/>
      <c r="C288" s="74"/>
      <c r="D288" s="74"/>
      <c r="E288" s="74"/>
      <c r="F288" s="74"/>
      <c r="G288" s="74"/>
    </row>
    <row r="289">
      <c r="A289" s="74"/>
      <c r="B289" s="74"/>
      <c r="C289" s="74"/>
      <c r="D289" s="74"/>
      <c r="E289" s="74"/>
      <c r="F289" s="74"/>
      <c r="G289" s="74"/>
    </row>
    <row r="290">
      <c r="A290" s="74"/>
      <c r="B290" s="74"/>
      <c r="C290" s="74"/>
      <c r="D290" s="74"/>
      <c r="E290" s="74"/>
      <c r="F290" s="74"/>
      <c r="G290" s="74"/>
    </row>
    <row r="291">
      <c r="A291" s="74"/>
      <c r="B291" s="74"/>
      <c r="C291" s="74"/>
      <c r="D291" s="74"/>
      <c r="E291" s="74"/>
      <c r="F291" s="74"/>
      <c r="G291" s="74"/>
    </row>
    <row r="292">
      <c r="A292" s="74"/>
      <c r="B292" s="74"/>
      <c r="C292" s="74"/>
      <c r="D292" s="74"/>
      <c r="E292" s="74"/>
      <c r="F292" s="74"/>
      <c r="G292" s="74"/>
    </row>
    <row r="293">
      <c r="A293" s="74"/>
      <c r="B293" s="74"/>
      <c r="C293" s="74"/>
      <c r="D293" s="74"/>
      <c r="E293" s="74"/>
      <c r="F293" s="74"/>
      <c r="G293" s="74"/>
    </row>
    <row r="294">
      <c r="A294" s="74"/>
      <c r="B294" s="74"/>
      <c r="C294" s="74"/>
      <c r="D294" s="74"/>
      <c r="E294" s="74"/>
      <c r="F294" s="74"/>
      <c r="G294" s="74"/>
    </row>
    <row r="295">
      <c r="A295" s="74"/>
      <c r="B295" s="74"/>
      <c r="C295" s="74"/>
      <c r="D295" s="74"/>
      <c r="E295" s="74"/>
      <c r="F295" s="74"/>
      <c r="G295" s="74"/>
    </row>
    <row r="296">
      <c r="A296" s="74"/>
      <c r="B296" s="74"/>
      <c r="C296" s="74"/>
      <c r="D296" s="74"/>
      <c r="E296" s="74"/>
      <c r="F296" s="74"/>
      <c r="G296" s="74"/>
    </row>
    <row r="297">
      <c r="A297" s="74"/>
      <c r="B297" s="74"/>
      <c r="C297" s="74"/>
      <c r="D297" s="74"/>
      <c r="E297" s="74"/>
      <c r="F297" s="74"/>
      <c r="G297" s="74"/>
    </row>
    <row r="298">
      <c r="A298" s="74"/>
      <c r="B298" s="74"/>
      <c r="C298" s="74"/>
      <c r="D298" s="74"/>
      <c r="E298" s="74"/>
      <c r="F298" s="74"/>
      <c r="G298" s="74"/>
    </row>
    <row r="299">
      <c r="A299" s="74"/>
      <c r="B299" s="74"/>
      <c r="C299" s="74"/>
      <c r="D299" s="74"/>
      <c r="E299" s="74"/>
      <c r="F299" s="74"/>
      <c r="G299" s="74"/>
    </row>
    <row r="300">
      <c r="A300" s="74"/>
      <c r="B300" s="74"/>
      <c r="C300" s="74"/>
      <c r="D300" s="74"/>
      <c r="E300" s="74"/>
      <c r="F300" s="74"/>
      <c r="G300" s="74"/>
    </row>
    <row r="301">
      <c r="A301" s="74"/>
      <c r="B301" s="74"/>
      <c r="C301" s="74"/>
      <c r="D301" s="74"/>
      <c r="E301" s="74"/>
      <c r="F301" s="74"/>
      <c r="G301" s="74"/>
    </row>
    <row r="302">
      <c r="A302" s="74"/>
      <c r="B302" s="74"/>
      <c r="C302" s="74"/>
      <c r="D302" s="74"/>
      <c r="E302" s="74"/>
      <c r="F302" s="74"/>
      <c r="G302" s="74"/>
    </row>
    <row r="303">
      <c r="A303" s="74"/>
      <c r="B303" s="74"/>
      <c r="C303" s="74"/>
      <c r="D303" s="74"/>
      <c r="E303" s="74"/>
      <c r="F303" s="74"/>
      <c r="G303" s="74"/>
    </row>
    <row r="304">
      <c r="A304" s="74"/>
      <c r="B304" s="74"/>
      <c r="C304" s="74"/>
      <c r="D304" s="74"/>
      <c r="E304" s="74"/>
      <c r="F304" s="74"/>
      <c r="G304" s="74"/>
    </row>
    <row r="305">
      <c r="A305" s="74"/>
      <c r="B305" s="74"/>
      <c r="C305" s="74"/>
      <c r="D305" s="74"/>
      <c r="E305" s="74"/>
      <c r="F305" s="74"/>
      <c r="G305" s="74"/>
    </row>
    <row r="306">
      <c r="A306" s="74"/>
      <c r="B306" s="74"/>
      <c r="C306" s="74"/>
      <c r="D306" s="74"/>
      <c r="E306" s="74"/>
      <c r="F306" s="74"/>
      <c r="G306" s="74"/>
    </row>
    <row r="307">
      <c r="A307" s="74"/>
      <c r="B307" s="74"/>
      <c r="C307" s="74"/>
      <c r="D307" s="74"/>
      <c r="E307" s="74"/>
      <c r="F307" s="74"/>
      <c r="G307" s="74"/>
    </row>
    <row r="308">
      <c r="A308" s="74"/>
      <c r="B308" s="74"/>
      <c r="C308" s="74"/>
      <c r="D308" s="74"/>
      <c r="E308" s="74"/>
      <c r="F308" s="74"/>
      <c r="G308" s="74"/>
    </row>
    <row r="309">
      <c r="A309" s="74"/>
      <c r="B309" s="74"/>
      <c r="C309" s="74"/>
      <c r="D309" s="74"/>
      <c r="E309" s="74"/>
      <c r="F309" s="74"/>
      <c r="G309" s="74"/>
    </row>
    <row r="310">
      <c r="A310" s="74"/>
      <c r="B310" s="74"/>
      <c r="C310" s="74"/>
      <c r="D310" s="74"/>
      <c r="E310" s="74"/>
      <c r="F310" s="74"/>
      <c r="G310" s="74"/>
    </row>
    <row r="311">
      <c r="A311" s="74"/>
      <c r="B311" s="74"/>
      <c r="C311" s="74"/>
      <c r="D311" s="74"/>
      <c r="E311" s="74"/>
      <c r="F311" s="74"/>
      <c r="G311" s="74"/>
    </row>
    <row r="312">
      <c r="A312" s="74"/>
      <c r="B312" s="74"/>
      <c r="C312" s="74"/>
      <c r="D312" s="74"/>
      <c r="E312" s="74"/>
      <c r="F312" s="74"/>
      <c r="G312" s="74"/>
    </row>
    <row r="313">
      <c r="A313" s="74"/>
      <c r="B313" s="74"/>
      <c r="C313" s="74"/>
      <c r="D313" s="74"/>
      <c r="E313" s="74"/>
      <c r="F313" s="74"/>
      <c r="G313" s="74"/>
    </row>
    <row r="314">
      <c r="A314" s="74"/>
      <c r="B314" s="74"/>
      <c r="C314" s="74"/>
      <c r="D314" s="74"/>
      <c r="E314" s="74"/>
      <c r="F314" s="74"/>
      <c r="G314" s="74"/>
    </row>
    <row r="315">
      <c r="A315" s="74"/>
      <c r="B315" s="74"/>
      <c r="C315" s="74"/>
      <c r="D315" s="74"/>
      <c r="E315" s="74"/>
      <c r="F315" s="74"/>
      <c r="G315" s="74"/>
    </row>
    <row r="316">
      <c r="A316" s="74"/>
      <c r="B316" s="74"/>
      <c r="C316" s="74"/>
      <c r="D316" s="74"/>
      <c r="E316" s="74"/>
      <c r="F316" s="74"/>
      <c r="G316" s="74"/>
    </row>
    <row r="317">
      <c r="A317" s="74"/>
      <c r="B317" s="74"/>
      <c r="C317" s="74"/>
      <c r="D317" s="74"/>
      <c r="E317" s="74"/>
      <c r="F317" s="74"/>
      <c r="G317" s="74"/>
    </row>
    <row r="318">
      <c r="A318" s="74"/>
      <c r="B318" s="74"/>
      <c r="C318" s="74"/>
      <c r="D318" s="74"/>
      <c r="E318" s="74"/>
      <c r="F318" s="74"/>
      <c r="G318" s="74"/>
    </row>
    <row r="319">
      <c r="A319" s="74"/>
      <c r="B319" s="74"/>
      <c r="C319" s="74"/>
      <c r="D319" s="74"/>
      <c r="E319" s="74"/>
      <c r="F319" s="74"/>
      <c r="G319" s="74"/>
    </row>
    <row r="320">
      <c r="A320" s="74"/>
      <c r="B320" s="74"/>
      <c r="C320" s="74"/>
      <c r="D320" s="74"/>
      <c r="E320" s="74"/>
      <c r="F320" s="74"/>
      <c r="G320" s="74"/>
    </row>
    <row r="321">
      <c r="A321" s="74"/>
      <c r="B321" s="74"/>
      <c r="C321" s="74"/>
      <c r="D321" s="74"/>
      <c r="E321" s="74"/>
      <c r="F321" s="74"/>
      <c r="G321" s="74"/>
    </row>
    <row r="322">
      <c r="A322" s="74"/>
      <c r="B322" s="74"/>
      <c r="C322" s="74"/>
      <c r="D322" s="74"/>
      <c r="E322" s="74"/>
      <c r="F322" s="74"/>
      <c r="G322" s="74"/>
    </row>
    <row r="323">
      <c r="A323" s="74"/>
      <c r="B323" s="74"/>
      <c r="C323" s="74"/>
      <c r="D323" s="74"/>
      <c r="E323" s="74"/>
      <c r="F323" s="74"/>
      <c r="G323" s="74"/>
    </row>
    <row r="324">
      <c r="A324" s="74"/>
      <c r="B324" s="74"/>
      <c r="C324" s="74"/>
      <c r="D324" s="74"/>
      <c r="E324" s="74"/>
      <c r="F324" s="74"/>
      <c r="G324" s="74"/>
    </row>
    <row r="325">
      <c r="A325" s="74"/>
      <c r="B325" s="74"/>
      <c r="C325" s="74"/>
      <c r="D325" s="74"/>
      <c r="E325" s="74"/>
      <c r="F325" s="74"/>
      <c r="G325" s="74"/>
    </row>
    <row r="326">
      <c r="A326" s="74"/>
      <c r="B326" s="74"/>
      <c r="C326" s="74"/>
      <c r="D326" s="74"/>
      <c r="E326" s="74"/>
      <c r="F326" s="74"/>
      <c r="G326" s="74"/>
    </row>
    <row r="327">
      <c r="A327" s="74"/>
      <c r="B327" s="74"/>
      <c r="C327" s="74"/>
      <c r="D327" s="74"/>
      <c r="E327" s="74"/>
      <c r="F327" s="74"/>
      <c r="G327" s="74"/>
    </row>
    <row r="328">
      <c r="A328" s="74"/>
      <c r="B328" s="74"/>
      <c r="C328" s="74"/>
      <c r="D328" s="74"/>
      <c r="E328" s="74"/>
      <c r="F328" s="74"/>
      <c r="G328" s="74"/>
    </row>
    <row r="329">
      <c r="A329" s="74"/>
      <c r="B329" s="74"/>
      <c r="C329" s="74"/>
      <c r="D329" s="74"/>
      <c r="E329" s="74"/>
      <c r="F329" s="74"/>
      <c r="G329" s="74"/>
    </row>
    <row r="330">
      <c r="A330" s="74"/>
      <c r="B330" s="74"/>
      <c r="C330" s="74"/>
      <c r="D330" s="74"/>
      <c r="E330" s="74"/>
      <c r="F330" s="74"/>
      <c r="G330" s="74"/>
    </row>
    <row r="331">
      <c r="A331" s="74"/>
      <c r="B331" s="74"/>
      <c r="C331" s="74"/>
      <c r="D331" s="74"/>
      <c r="E331" s="74"/>
      <c r="F331" s="74"/>
      <c r="G331" s="74"/>
    </row>
    <row r="332">
      <c r="A332" s="74"/>
      <c r="B332" s="74"/>
      <c r="C332" s="74"/>
      <c r="D332" s="74"/>
      <c r="E332" s="74"/>
      <c r="F332" s="74"/>
      <c r="G332" s="74"/>
    </row>
    <row r="333">
      <c r="A333" s="74"/>
      <c r="B333" s="74"/>
      <c r="C333" s="74"/>
      <c r="D333" s="74"/>
      <c r="E333" s="74"/>
      <c r="F333" s="74"/>
      <c r="G333" s="74"/>
    </row>
    <row r="334">
      <c r="A334" s="74"/>
      <c r="B334" s="74"/>
      <c r="C334" s="74"/>
      <c r="D334" s="74"/>
      <c r="E334" s="74"/>
      <c r="F334" s="74"/>
      <c r="G334" s="74"/>
    </row>
    <row r="335">
      <c r="A335" s="74"/>
      <c r="B335" s="74"/>
      <c r="C335" s="74"/>
      <c r="D335" s="74"/>
      <c r="E335" s="74"/>
      <c r="F335" s="74"/>
      <c r="G335" s="74"/>
    </row>
    <row r="336">
      <c r="A336" s="74"/>
      <c r="B336" s="74"/>
      <c r="C336" s="74"/>
      <c r="D336" s="74"/>
      <c r="E336" s="74"/>
      <c r="F336" s="74"/>
      <c r="G336" s="74"/>
    </row>
    <row r="337">
      <c r="A337" s="74"/>
      <c r="B337" s="74"/>
      <c r="C337" s="74"/>
      <c r="D337" s="74"/>
      <c r="E337" s="74"/>
      <c r="F337" s="74"/>
      <c r="G337" s="74"/>
    </row>
    <row r="338">
      <c r="A338" s="74"/>
      <c r="B338" s="74"/>
      <c r="C338" s="74"/>
      <c r="D338" s="74"/>
      <c r="E338" s="74"/>
      <c r="F338" s="74"/>
      <c r="G338" s="74"/>
    </row>
    <row r="339">
      <c r="A339" s="74"/>
      <c r="B339" s="74"/>
      <c r="C339" s="74"/>
      <c r="D339" s="74"/>
      <c r="E339" s="74"/>
      <c r="F339" s="74"/>
      <c r="G339" s="74"/>
    </row>
    <row r="340">
      <c r="A340" s="74"/>
      <c r="B340" s="74"/>
      <c r="C340" s="74"/>
      <c r="D340" s="74"/>
      <c r="E340" s="74"/>
      <c r="F340" s="74"/>
      <c r="G340" s="74"/>
    </row>
    <row r="341">
      <c r="A341" s="74"/>
      <c r="B341" s="74"/>
      <c r="C341" s="74"/>
      <c r="D341" s="74"/>
      <c r="E341" s="74"/>
      <c r="F341" s="74"/>
      <c r="G341" s="74"/>
    </row>
    <row r="342">
      <c r="A342" s="74"/>
      <c r="B342" s="74"/>
      <c r="C342" s="74"/>
      <c r="D342" s="74"/>
      <c r="E342" s="74"/>
      <c r="F342" s="74"/>
      <c r="G342" s="74"/>
    </row>
    <row r="343">
      <c r="A343" s="74"/>
      <c r="B343" s="74"/>
      <c r="C343" s="74"/>
      <c r="D343" s="74"/>
      <c r="E343" s="74"/>
      <c r="F343" s="74"/>
      <c r="G343" s="74"/>
    </row>
    <row r="344">
      <c r="A344" s="74"/>
      <c r="B344" s="74"/>
      <c r="C344" s="74"/>
      <c r="D344" s="74"/>
      <c r="E344" s="74"/>
      <c r="F344" s="74"/>
      <c r="G344" s="74"/>
    </row>
    <row r="345">
      <c r="A345" s="74"/>
      <c r="B345" s="74"/>
      <c r="C345" s="74"/>
      <c r="D345" s="74"/>
      <c r="E345" s="74"/>
      <c r="F345" s="74"/>
      <c r="G345" s="74"/>
    </row>
    <row r="346">
      <c r="A346" s="74"/>
      <c r="B346" s="74"/>
      <c r="C346" s="74"/>
      <c r="D346" s="74"/>
      <c r="E346" s="74"/>
      <c r="F346" s="74"/>
      <c r="G346" s="74"/>
    </row>
    <row r="347">
      <c r="A347" s="74"/>
      <c r="B347" s="74"/>
      <c r="C347" s="74"/>
      <c r="D347" s="74"/>
      <c r="E347" s="74"/>
      <c r="F347" s="74"/>
      <c r="G347" s="74"/>
    </row>
    <row r="348">
      <c r="A348" s="74"/>
      <c r="B348" s="74"/>
      <c r="C348" s="74"/>
      <c r="D348" s="74"/>
      <c r="E348" s="74"/>
      <c r="F348" s="74"/>
      <c r="G348" s="74"/>
    </row>
    <row r="349">
      <c r="A349" s="74"/>
      <c r="B349" s="74"/>
      <c r="C349" s="74"/>
      <c r="D349" s="74"/>
      <c r="E349" s="74"/>
      <c r="F349" s="74"/>
      <c r="G349" s="74"/>
    </row>
    <row r="350">
      <c r="A350" s="74"/>
      <c r="B350" s="74"/>
      <c r="C350" s="74"/>
      <c r="D350" s="74"/>
      <c r="E350" s="74"/>
      <c r="F350" s="74"/>
      <c r="G350" s="74"/>
    </row>
    <row r="351">
      <c r="A351" s="74"/>
      <c r="B351" s="74"/>
      <c r="C351" s="74"/>
      <c r="D351" s="74"/>
      <c r="E351" s="74"/>
      <c r="F351" s="74"/>
      <c r="G351" s="74"/>
    </row>
    <row r="352">
      <c r="A352" s="74"/>
      <c r="B352" s="74"/>
      <c r="C352" s="74"/>
      <c r="D352" s="74"/>
      <c r="E352" s="74"/>
      <c r="F352" s="74"/>
      <c r="G352" s="74"/>
    </row>
    <row r="353">
      <c r="A353" s="74"/>
      <c r="B353" s="74"/>
      <c r="C353" s="74"/>
      <c r="D353" s="74"/>
      <c r="E353" s="74"/>
      <c r="F353" s="74"/>
      <c r="G353" s="74"/>
    </row>
    <row r="354">
      <c r="A354" s="74"/>
      <c r="B354" s="74"/>
      <c r="C354" s="74"/>
      <c r="D354" s="74"/>
      <c r="E354" s="74"/>
      <c r="F354" s="74"/>
      <c r="G354" s="74"/>
    </row>
    <row r="355">
      <c r="A355" s="74"/>
      <c r="B355" s="74"/>
      <c r="C355" s="74"/>
      <c r="D355" s="74"/>
      <c r="E355" s="74"/>
      <c r="F355" s="74"/>
      <c r="G355" s="74"/>
    </row>
    <row r="356">
      <c r="A356" s="74"/>
      <c r="B356" s="74"/>
      <c r="C356" s="74"/>
      <c r="D356" s="74"/>
      <c r="E356" s="74"/>
      <c r="F356" s="74"/>
      <c r="G356" s="74"/>
    </row>
    <row r="357">
      <c r="A357" s="74"/>
      <c r="B357" s="74"/>
      <c r="C357" s="74"/>
      <c r="D357" s="74"/>
      <c r="E357" s="74"/>
      <c r="F357" s="74"/>
      <c r="G357" s="74"/>
    </row>
    <row r="358">
      <c r="A358" s="74"/>
      <c r="B358" s="74"/>
      <c r="C358" s="74"/>
      <c r="D358" s="74"/>
      <c r="E358" s="74"/>
      <c r="F358" s="74"/>
      <c r="G358" s="74"/>
    </row>
    <row r="359">
      <c r="A359" s="74"/>
      <c r="B359" s="74"/>
      <c r="C359" s="74"/>
      <c r="D359" s="74"/>
      <c r="E359" s="74"/>
      <c r="F359" s="74"/>
      <c r="G359" s="74"/>
    </row>
    <row r="360">
      <c r="A360" s="74"/>
      <c r="B360" s="74"/>
      <c r="C360" s="74"/>
      <c r="D360" s="74"/>
      <c r="E360" s="74"/>
      <c r="F360" s="74"/>
      <c r="G360" s="74"/>
    </row>
    <row r="361">
      <c r="A361" s="74"/>
      <c r="B361" s="74"/>
      <c r="C361" s="74"/>
      <c r="D361" s="74"/>
      <c r="E361" s="74"/>
      <c r="F361" s="74"/>
      <c r="G361" s="74"/>
    </row>
    <row r="362">
      <c r="A362" s="74"/>
      <c r="B362" s="74"/>
      <c r="C362" s="74"/>
      <c r="D362" s="74"/>
      <c r="E362" s="74"/>
      <c r="F362" s="74"/>
      <c r="G362" s="74"/>
    </row>
    <row r="363">
      <c r="A363" s="74"/>
      <c r="B363" s="74"/>
      <c r="C363" s="74"/>
      <c r="D363" s="74"/>
      <c r="E363" s="74"/>
      <c r="F363" s="74"/>
      <c r="G363" s="74"/>
    </row>
    <row r="364">
      <c r="A364" s="74"/>
      <c r="B364" s="74"/>
      <c r="C364" s="74"/>
      <c r="D364" s="74"/>
      <c r="E364" s="74"/>
      <c r="F364" s="74"/>
      <c r="G364" s="74"/>
    </row>
    <row r="365">
      <c r="A365" s="74"/>
      <c r="B365" s="74"/>
      <c r="C365" s="74"/>
      <c r="D365" s="74"/>
      <c r="E365" s="74"/>
      <c r="F365" s="74"/>
      <c r="G365" s="74"/>
    </row>
    <row r="366">
      <c r="A366" s="74"/>
      <c r="B366" s="74"/>
      <c r="C366" s="74"/>
      <c r="D366" s="74"/>
      <c r="E366" s="74"/>
      <c r="F366" s="74"/>
      <c r="G366" s="74"/>
    </row>
    <row r="367">
      <c r="A367" s="74"/>
      <c r="B367" s="74"/>
      <c r="C367" s="74"/>
      <c r="D367" s="74"/>
      <c r="E367" s="74"/>
      <c r="F367" s="74"/>
      <c r="G367" s="74"/>
    </row>
    <row r="368">
      <c r="A368" s="74"/>
      <c r="B368" s="74"/>
      <c r="C368" s="74"/>
      <c r="D368" s="74"/>
      <c r="E368" s="74"/>
      <c r="F368" s="74"/>
      <c r="G368" s="74"/>
    </row>
    <row r="369">
      <c r="A369" s="74"/>
      <c r="B369" s="74"/>
      <c r="C369" s="74"/>
      <c r="D369" s="74"/>
      <c r="E369" s="74"/>
      <c r="F369" s="74"/>
      <c r="G369" s="74"/>
    </row>
    <row r="370">
      <c r="A370" s="74"/>
      <c r="B370" s="74"/>
      <c r="C370" s="74"/>
      <c r="D370" s="74"/>
      <c r="E370" s="74"/>
      <c r="F370" s="74"/>
      <c r="G370" s="74"/>
    </row>
    <row r="371">
      <c r="A371" s="74"/>
      <c r="B371" s="74"/>
      <c r="C371" s="74"/>
      <c r="D371" s="74"/>
      <c r="E371" s="74"/>
      <c r="F371" s="74"/>
      <c r="G371" s="74"/>
    </row>
    <row r="372">
      <c r="A372" s="74"/>
      <c r="B372" s="74"/>
      <c r="C372" s="74"/>
      <c r="D372" s="74"/>
      <c r="E372" s="74"/>
      <c r="F372" s="74"/>
      <c r="G372" s="74"/>
    </row>
    <row r="373">
      <c r="A373" s="74"/>
      <c r="B373" s="74"/>
      <c r="C373" s="74"/>
      <c r="D373" s="74"/>
      <c r="E373" s="74"/>
      <c r="F373" s="74"/>
      <c r="G373" s="74"/>
    </row>
    <row r="374">
      <c r="A374" s="74"/>
      <c r="B374" s="74"/>
      <c r="C374" s="74"/>
      <c r="D374" s="74"/>
      <c r="E374" s="74"/>
      <c r="F374" s="74"/>
      <c r="G374" s="74"/>
    </row>
    <row r="375">
      <c r="A375" s="74"/>
      <c r="B375" s="74"/>
      <c r="C375" s="74"/>
      <c r="D375" s="74"/>
      <c r="E375" s="74"/>
      <c r="F375" s="74"/>
      <c r="G375" s="74"/>
    </row>
    <row r="376">
      <c r="A376" s="74"/>
      <c r="B376" s="74"/>
      <c r="C376" s="74"/>
      <c r="D376" s="74"/>
      <c r="E376" s="74"/>
      <c r="F376" s="74"/>
      <c r="G376" s="74"/>
    </row>
    <row r="377">
      <c r="A377" s="74"/>
      <c r="B377" s="74"/>
      <c r="C377" s="74"/>
      <c r="D377" s="74"/>
      <c r="E377" s="74"/>
      <c r="F377" s="74"/>
      <c r="G377" s="74"/>
    </row>
    <row r="378">
      <c r="A378" s="74"/>
      <c r="B378" s="74"/>
      <c r="C378" s="74"/>
      <c r="D378" s="74"/>
      <c r="E378" s="74"/>
      <c r="F378" s="74"/>
      <c r="G378" s="74"/>
    </row>
    <row r="379">
      <c r="A379" s="74"/>
      <c r="B379" s="74"/>
      <c r="C379" s="74"/>
      <c r="D379" s="74"/>
      <c r="E379" s="74"/>
      <c r="F379" s="74"/>
      <c r="G379" s="74"/>
    </row>
    <row r="380">
      <c r="A380" s="74"/>
      <c r="B380" s="74"/>
      <c r="C380" s="74"/>
      <c r="D380" s="74"/>
      <c r="E380" s="74"/>
      <c r="F380" s="74"/>
      <c r="G380" s="74"/>
    </row>
    <row r="381">
      <c r="A381" s="74"/>
      <c r="B381" s="74"/>
      <c r="C381" s="74"/>
      <c r="D381" s="74"/>
      <c r="E381" s="74"/>
      <c r="F381" s="74"/>
      <c r="G381" s="74"/>
    </row>
    <row r="382">
      <c r="A382" s="74"/>
      <c r="B382" s="74"/>
      <c r="C382" s="74"/>
      <c r="D382" s="74"/>
      <c r="E382" s="74"/>
      <c r="F382" s="74"/>
      <c r="G382" s="74"/>
    </row>
    <row r="383">
      <c r="A383" s="74"/>
      <c r="B383" s="74"/>
      <c r="C383" s="74"/>
      <c r="D383" s="74"/>
      <c r="E383" s="74"/>
      <c r="F383" s="74"/>
      <c r="G383" s="74"/>
    </row>
    <row r="384">
      <c r="A384" s="74"/>
      <c r="B384" s="74"/>
      <c r="C384" s="74"/>
      <c r="D384" s="74"/>
      <c r="E384" s="74"/>
      <c r="F384" s="74"/>
      <c r="G384" s="74"/>
    </row>
    <row r="385">
      <c r="A385" s="74"/>
      <c r="B385" s="74"/>
      <c r="C385" s="74"/>
      <c r="D385" s="74"/>
      <c r="E385" s="74"/>
      <c r="F385" s="74"/>
      <c r="G385" s="74"/>
    </row>
    <row r="386">
      <c r="A386" s="74"/>
      <c r="B386" s="74"/>
      <c r="C386" s="74"/>
      <c r="D386" s="74"/>
      <c r="E386" s="74"/>
      <c r="F386" s="74"/>
      <c r="G386" s="74"/>
    </row>
    <row r="387">
      <c r="A387" s="74"/>
      <c r="B387" s="74"/>
      <c r="C387" s="74"/>
      <c r="D387" s="74"/>
      <c r="E387" s="74"/>
      <c r="F387" s="74"/>
      <c r="G387" s="74"/>
    </row>
    <row r="388">
      <c r="A388" s="74"/>
      <c r="B388" s="74"/>
      <c r="C388" s="74"/>
      <c r="D388" s="74"/>
      <c r="E388" s="74"/>
      <c r="F388" s="74"/>
      <c r="G388" s="74"/>
    </row>
    <row r="389">
      <c r="A389" s="74"/>
      <c r="B389" s="74"/>
      <c r="C389" s="74"/>
      <c r="D389" s="74"/>
      <c r="E389" s="74"/>
      <c r="F389" s="74"/>
      <c r="G389" s="74"/>
    </row>
    <row r="390">
      <c r="A390" s="74"/>
      <c r="B390" s="74"/>
      <c r="C390" s="74"/>
      <c r="D390" s="74"/>
      <c r="E390" s="74"/>
      <c r="F390" s="74"/>
      <c r="G390" s="74"/>
    </row>
    <row r="391">
      <c r="A391" s="74"/>
      <c r="B391" s="74"/>
      <c r="C391" s="74"/>
      <c r="D391" s="74"/>
      <c r="E391" s="74"/>
      <c r="F391" s="74"/>
      <c r="G391" s="74"/>
    </row>
    <row r="392">
      <c r="A392" s="74"/>
      <c r="B392" s="74"/>
      <c r="C392" s="74"/>
      <c r="D392" s="74"/>
      <c r="E392" s="74"/>
      <c r="F392" s="74"/>
      <c r="G392" s="74"/>
    </row>
    <row r="393">
      <c r="A393" s="74"/>
      <c r="B393" s="74"/>
      <c r="C393" s="74"/>
      <c r="D393" s="74"/>
      <c r="E393" s="74"/>
      <c r="F393" s="74"/>
      <c r="G393" s="74"/>
    </row>
    <row r="394">
      <c r="A394" s="74"/>
      <c r="B394" s="74"/>
      <c r="C394" s="74"/>
      <c r="D394" s="74"/>
      <c r="E394" s="74"/>
      <c r="F394" s="74"/>
      <c r="G394" s="74"/>
    </row>
    <row r="395">
      <c r="A395" s="74"/>
      <c r="B395" s="74"/>
      <c r="C395" s="74"/>
      <c r="D395" s="74"/>
      <c r="E395" s="74"/>
      <c r="F395" s="74"/>
      <c r="G395" s="74"/>
    </row>
    <row r="396">
      <c r="A396" s="74"/>
      <c r="B396" s="74"/>
      <c r="C396" s="74"/>
      <c r="D396" s="74"/>
      <c r="E396" s="74"/>
      <c r="F396" s="74"/>
      <c r="G396" s="74"/>
    </row>
    <row r="397">
      <c r="A397" s="74"/>
      <c r="B397" s="74"/>
      <c r="C397" s="74"/>
      <c r="D397" s="74"/>
      <c r="E397" s="74"/>
      <c r="F397" s="74"/>
      <c r="G397" s="74"/>
    </row>
    <row r="398">
      <c r="A398" s="74"/>
      <c r="B398" s="74"/>
      <c r="C398" s="74"/>
      <c r="D398" s="74"/>
      <c r="E398" s="74"/>
      <c r="F398" s="74"/>
      <c r="G398" s="74"/>
    </row>
    <row r="399">
      <c r="A399" s="74"/>
      <c r="B399" s="74"/>
      <c r="C399" s="74"/>
      <c r="D399" s="74"/>
      <c r="E399" s="74"/>
      <c r="F399" s="74"/>
      <c r="G399" s="74"/>
    </row>
    <row r="400">
      <c r="A400" s="74"/>
      <c r="B400" s="74"/>
      <c r="C400" s="74"/>
      <c r="D400" s="74"/>
      <c r="E400" s="74"/>
      <c r="F400" s="74"/>
      <c r="G400" s="74"/>
    </row>
    <row r="401">
      <c r="A401" s="74"/>
      <c r="B401" s="74"/>
      <c r="C401" s="74"/>
      <c r="D401" s="74"/>
      <c r="E401" s="74"/>
      <c r="F401" s="74"/>
      <c r="G401" s="74"/>
    </row>
    <row r="402">
      <c r="A402" s="74"/>
      <c r="B402" s="74"/>
      <c r="C402" s="74"/>
      <c r="D402" s="74"/>
      <c r="E402" s="74"/>
      <c r="F402" s="74"/>
      <c r="G402" s="74"/>
    </row>
    <row r="403">
      <c r="A403" s="74"/>
      <c r="B403" s="74"/>
      <c r="C403" s="74"/>
      <c r="D403" s="74"/>
      <c r="E403" s="74"/>
      <c r="F403" s="74"/>
      <c r="G403" s="74"/>
    </row>
    <row r="404">
      <c r="A404" s="74"/>
      <c r="B404" s="74"/>
      <c r="C404" s="74"/>
      <c r="D404" s="74"/>
      <c r="E404" s="74"/>
      <c r="F404" s="74"/>
      <c r="G404" s="74"/>
    </row>
    <row r="405">
      <c r="A405" s="74"/>
      <c r="B405" s="74"/>
      <c r="C405" s="74"/>
      <c r="D405" s="74"/>
      <c r="E405" s="74"/>
      <c r="F405" s="74"/>
      <c r="G405" s="74"/>
    </row>
    <row r="406">
      <c r="A406" s="74"/>
      <c r="B406" s="74"/>
      <c r="C406" s="74"/>
      <c r="D406" s="74"/>
      <c r="E406" s="74"/>
      <c r="F406" s="74"/>
      <c r="G406" s="74"/>
    </row>
    <row r="407">
      <c r="A407" s="74"/>
      <c r="B407" s="74"/>
      <c r="C407" s="74"/>
      <c r="D407" s="74"/>
      <c r="E407" s="74"/>
      <c r="F407" s="74"/>
      <c r="G407" s="74"/>
    </row>
    <row r="408">
      <c r="A408" s="74"/>
      <c r="B408" s="74"/>
      <c r="C408" s="74"/>
      <c r="D408" s="74"/>
      <c r="E408" s="74"/>
      <c r="F408" s="74"/>
      <c r="G408" s="74"/>
    </row>
    <row r="409">
      <c r="A409" s="74"/>
      <c r="B409" s="74"/>
      <c r="C409" s="74"/>
      <c r="D409" s="74"/>
      <c r="E409" s="74"/>
      <c r="F409" s="74"/>
      <c r="G409" s="74"/>
    </row>
    <row r="410">
      <c r="A410" s="74"/>
      <c r="B410" s="74"/>
      <c r="C410" s="74"/>
      <c r="D410" s="74"/>
      <c r="E410" s="74"/>
      <c r="F410" s="74"/>
      <c r="G410" s="74"/>
    </row>
    <row r="411">
      <c r="A411" s="74"/>
      <c r="B411" s="74"/>
      <c r="C411" s="74"/>
      <c r="D411" s="74"/>
      <c r="E411" s="74"/>
      <c r="F411" s="74"/>
      <c r="G411" s="74"/>
    </row>
    <row r="412">
      <c r="A412" s="74"/>
      <c r="B412" s="74"/>
      <c r="C412" s="74"/>
      <c r="D412" s="74"/>
      <c r="E412" s="74"/>
      <c r="F412" s="74"/>
      <c r="G412" s="74"/>
    </row>
    <row r="413">
      <c r="A413" s="74"/>
      <c r="B413" s="74"/>
      <c r="C413" s="74"/>
      <c r="D413" s="74"/>
      <c r="E413" s="74"/>
      <c r="F413" s="74"/>
      <c r="G413" s="74"/>
    </row>
    <row r="414">
      <c r="A414" s="74"/>
      <c r="B414" s="74"/>
      <c r="C414" s="74"/>
      <c r="D414" s="74"/>
      <c r="E414" s="74"/>
      <c r="F414" s="74"/>
      <c r="G414" s="74"/>
    </row>
    <row r="415">
      <c r="A415" s="74"/>
      <c r="B415" s="74"/>
      <c r="C415" s="74"/>
      <c r="D415" s="74"/>
      <c r="E415" s="74"/>
      <c r="F415" s="74"/>
      <c r="G415" s="74"/>
    </row>
    <row r="416">
      <c r="A416" s="74"/>
      <c r="B416" s="74"/>
      <c r="C416" s="74"/>
      <c r="D416" s="74"/>
      <c r="E416" s="74"/>
      <c r="F416" s="74"/>
      <c r="G416" s="74"/>
    </row>
    <row r="417">
      <c r="A417" s="74"/>
      <c r="B417" s="74"/>
      <c r="C417" s="74"/>
      <c r="D417" s="74"/>
      <c r="E417" s="74"/>
      <c r="F417" s="74"/>
      <c r="G417" s="74"/>
    </row>
    <row r="418">
      <c r="A418" s="74"/>
      <c r="B418" s="74"/>
      <c r="C418" s="74"/>
      <c r="D418" s="74"/>
      <c r="E418" s="74"/>
      <c r="F418" s="74"/>
      <c r="G418" s="74"/>
    </row>
    <row r="419">
      <c r="A419" s="74"/>
      <c r="B419" s="74"/>
      <c r="C419" s="74"/>
      <c r="D419" s="74"/>
      <c r="E419" s="74"/>
      <c r="F419" s="74"/>
      <c r="G419" s="74"/>
    </row>
    <row r="420">
      <c r="A420" s="74"/>
      <c r="B420" s="74"/>
      <c r="C420" s="74"/>
      <c r="D420" s="74"/>
      <c r="E420" s="74"/>
      <c r="F420" s="74"/>
      <c r="G420" s="74"/>
    </row>
    <row r="421">
      <c r="A421" s="74"/>
      <c r="B421" s="74"/>
      <c r="C421" s="74"/>
      <c r="D421" s="74"/>
      <c r="E421" s="74"/>
      <c r="F421" s="74"/>
      <c r="G421" s="74"/>
    </row>
    <row r="422">
      <c r="A422" s="74"/>
      <c r="B422" s="74"/>
      <c r="C422" s="74"/>
      <c r="D422" s="74"/>
      <c r="E422" s="74"/>
      <c r="F422" s="74"/>
      <c r="G422" s="74"/>
    </row>
    <row r="423">
      <c r="A423" s="74"/>
      <c r="B423" s="74"/>
      <c r="C423" s="74"/>
      <c r="D423" s="74"/>
      <c r="E423" s="74"/>
      <c r="F423" s="74"/>
      <c r="G423" s="74"/>
    </row>
    <row r="424">
      <c r="A424" s="74"/>
      <c r="B424" s="74"/>
      <c r="C424" s="74"/>
      <c r="D424" s="74"/>
      <c r="E424" s="74"/>
      <c r="F424" s="74"/>
      <c r="G424" s="74"/>
    </row>
    <row r="425">
      <c r="A425" s="74"/>
      <c r="B425" s="74"/>
      <c r="C425" s="74"/>
      <c r="D425" s="74"/>
      <c r="E425" s="74"/>
      <c r="F425" s="74"/>
      <c r="G425" s="74"/>
    </row>
    <row r="426">
      <c r="A426" s="74"/>
      <c r="B426" s="74"/>
      <c r="C426" s="74"/>
      <c r="D426" s="74"/>
      <c r="E426" s="74"/>
      <c r="F426" s="74"/>
      <c r="G426" s="74"/>
    </row>
    <row r="427">
      <c r="A427" s="74"/>
      <c r="B427" s="74"/>
      <c r="C427" s="74"/>
      <c r="D427" s="74"/>
      <c r="E427" s="74"/>
      <c r="F427" s="74"/>
      <c r="G427" s="74"/>
    </row>
    <row r="428">
      <c r="A428" s="74"/>
      <c r="B428" s="74"/>
      <c r="C428" s="74"/>
      <c r="D428" s="74"/>
      <c r="E428" s="74"/>
      <c r="F428" s="74"/>
      <c r="G428" s="74"/>
    </row>
    <row r="429">
      <c r="A429" s="74"/>
      <c r="B429" s="74"/>
      <c r="C429" s="74"/>
      <c r="D429" s="74"/>
      <c r="E429" s="74"/>
      <c r="F429" s="74"/>
      <c r="G429" s="74"/>
    </row>
    <row r="430">
      <c r="A430" s="74"/>
      <c r="B430" s="74"/>
      <c r="C430" s="74"/>
      <c r="D430" s="74"/>
      <c r="E430" s="74"/>
      <c r="F430" s="74"/>
      <c r="G430" s="74"/>
    </row>
    <row r="431">
      <c r="A431" s="74"/>
      <c r="B431" s="74"/>
      <c r="C431" s="74"/>
      <c r="D431" s="74"/>
      <c r="E431" s="74"/>
      <c r="F431" s="74"/>
      <c r="G431" s="74"/>
    </row>
    <row r="432">
      <c r="A432" s="74"/>
      <c r="B432" s="74"/>
      <c r="C432" s="74"/>
      <c r="D432" s="74"/>
      <c r="E432" s="74"/>
      <c r="F432" s="74"/>
      <c r="G432" s="74"/>
    </row>
    <row r="433">
      <c r="A433" s="74"/>
      <c r="B433" s="74"/>
      <c r="C433" s="74"/>
      <c r="D433" s="74"/>
      <c r="E433" s="74"/>
      <c r="F433" s="74"/>
      <c r="G433" s="74"/>
    </row>
    <row r="434">
      <c r="A434" s="74"/>
      <c r="B434" s="74"/>
      <c r="C434" s="74"/>
      <c r="D434" s="74"/>
      <c r="E434" s="74"/>
      <c r="F434" s="74"/>
      <c r="G434" s="74"/>
    </row>
    <row r="435">
      <c r="A435" s="74"/>
      <c r="B435" s="74"/>
      <c r="C435" s="74"/>
      <c r="D435" s="74"/>
      <c r="E435" s="74"/>
      <c r="F435" s="74"/>
      <c r="G435" s="74"/>
    </row>
    <row r="436">
      <c r="A436" s="74"/>
      <c r="B436" s="74"/>
      <c r="C436" s="74"/>
      <c r="D436" s="74"/>
      <c r="E436" s="74"/>
      <c r="F436" s="74"/>
      <c r="G436" s="74"/>
    </row>
    <row r="437">
      <c r="A437" s="74"/>
      <c r="B437" s="74"/>
      <c r="C437" s="74"/>
      <c r="D437" s="74"/>
      <c r="E437" s="74"/>
      <c r="F437" s="74"/>
      <c r="G437" s="74"/>
    </row>
    <row r="438">
      <c r="A438" s="74"/>
      <c r="B438" s="74"/>
      <c r="C438" s="74"/>
      <c r="D438" s="74"/>
      <c r="E438" s="74"/>
      <c r="F438" s="74"/>
      <c r="G438" s="74"/>
    </row>
    <row r="439">
      <c r="A439" s="74"/>
      <c r="B439" s="74"/>
      <c r="C439" s="74"/>
      <c r="D439" s="74"/>
      <c r="E439" s="74"/>
      <c r="F439" s="74"/>
      <c r="G439" s="74"/>
    </row>
    <row r="440">
      <c r="A440" s="74"/>
      <c r="B440" s="74"/>
      <c r="C440" s="74"/>
      <c r="D440" s="74"/>
      <c r="E440" s="74"/>
      <c r="F440" s="74"/>
      <c r="G440" s="74"/>
    </row>
    <row r="441">
      <c r="A441" s="74"/>
      <c r="B441" s="74"/>
      <c r="C441" s="74"/>
      <c r="D441" s="74"/>
      <c r="E441" s="74"/>
      <c r="F441" s="74"/>
      <c r="G441" s="74"/>
    </row>
    <row r="442">
      <c r="A442" s="74"/>
      <c r="B442" s="74"/>
      <c r="C442" s="74"/>
      <c r="D442" s="74"/>
      <c r="E442" s="74"/>
      <c r="F442" s="74"/>
      <c r="G442" s="74"/>
    </row>
    <row r="443">
      <c r="A443" s="74"/>
      <c r="B443" s="74"/>
      <c r="C443" s="74"/>
      <c r="D443" s="74"/>
      <c r="E443" s="74"/>
      <c r="F443" s="74"/>
      <c r="G443" s="74"/>
    </row>
    <row r="444">
      <c r="A444" s="74"/>
      <c r="B444" s="74"/>
      <c r="C444" s="74"/>
      <c r="D444" s="74"/>
      <c r="E444" s="74"/>
      <c r="F444" s="74"/>
      <c r="G444" s="74"/>
    </row>
    <row r="445">
      <c r="A445" s="74"/>
      <c r="B445" s="74"/>
      <c r="C445" s="74"/>
      <c r="D445" s="74"/>
      <c r="E445" s="74"/>
      <c r="F445" s="74"/>
      <c r="G445" s="74"/>
    </row>
    <row r="446">
      <c r="A446" s="74"/>
      <c r="B446" s="74"/>
      <c r="C446" s="74"/>
      <c r="D446" s="74"/>
      <c r="E446" s="74"/>
      <c r="F446" s="74"/>
      <c r="G446" s="74"/>
    </row>
    <row r="447">
      <c r="A447" s="74"/>
      <c r="B447" s="74"/>
      <c r="C447" s="74"/>
      <c r="D447" s="74"/>
      <c r="E447" s="74"/>
      <c r="F447" s="74"/>
      <c r="G447" s="74"/>
    </row>
    <row r="448">
      <c r="A448" s="74"/>
      <c r="B448" s="74"/>
      <c r="C448" s="74"/>
      <c r="D448" s="74"/>
      <c r="E448" s="74"/>
      <c r="F448" s="74"/>
      <c r="G448" s="74"/>
    </row>
    <row r="449">
      <c r="A449" s="74"/>
      <c r="B449" s="74"/>
      <c r="C449" s="74"/>
      <c r="D449" s="74"/>
      <c r="E449" s="74"/>
      <c r="F449" s="74"/>
      <c r="G449" s="74"/>
    </row>
    <row r="450">
      <c r="A450" s="74"/>
      <c r="B450" s="74"/>
      <c r="C450" s="74"/>
      <c r="D450" s="74"/>
      <c r="E450" s="74"/>
      <c r="F450" s="74"/>
      <c r="G450" s="74"/>
    </row>
    <row r="451">
      <c r="A451" s="74"/>
      <c r="B451" s="74"/>
      <c r="C451" s="74"/>
      <c r="D451" s="74"/>
      <c r="E451" s="74"/>
      <c r="F451" s="74"/>
      <c r="G451" s="74"/>
    </row>
    <row r="452">
      <c r="A452" s="74"/>
      <c r="B452" s="74"/>
      <c r="C452" s="74"/>
      <c r="D452" s="74"/>
      <c r="E452" s="74"/>
      <c r="F452" s="74"/>
      <c r="G452" s="74"/>
    </row>
    <row r="453">
      <c r="A453" s="74"/>
      <c r="B453" s="74"/>
      <c r="C453" s="74"/>
      <c r="D453" s="74"/>
      <c r="E453" s="74"/>
      <c r="F453" s="74"/>
      <c r="G453" s="74"/>
    </row>
    <row r="454">
      <c r="A454" s="74"/>
      <c r="B454" s="74"/>
      <c r="C454" s="74"/>
      <c r="D454" s="74"/>
      <c r="E454" s="74"/>
      <c r="F454" s="74"/>
      <c r="G454" s="74"/>
    </row>
    <row r="455">
      <c r="A455" s="74"/>
      <c r="B455" s="74"/>
      <c r="C455" s="74"/>
      <c r="D455" s="74"/>
      <c r="E455" s="74"/>
      <c r="F455" s="74"/>
      <c r="G455" s="74"/>
    </row>
    <row r="456">
      <c r="A456" s="74"/>
      <c r="B456" s="74"/>
      <c r="C456" s="74"/>
      <c r="D456" s="74"/>
      <c r="E456" s="74"/>
      <c r="F456" s="74"/>
      <c r="G456" s="74"/>
    </row>
    <row r="457">
      <c r="A457" s="74"/>
      <c r="B457" s="74"/>
      <c r="C457" s="74"/>
      <c r="D457" s="74"/>
      <c r="E457" s="74"/>
      <c r="F457" s="74"/>
      <c r="G457" s="74"/>
    </row>
    <row r="458">
      <c r="A458" s="74"/>
      <c r="B458" s="74"/>
      <c r="C458" s="74"/>
      <c r="D458" s="74"/>
      <c r="E458" s="74"/>
      <c r="F458" s="74"/>
      <c r="G458" s="74"/>
    </row>
    <row r="459">
      <c r="A459" s="74"/>
      <c r="B459" s="74"/>
      <c r="C459" s="74"/>
      <c r="D459" s="74"/>
      <c r="E459" s="74"/>
      <c r="F459" s="74"/>
      <c r="G459" s="74"/>
    </row>
    <row r="460">
      <c r="A460" s="74"/>
      <c r="B460" s="74"/>
      <c r="C460" s="74"/>
      <c r="D460" s="74"/>
      <c r="E460" s="74"/>
      <c r="F460" s="74"/>
      <c r="G460" s="74"/>
    </row>
    <row r="461">
      <c r="A461" s="74"/>
      <c r="B461" s="74"/>
      <c r="C461" s="74"/>
      <c r="D461" s="74"/>
      <c r="E461" s="74"/>
      <c r="F461" s="74"/>
      <c r="G461" s="74"/>
    </row>
    <row r="462">
      <c r="A462" s="74"/>
      <c r="B462" s="74"/>
      <c r="C462" s="74"/>
      <c r="D462" s="74"/>
      <c r="E462" s="74"/>
      <c r="F462" s="74"/>
      <c r="G462" s="74"/>
    </row>
    <row r="463">
      <c r="A463" s="74"/>
      <c r="B463" s="74"/>
      <c r="C463" s="74"/>
      <c r="D463" s="74"/>
      <c r="E463" s="74"/>
      <c r="F463" s="74"/>
      <c r="G463" s="74"/>
    </row>
    <row r="464">
      <c r="A464" s="74"/>
      <c r="B464" s="74"/>
      <c r="C464" s="74"/>
      <c r="D464" s="74"/>
      <c r="E464" s="74"/>
      <c r="F464" s="74"/>
      <c r="G464" s="74"/>
    </row>
    <row r="465">
      <c r="A465" s="74"/>
      <c r="B465" s="74"/>
      <c r="C465" s="74"/>
      <c r="D465" s="74"/>
      <c r="E465" s="74"/>
      <c r="F465" s="74"/>
      <c r="G465" s="74"/>
    </row>
    <row r="466">
      <c r="A466" s="74"/>
      <c r="B466" s="74"/>
      <c r="C466" s="74"/>
      <c r="D466" s="74"/>
      <c r="E466" s="74"/>
      <c r="F466" s="74"/>
      <c r="G466" s="74"/>
    </row>
    <row r="467">
      <c r="A467" s="74"/>
      <c r="B467" s="74"/>
      <c r="C467" s="74"/>
      <c r="D467" s="74"/>
      <c r="E467" s="74"/>
      <c r="F467" s="74"/>
      <c r="G467" s="74"/>
    </row>
    <row r="468">
      <c r="A468" s="74"/>
      <c r="B468" s="74"/>
      <c r="C468" s="74"/>
      <c r="D468" s="74"/>
      <c r="E468" s="74"/>
      <c r="F468" s="74"/>
      <c r="G468" s="74"/>
    </row>
    <row r="469">
      <c r="A469" s="74"/>
      <c r="B469" s="74"/>
      <c r="C469" s="74"/>
      <c r="D469" s="74"/>
      <c r="E469" s="74"/>
      <c r="F469" s="74"/>
      <c r="G469" s="74"/>
    </row>
    <row r="470">
      <c r="A470" s="74"/>
      <c r="B470" s="74"/>
      <c r="C470" s="74"/>
      <c r="D470" s="74"/>
      <c r="E470" s="74"/>
      <c r="F470" s="74"/>
      <c r="G470" s="74"/>
    </row>
    <row r="471">
      <c r="A471" s="74"/>
      <c r="B471" s="74"/>
      <c r="C471" s="74"/>
      <c r="D471" s="74"/>
      <c r="E471" s="74"/>
      <c r="F471" s="74"/>
      <c r="G471" s="74"/>
    </row>
    <row r="472">
      <c r="A472" s="74"/>
      <c r="B472" s="74"/>
      <c r="C472" s="74"/>
      <c r="D472" s="74"/>
      <c r="E472" s="74"/>
      <c r="F472" s="74"/>
      <c r="G472" s="74"/>
    </row>
    <row r="473">
      <c r="A473" s="74"/>
      <c r="B473" s="74"/>
      <c r="C473" s="74"/>
      <c r="D473" s="74"/>
      <c r="E473" s="74"/>
      <c r="F473" s="74"/>
      <c r="G473" s="74"/>
    </row>
    <row r="474">
      <c r="A474" s="74"/>
      <c r="B474" s="74"/>
      <c r="C474" s="74"/>
      <c r="D474" s="74"/>
      <c r="E474" s="74"/>
      <c r="F474" s="74"/>
      <c r="G474" s="74"/>
    </row>
    <row r="475">
      <c r="A475" s="74"/>
      <c r="B475" s="74"/>
      <c r="C475" s="74"/>
      <c r="D475" s="74"/>
      <c r="E475" s="74"/>
      <c r="F475" s="74"/>
      <c r="G475" s="74"/>
    </row>
    <row r="476">
      <c r="A476" s="74"/>
      <c r="B476" s="74"/>
      <c r="C476" s="74"/>
      <c r="D476" s="74"/>
      <c r="E476" s="74"/>
      <c r="F476" s="74"/>
      <c r="G476" s="74"/>
    </row>
    <row r="477">
      <c r="A477" s="74"/>
      <c r="B477" s="74"/>
      <c r="C477" s="74"/>
      <c r="D477" s="74"/>
      <c r="E477" s="74"/>
      <c r="F477" s="74"/>
      <c r="G477" s="74"/>
    </row>
    <row r="478">
      <c r="A478" s="74"/>
      <c r="B478" s="74"/>
      <c r="C478" s="74"/>
      <c r="D478" s="74"/>
      <c r="E478" s="74"/>
      <c r="F478" s="74"/>
      <c r="G478" s="74"/>
    </row>
    <row r="479">
      <c r="A479" s="74"/>
      <c r="B479" s="74"/>
      <c r="C479" s="74"/>
      <c r="D479" s="74"/>
      <c r="E479" s="74"/>
      <c r="F479" s="74"/>
      <c r="G479" s="74"/>
    </row>
    <row r="480">
      <c r="A480" s="74"/>
      <c r="B480" s="74"/>
      <c r="C480" s="74"/>
      <c r="D480" s="74"/>
      <c r="E480" s="74"/>
      <c r="F480" s="74"/>
      <c r="G480" s="74"/>
    </row>
    <row r="481">
      <c r="A481" s="74"/>
      <c r="B481" s="74"/>
      <c r="C481" s="74"/>
      <c r="D481" s="74"/>
      <c r="E481" s="74"/>
      <c r="F481" s="74"/>
      <c r="G481" s="74"/>
    </row>
    <row r="482">
      <c r="A482" s="74"/>
      <c r="B482" s="74"/>
      <c r="C482" s="74"/>
      <c r="D482" s="74"/>
      <c r="E482" s="74"/>
      <c r="F482" s="74"/>
      <c r="G482" s="74"/>
    </row>
    <row r="483">
      <c r="A483" s="74"/>
      <c r="B483" s="74"/>
      <c r="C483" s="74"/>
      <c r="D483" s="74"/>
      <c r="E483" s="74"/>
      <c r="F483" s="74"/>
      <c r="G483" s="74"/>
    </row>
    <row r="484">
      <c r="A484" s="74"/>
      <c r="B484" s="74"/>
      <c r="C484" s="74"/>
      <c r="D484" s="74"/>
      <c r="E484" s="74"/>
      <c r="F484" s="74"/>
      <c r="G484" s="74"/>
    </row>
    <row r="485">
      <c r="A485" s="74"/>
      <c r="B485" s="74"/>
      <c r="C485" s="74"/>
      <c r="D485" s="74"/>
      <c r="E485" s="74"/>
      <c r="F485" s="74"/>
      <c r="G485" s="74"/>
    </row>
    <row r="486">
      <c r="A486" s="74"/>
      <c r="B486" s="74"/>
      <c r="C486" s="74"/>
      <c r="D486" s="74"/>
      <c r="E486" s="74"/>
      <c r="F486" s="74"/>
      <c r="G486" s="74"/>
    </row>
    <row r="487">
      <c r="A487" s="74"/>
      <c r="B487" s="74"/>
      <c r="C487" s="74"/>
      <c r="D487" s="74"/>
      <c r="E487" s="74"/>
      <c r="F487" s="74"/>
      <c r="G487" s="74"/>
    </row>
    <row r="488">
      <c r="A488" s="74"/>
      <c r="B488" s="74"/>
      <c r="C488" s="74"/>
      <c r="D488" s="74"/>
      <c r="E488" s="74"/>
      <c r="F488" s="74"/>
      <c r="G488" s="74"/>
    </row>
    <row r="489">
      <c r="A489" s="74"/>
      <c r="B489" s="74"/>
      <c r="C489" s="74"/>
      <c r="D489" s="74"/>
      <c r="E489" s="74"/>
      <c r="F489" s="74"/>
      <c r="G489" s="74"/>
    </row>
    <row r="490">
      <c r="A490" s="74"/>
      <c r="B490" s="74"/>
      <c r="C490" s="74"/>
      <c r="D490" s="74"/>
      <c r="E490" s="74"/>
      <c r="F490" s="74"/>
      <c r="G490" s="74"/>
    </row>
    <row r="491">
      <c r="A491" s="74"/>
      <c r="B491" s="74"/>
      <c r="C491" s="74"/>
      <c r="D491" s="74"/>
      <c r="E491" s="74"/>
      <c r="F491" s="74"/>
      <c r="G491" s="74"/>
    </row>
    <row r="492">
      <c r="A492" s="74"/>
      <c r="B492" s="74"/>
      <c r="C492" s="74"/>
      <c r="D492" s="74"/>
      <c r="E492" s="74"/>
      <c r="F492" s="74"/>
      <c r="G492" s="74"/>
    </row>
    <row r="493">
      <c r="A493" s="74"/>
      <c r="B493" s="74"/>
      <c r="C493" s="74"/>
      <c r="D493" s="74"/>
      <c r="E493" s="74"/>
      <c r="F493" s="74"/>
      <c r="G493" s="74"/>
    </row>
    <row r="494">
      <c r="A494" s="74"/>
      <c r="B494" s="74"/>
      <c r="C494" s="74"/>
      <c r="D494" s="74"/>
      <c r="E494" s="74"/>
      <c r="F494" s="74"/>
      <c r="G494" s="74"/>
    </row>
    <row r="495">
      <c r="A495" s="74"/>
      <c r="B495" s="74"/>
      <c r="C495" s="74"/>
      <c r="D495" s="74"/>
      <c r="E495" s="74"/>
      <c r="F495" s="74"/>
      <c r="G495" s="74"/>
    </row>
    <row r="496">
      <c r="A496" s="74"/>
      <c r="B496" s="74"/>
      <c r="C496" s="74"/>
      <c r="D496" s="74"/>
      <c r="E496" s="74"/>
      <c r="F496" s="74"/>
      <c r="G496" s="74"/>
    </row>
    <row r="497">
      <c r="A497" s="74"/>
      <c r="B497" s="74"/>
      <c r="C497" s="74"/>
      <c r="D497" s="74"/>
      <c r="E497" s="74"/>
      <c r="F497" s="74"/>
      <c r="G497" s="74"/>
    </row>
    <row r="498">
      <c r="A498" s="74"/>
      <c r="B498" s="74"/>
      <c r="C498" s="74"/>
      <c r="D498" s="74"/>
      <c r="E498" s="74"/>
      <c r="F498" s="74"/>
      <c r="G498" s="74"/>
    </row>
    <row r="499">
      <c r="A499" s="74"/>
      <c r="B499" s="74"/>
      <c r="C499" s="74"/>
      <c r="D499" s="74"/>
      <c r="E499" s="74"/>
      <c r="F499" s="74"/>
      <c r="G499" s="74"/>
    </row>
    <row r="500">
      <c r="A500" s="74"/>
      <c r="B500" s="74"/>
      <c r="C500" s="74"/>
      <c r="D500" s="74"/>
      <c r="E500" s="74"/>
      <c r="F500" s="74"/>
      <c r="G500" s="74"/>
    </row>
    <row r="501">
      <c r="A501" s="74"/>
      <c r="B501" s="74"/>
      <c r="C501" s="74"/>
      <c r="D501" s="74"/>
      <c r="E501" s="74"/>
      <c r="F501" s="74"/>
      <c r="G501" s="74"/>
    </row>
    <row r="502">
      <c r="A502" s="74"/>
      <c r="B502" s="74"/>
      <c r="C502" s="74"/>
      <c r="D502" s="74"/>
      <c r="E502" s="74"/>
      <c r="F502" s="74"/>
      <c r="G502" s="74"/>
    </row>
    <row r="503">
      <c r="A503" s="74"/>
      <c r="B503" s="74"/>
      <c r="C503" s="74"/>
      <c r="D503" s="74"/>
      <c r="E503" s="74"/>
      <c r="F503" s="74"/>
      <c r="G503" s="74"/>
    </row>
    <row r="504">
      <c r="A504" s="74"/>
      <c r="B504" s="74"/>
      <c r="C504" s="74"/>
      <c r="D504" s="74"/>
      <c r="E504" s="74"/>
      <c r="F504" s="74"/>
      <c r="G504" s="74"/>
    </row>
    <row r="505">
      <c r="A505" s="74"/>
      <c r="B505" s="74"/>
      <c r="C505" s="74"/>
      <c r="D505" s="74"/>
      <c r="E505" s="74"/>
      <c r="F505" s="74"/>
      <c r="G505" s="74"/>
    </row>
    <row r="506">
      <c r="A506" s="74"/>
      <c r="B506" s="74"/>
      <c r="C506" s="74"/>
      <c r="D506" s="74"/>
      <c r="E506" s="74"/>
      <c r="F506" s="74"/>
      <c r="G506" s="74"/>
    </row>
    <row r="507">
      <c r="A507" s="74"/>
      <c r="B507" s="74"/>
      <c r="C507" s="74"/>
      <c r="D507" s="74"/>
      <c r="E507" s="74"/>
      <c r="F507" s="74"/>
      <c r="G507" s="74"/>
    </row>
    <row r="508">
      <c r="A508" s="74"/>
      <c r="B508" s="74"/>
      <c r="C508" s="74"/>
      <c r="D508" s="74"/>
      <c r="E508" s="74"/>
      <c r="F508" s="74"/>
      <c r="G508" s="74"/>
    </row>
    <row r="509">
      <c r="A509" s="74"/>
      <c r="B509" s="74"/>
      <c r="C509" s="74"/>
      <c r="D509" s="74"/>
      <c r="E509" s="74"/>
      <c r="F509" s="74"/>
      <c r="G509" s="74"/>
    </row>
    <row r="510">
      <c r="A510" s="74"/>
      <c r="B510" s="74"/>
      <c r="C510" s="74"/>
      <c r="D510" s="74"/>
      <c r="E510" s="74"/>
      <c r="F510" s="74"/>
      <c r="G510" s="74"/>
    </row>
    <row r="511">
      <c r="A511" s="74"/>
      <c r="B511" s="74"/>
      <c r="C511" s="74"/>
      <c r="D511" s="74"/>
      <c r="E511" s="74"/>
      <c r="F511" s="74"/>
      <c r="G511" s="74"/>
    </row>
    <row r="512">
      <c r="A512" s="74"/>
      <c r="B512" s="74"/>
      <c r="C512" s="74"/>
      <c r="D512" s="74"/>
      <c r="E512" s="74"/>
      <c r="F512" s="74"/>
      <c r="G512" s="74"/>
    </row>
    <row r="513">
      <c r="A513" s="74"/>
      <c r="B513" s="74"/>
      <c r="C513" s="74"/>
      <c r="D513" s="74"/>
      <c r="E513" s="74"/>
      <c r="F513" s="74"/>
      <c r="G513" s="74"/>
    </row>
    <row r="514">
      <c r="A514" s="74"/>
      <c r="B514" s="74"/>
      <c r="C514" s="74"/>
      <c r="D514" s="74"/>
      <c r="E514" s="74"/>
      <c r="F514" s="74"/>
      <c r="G514" s="74"/>
    </row>
    <row r="515">
      <c r="A515" s="74"/>
      <c r="B515" s="74"/>
      <c r="C515" s="74"/>
      <c r="D515" s="74"/>
      <c r="E515" s="74"/>
      <c r="F515" s="74"/>
      <c r="G515" s="74"/>
    </row>
    <row r="516">
      <c r="A516" s="74"/>
      <c r="B516" s="74"/>
      <c r="C516" s="74"/>
      <c r="D516" s="74"/>
      <c r="E516" s="74"/>
      <c r="F516" s="74"/>
      <c r="G516" s="74"/>
    </row>
    <row r="517">
      <c r="A517" s="74"/>
      <c r="B517" s="74"/>
      <c r="C517" s="74"/>
      <c r="D517" s="74"/>
      <c r="E517" s="74"/>
      <c r="F517" s="74"/>
      <c r="G517" s="74"/>
    </row>
    <row r="518">
      <c r="A518" s="74"/>
      <c r="B518" s="74"/>
      <c r="C518" s="74"/>
      <c r="D518" s="74"/>
      <c r="E518" s="74"/>
      <c r="F518" s="74"/>
      <c r="G518" s="74"/>
    </row>
    <row r="519">
      <c r="A519" s="74"/>
      <c r="B519" s="74"/>
      <c r="C519" s="74"/>
      <c r="D519" s="74"/>
      <c r="E519" s="74"/>
      <c r="F519" s="74"/>
      <c r="G519" s="74"/>
    </row>
    <row r="520">
      <c r="A520" s="74"/>
      <c r="B520" s="74"/>
      <c r="C520" s="74"/>
      <c r="D520" s="74"/>
      <c r="E520" s="74"/>
      <c r="F520" s="74"/>
      <c r="G520" s="74"/>
    </row>
    <row r="521">
      <c r="A521" s="74"/>
      <c r="B521" s="74"/>
      <c r="C521" s="74"/>
      <c r="D521" s="74"/>
      <c r="E521" s="74"/>
      <c r="F521" s="74"/>
      <c r="G521" s="74"/>
    </row>
    <row r="522">
      <c r="A522" s="74"/>
      <c r="B522" s="74"/>
      <c r="C522" s="74"/>
      <c r="D522" s="74"/>
      <c r="E522" s="74"/>
      <c r="F522" s="74"/>
      <c r="G522" s="74"/>
    </row>
    <row r="523">
      <c r="A523" s="74"/>
      <c r="B523" s="74"/>
      <c r="C523" s="74"/>
      <c r="D523" s="74"/>
      <c r="E523" s="74"/>
      <c r="F523" s="74"/>
      <c r="G523" s="74"/>
    </row>
    <row r="524">
      <c r="A524" s="74"/>
      <c r="B524" s="74"/>
      <c r="C524" s="74"/>
      <c r="D524" s="74"/>
      <c r="E524" s="74"/>
      <c r="F524" s="74"/>
      <c r="G524" s="74"/>
    </row>
    <row r="525">
      <c r="A525" s="74"/>
      <c r="B525" s="74"/>
      <c r="C525" s="74"/>
      <c r="D525" s="74"/>
      <c r="E525" s="74"/>
      <c r="F525" s="74"/>
      <c r="G525" s="74"/>
    </row>
    <row r="526">
      <c r="A526" s="74"/>
      <c r="B526" s="74"/>
      <c r="C526" s="74"/>
      <c r="D526" s="74"/>
      <c r="E526" s="74"/>
      <c r="F526" s="74"/>
      <c r="G526" s="74"/>
    </row>
    <row r="527">
      <c r="A527" s="74"/>
      <c r="B527" s="74"/>
      <c r="C527" s="74"/>
      <c r="D527" s="74"/>
      <c r="E527" s="74"/>
      <c r="F527" s="74"/>
      <c r="G527" s="74"/>
    </row>
    <row r="528">
      <c r="A528" s="74"/>
      <c r="B528" s="74"/>
      <c r="C528" s="74"/>
      <c r="D528" s="74"/>
      <c r="E528" s="74"/>
      <c r="F528" s="74"/>
      <c r="G528" s="74"/>
    </row>
    <row r="529">
      <c r="A529" s="74"/>
      <c r="B529" s="74"/>
      <c r="C529" s="74"/>
      <c r="D529" s="74"/>
      <c r="E529" s="74"/>
      <c r="F529" s="74"/>
      <c r="G529" s="74"/>
    </row>
    <row r="530">
      <c r="A530" s="74"/>
      <c r="B530" s="74"/>
      <c r="C530" s="74"/>
      <c r="D530" s="74"/>
      <c r="E530" s="74"/>
      <c r="F530" s="74"/>
      <c r="G530" s="74"/>
    </row>
    <row r="531">
      <c r="A531" s="74"/>
      <c r="B531" s="74"/>
      <c r="C531" s="74"/>
      <c r="D531" s="74"/>
      <c r="E531" s="74"/>
      <c r="F531" s="74"/>
      <c r="G531" s="74"/>
    </row>
    <row r="532">
      <c r="A532" s="74"/>
      <c r="B532" s="74"/>
      <c r="C532" s="74"/>
      <c r="D532" s="74"/>
      <c r="E532" s="74"/>
      <c r="F532" s="74"/>
      <c r="G532" s="74"/>
    </row>
    <row r="533">
      <c r="A533" s="74"/>
      <c r="B533" s="74"/>
      <c r="C533" s="74"/>
      <c r="D533" s="74"/>
      <c r="E533" s="74"/>
      <c r="F533" s="74"/>
      <c r="G533" s="74"/>
    </row>
    <row r="534">
      <c r="A534" s="74"/>
      <c r="B534" s="74"/>
      <c r="C534" s="74"/>
      <c r="D534" s="74"/>
      <c r="E534" s="74"/>
      <c r="F534" s="74"/>
      <c r="G534" s="74"/>
    </row>
    <row r="535">
      <c r="A535" s="74"/>
      <c r="B535" s="74"/>
      <c r="C535" s="74"/>
      <c r="D535" s="74"/>
      <c r="E535" s="74"/>
      <c r="F535" s="74"/>
      <c r="G535" s="74"/>
    </row>
    <row r="536">
      <c r="A536" s="74"/>
      <c r="B536" s="74"/>
      <c r="C536" s="74"/>
      <c r="D536" s="74"/>
      <c r="E536" s="74"/>
      <c r="F536" s="74"/>
      <c r="G536" s="74"/>
    </row>
    <row r="537">
      <c r="A537" s="74"/>
      <c r="B537" s="74"/>
      <c r="C537" s="74"/>
      <c r="D537" s="74"/>
      <c r="E537" s="74"/>
      <c r="F537" s="74"/>
      <c r="G537" s="74"/>
    </row>
    <row r="538">
      <c r="A538" s="74"/>
      <c r="B538" s="74"/>
      <c r="C538" s="74"/>
      <c r="D538" s="74"/>
      <c r="E538" s="74"/>
      <c r="F538" s="74"/>
      <c r="G538" s="74"/>
    </row>
    <row r="539">
      <c r="A539" s="74"/>
      <c r="B539" s="74"/>
      <c r="C539" s="74"/>
      <c r="D539" s="74"/>
      <c r="E539" s="74"/>
      <c r="F539" s="74"/>
      <c r="G539" s="74"/>
    </row>
    <row r="540">
      <c r="A540" s="74"/>
      <c r="B540" s="74"/>
      <c r="C540" s="74"/>
      <c r="D540" s="74"/>
      <c r="E540" s="74"/>
      <c r="F540" s="74"/>
      <c r="G540" s="74"/>
    </row>
    <row r="541">
      <c r="A541" s="74"/>
      <c r="B541" s="74"/>
      <c r="C541" s="74"/>
      <c r="D541" s="74"/>
      <c r="E541" s="74"/>
      <c r="F541" s="74"/>
      <c r="G541" s="74"/>
    </row>
    <row r="542">
      <c r="A542" s="74"/>
      <c r="B542" s="74"/>
      <c r="C542" s="74"/>
      <c r="D542" s="74"/>
      <c r="E542" s="74"/>
      <c r="F542" s="74"/>
      <c r="G542" s="74"/>
    </row>
    <row r="543">
      <c r="A543" s="74"/>
      <c r="B543" s="74"/>
      <c r="C543" s="74"/>
      <c r="D543" s="74"/>
      <c r="E543" s="74"/>
      <c r="F543" s="74"/>
      <c r="G543" s="74"/>
    </row>
    <row r="544">
      <c r="A544" s="74"/>
      <c r="B544" s="74"/>
      <c r="C544" s="74"/>
      <c r="D544" s="74"/>
      <c r="E544" s="74"/>
      <c r="F544" s="74"/>
      <c r="G544" s="74"/>
    </row>
    <row r="545">
      <c r="A545" s="74"/>
      <c r="B545" s="74"/>
      <c r="C545" s="74"/>
      <c r="D545" s="74"/>
      <c r="E545" s="74"/>
      <c r="F545" s="74"/>
      <c r="G545" s="74"/>
    </row>
    <row r="546">
      <c r="A546" s="74"/>
      <c r="B546" s="74"/>
      <c r="C546" s="74"/>
      <c r="D546" s="74"/>
      <c r="E546" s="74"/>
      <c r="F546" s="74"/>
      <c r="G546" s="74"/>
    </row>
    <row r="547">
      <c r="A547" s="74"/>
      <c r="B547" s="74"/>
      <c r="C547" s="74"/>
      <c r="D547" s="74"/>
      <c r="E547" s="74"/>
      <c r="F547" s="74"/>
      <c r="G547" s="74"/>
    </row>
    <row r="548">
      <c r="A548" s="74"/>
      <c r="B548" s="74"/>
      <c r="C548" s="74"/>
      <c r="D548" s="74"/>
      <c r="E548" s="74"/>
      <c r="F548" s="74"/>
      <c r="G548" s="74"/>
    </row>
    <row r="549">
      <c r="A549" s="74"/>
      <c r="B549" s="74"/>
      <c r="C549" s="74"/>
      <c r="D549" s="74"/>
      <c r="E549" s="74"/>
      <c r="F549" s="74"/>
      <c r="G549" s="74"/>
    </row>
    <row r="550">
      <c r="A550" s="74"/>
      <c r="B550" s="74"/>
      <c r="C550" s="74"/>
      <c r="D550" s="74"/>
      <c r="E550" s="74"/>
      <c r="F550" s="74"/>
      <c r="G550" s="74"/>
    </row>
    <row r="551">
      <c r="A551" s="74"/>
      <c r="B551" s="74"/>
      <c r="C551" s="74"/>
      <c r="D551" s="74"/>
      <c r="E551" s="74"/>
      <c r="F551" s="74"/>
      <c r="G551" s="74"/>
    </row>
    <row r="552">
      <c r="A552" s="74"/>
      <c r="B552" s="74"/>
      <c r="C552" s="74"/>
      <c r="D552" s="74"/>
      <c r="E552" s="74"/>
      <c r="F552" s="74"/>
      <c r="G552" s="74"/>
    </row>
    <row r="553">
      <c r="A553" s="74"/>
      <c r="B553" s="74"/>
      <c r="C553" s="74"/>
      <c r="D553" s="74"/>
      <c r="E553" s="74"/>
      <c r="F553" s="74"/>
      <c r="G553" s="74"/>
    </row>
    <row r="554">
      <c r="A554" s="74"/>
      <c r="B554" s="74"/>
      <c r="C554" s="74"/>
      <c r="D554" s="74"/>
      <c r="E554" s="74"/>
      <c r="F554" s="74"/>
      <c r="G554" s="74"/>
    </row>
    <row r="555">
      <c r="A555" s="74"/>
      <c r="B555" s="74"/>
      <c r="C555" s="74"/>
      <c r="D555" s="74"/>
      <c r="E555" s="74"/>
      <c r="F555" s="74"/>
      <c r="G555" s="74"/>
    </row>
    <row r="556">
      <c r="A556" s="74"/>
      <c r="B556" s="74"/>
      <c r="C556" s="74"/>
      <c r="D556" s="74"/>
      <c r="E556" s="74"/>
      <c r="F556" s="74"/>
      <c r="G556" s="74"/>
    </row>
    <row r="557">
      <c r="A557" s="74"/>
      <c r="B557" s="74"/>
      <c r="C557" s="74"/>
      <c r="D557" s="74"/>
      <c r="E557" s="74"/>
      <c r="F557" s="74"/>
      <c r="G557" s="74"/>
    </row>
    <row r="558">
      <c r="A558" s="74"/>
      <c r="B558" s="74"/>
      <c r="C558" s="74"/>
      <c r="D558" s="74"/>
      <c r="E558" s="74"/>
      <c r="F558" s="74"/>
      <c r="G558" s="74"/>
    </row>
    <row r="559">
      <c r="A559" s="74"/>
      <c r="B559" s="74"/>
      <c r="C559" s="74"/>
      <c r="D559" s="74"/>
      <c r="E559" s="74"/>
      <c r="F559" s="74"/>
      <c r="G559" s="74"/>
    </row>
    <row r="560">
      <c r="A560" s="74"/>
      <c r="B560" s="74"/>
      <c r="C560" s="74"/>
      <c r="D560" s="74"/>
      <c r="E560" s="74"/>
      <c r="F560" s="74"/>
      <c r="G560" s="74"/>
    </row>
    <row r="561">
      <c r="A561" s="74"/>
      <c r="B561" s="74"/>
      <c r="C561" s="74"/>
      <c r="D561" s="74"/>
      <c r="E561" s="74"/>
      <c r="F561" s="74"/>
      <c r="G561" s="74"/>
    </row>
    <row r="562">
      <c r="A562" s="74"/>
      <c r="B562" s="74"/>
      <c r="C562" s="74"/>
      <c r="D562" s="74"/>
      <c r="E562" s="74"/>
      <c r="F562" s="74"/>
      <c r="G562" s="74"/>
    </row>
    <row r="563">
      <c r="A563" s="74"/>
      <c r="B563" s="74"/>
      <c r="C563" s="74"/>
      <c r="D563" s="74"/>
      <c r="E563" s="74"/>
      <c r="F563" s="74"/>
      <c r="G563" s="74"/>
    </row>
    <row r="564">
      <c r="A564" s="74"/>
      <c r="B564" s="74"/>
      <c r="C564" s="74"/>
      <c r="D564" s="74"/>
      <c r="E564" s="74"/>
      <c r="F564" s="74"/>
      <c r="G564" s="74"/>
    </row>
    <row r="565">
      <c r="A565" s="74"/>
      <c r="B565" s="74"/>
      <c r="C565" s="74"/>
      <c r="D565" s="74"/>
      <c r="E565" s="74"/>
      <c r="F565" s="74"/>
      <c r="G565" s="74"/>
    </row>
    <row r="566">
      <c r="A566" s="74"/>
      <c r="B566" s="74"/>
      <c r="C566" s="74"/>
      <c r="D566" s="74"/>
      <c r="E566" s="74"/>
      <c r="F566" s="74"/>
      <c r="G566" s="74"/>
    </row>
    <row r="567">
      <c r="A567" s="74"/>
      <c r="B567" s="74"/>
      <c r="C567" s="74"/>
      <c r="D567" s="74"/>
      <c r="E567" s="74"/>
      <c r="F567" s="74"/>
      <c r="G567" s="74"/>
    </row>
    <row r="568">
      <c r="A568" s="74"/>
      <c r="B568" s="74"/>
      <c r="C568" s="74"/>
      <c r="D568" s="74"/>
      <c r="E568" s="74"/>
      <c r="F568" s="74"/>
      <c r="G568" s="74"/>
    </row>
    <row r="569">
      <c r="A569" s="74"/>
      <c r="B569" s="74"/>
      <c r="C569" s="74"/>
      <c r="D569" s="74"/>
      <c r="E569" s="74"/>
      <c r="F569" s="74"/>
      <c r="G569" s="74"/>
    </row>
    <row r="570">
      <c r="A570" s="74"/>
      <c r="B570" s="74"/>
      <c r="C570" s="74"/>
      <c r="D570" s="74"/>
      <c r="E570" s="74"/>
      <c r="F570" s="74"/>
      <c r="G570" s="74"/>
    </row>
    <row r="571">
      <c r="A571" s="74"/>
      <c r="B571" s="74"/>
      <c r="C571" s="74"/>
      <c r="D571" s="74"/>
      <c r="E571" s="74"/>
      <c r="F571" s="74"/>
      <c r="G571" s="74"/>
    </row>
    <row r="572">
      <c r="A572" s="74"/>
      <c r="B572" s="74"/>
      <c r="C572" s="74"/>
      <c r="D572" s="74"/>
      <c r="E572" s="74"/>
      <c r="F572" s="74"/>
      <c r="G572" s="74"/>
    </row>
    <row r="573">
      <c r="A573" s="74"/>
      <c r="B573" s="74"/>
      <c r="C573" s="74"/>
      <c r="D573" s="74"/>
      <c r="E573" s="74"/>
      <c r="F573" s="74"/>
      <c r="G573" s="74"/>
    </row>
    <row r="574">
      <c r="A574" s="74"/>
      <c r="B574" s="74"/>
      <c r="C574" s="74"/>
      <c r="D574" s="74"/>
      <c r="E574" s="74"/>
      <c r="F574" s="74"/>
      <c r="G574" s="74"/>
    </row>
    <row r="575">
      <c r="A575" s="74"/>
      <c r="B575" s="74"/>
      <c r="C575" s="74"/>
      <c r="D575" s="74"/>
      <c r="E575" s="74"/>
      <c r="F575" s="74"/>
      <c r="G575" s="74"/>
    </row>
    <row r="576">
      <c r="A576" s="74"/>
      <c r="B576" s="74"/>
      <c r="C576" s="74"/>
      <c r="D576" s="74"/>
      <c r="E576" s="74"/>
      <c r="F576" s="74"/>
      <c r="G576" s="74"/>
    </row>
    <row r="577">
      <c r="A577" s="74"/>
      <c r="B577" s="74"/>
      <c r="C577" s="74"/>
      <c r="D577" s="74"/>
      <c r="E577" s="74"/>
      <c r="F577" s="74"/>
      <c r="G577" s="74"/>
    </row>
    <row r="578">
      <c r="A578" s="74"/>
      <c r="B578" s="74"/>
      <c r="C578" s="74"/>
      <c r="D578" s="74"/>
      <c r="E578" s="74"/>
      <c r="F578" s="74"/>
      <c r="G578" s="74"/>
    </row>
    <row r="579">
      <c r="A579" s="74"/>
      <c r="B579" s="74"/>
      <c r="C579" s="74"/>
      <c r="D579" s="74"/>
      <c r="E579" s="74"/>
      <c r="F579" s="74"/>
      <c r="G579" s="74"/>
    </row>
    <row r="580">
      <c r="A580" s="74"/>
      <c r="B580" s="74"/>
      <c r="C580" s="74"/>
      <c r="D580" s="74"/>
      <c r="E580" s="74"/>
      <c r="F580" s="74"/>
      <c r="G580" s="74"/>
    </row>
    <row r="581">
      <c r="A581" s="74"/>
      <c r="B581" s="74"/>
      <c r="C581" s="74"/>
      <c r="D581" s="74"/>
      <c r="E581" s="74"/>
      <c r="F581" s="74"/>
      <c r="G581" s="74"/>
    </row>
    <row r="582">
      <c r="A582" s="74"/>
      <c r="B582" s="74"/>
      <c r="C582" s="74"/>
      <c r="D582" s="74"/>
      <c r="E582" s="74"/>
      <c r="F582" s="74"/>
      <c r="G582" s="74"/>
    </row>
    <row r="583">
      <c r="A583" s="74"/>
      <c r="B583" s="74"/>
      <c r="C583" s="74"/>
      <c r="D583" s="74"/>
      <c r="E583" s="74"/>
      <c r="F583" s="74"/>
      <c r="G583" s="74"/>
    </row>
    <row r="584">
      <c r="A584" s="74"/>
      <c r="B584" s="74"/>
      <c r="C584" s="74"/>
      <c r="D584" s="74"/>
      <c r="E584" s="74"/>
      <c r="F584" s="74"/>
      <c r="G584" s="74"/>
    </row>
    <row r="585">
      <c r="A585" s="74"/>
      <c r="B585" s="74"/>
      <c r="C585" s="74"/>
      <c r="D585" s="74"/>
      <c r="E585" s="74"/>
      <c r="F585" s="74"/>
      <c r="G585" s="74"/>
    </row>
    <row r="586">
      <c r="A586" s="74"/>
      <c r="B586" s="74"/>
      <c r="C586" s="74"/>
      <c r="D586" s="74"/>
      <c r="E586" s="74"/>
      <c r="F586" s="74"/>
      <c r="G586" s="74"/>
    </row>
    <row r="587">
      <c r="A587" s="74"/>
      <c r="B587" s="74"/>
      <c r="C587" s="74"/>
      <c r="D587" s="74"/>
      <c r="E587" s="74"/>
      <c r="F587" s="74"/>
      <c r="G587" s="74"/>
    </row>
    <row r="588">
      <c r="A588" s="74"/>
      <c r="B588" s="74"/>
      <c r="C588" s="74"/>
      <c r="D588" s="74"/>
      <c r="E588" s="74"/>
      <c r="F588" s="74"/>
      <c r="G588" s="74"/>
    </row>
    <row r="589">
      <c r="A589" s="74"/>
      <c r="B589" s="74"/>
      <c r="C589" s="74"/>
      <c r="D589" s="74"/>
      <c r="E589" s="74"/>
      <c r="F589" s="74"/>
      <c r="G589" s="74"/>
    </row>
    <row r="590">
      <c r="A590" s="74"/>
      <c r="B590" s="74"/>
      <c r="C590" s="74"/>
      <c r="D590" s="74"/>
      <c r="E590" s="74"/>
      <c r="F590" s="74"/>
      <c r="G590" s="74"/>
    </row>
    <row r="591">
      <c r="A591" s="74"/>
      <c r="B591" s="74"/>
      <c r="C591" s="74"/>
      <c r="D591" s="74"/>
      <c r="E591" s="74"/>
      <c r="F591" s="74"/>
      <c r="G591" s="74"/>
    </row>
    <row r="592">
      <c r="A592" s="74"/>
      <c r="B592" s="74"/>
      <c r="C592" s="74"/>
      <c r="D592" s="74"/>
      <c r="E592" s="74"/>
      <c r="F592" s="74"/>
      <c r="G592" s="74"/>
    </row>
    <row r="593">
      <c r="A593" s="74"/>
      <c r="B593" s="74"/>
      <c r="C593" s="74"/>
      <c r="D593" s="74"/>
      <c r="E593" s="74"/>
      <c r="F593" s="74"/>
      <c r="G593" s="74"/>
    </row>
    <row r="594">
      <c r="A594" s="74"/>
      <c r="B594" s="74"/>
      <c r="C594" s="74"/>
      <c r="D594" s="74"/>
      <c r="E594" s="74"/>
      <c r="F594" s="74"/>
      <c r="G594" s="74"/>
    </row>
    <row r="595">
      <c r="A595" s="74"/>
      <c r="B595" s="74"/>
      <c r="C595" s="74"/>
      <c r="D595" s="74"/>
      <c r="E595" s="74"/>
      <c r="F595" s="74"/>
      <c r="G595" s="74"/>
    </row>
    <row r="596">
      <c r="A596" s="74"/>
      <c r="B596" s="74"/>
      <c r="C596" s="74"/>
      <c r="D596" s="74"/>
      <c r="E596" s="74"/>
      <c r="F596" s="74"/>
      <c r="G596" s="74"/>
    </row>
    <row r="597">
      <c r="A597" s="74"/>
      <c r="B597" s="74"/>
      <c r="C597" s="74"/>
      <c r="D597" s="74"/>
      <c r="E597" s="74"/>
      <c r="F597" s="74"/>
      <c r="G597" s="74"/>
    </row>
    <row r="598">
      <c r="A598" s="74"/>
      <c r="B598" s="74"/>
      <c r="C598" s="74"/>
      <c r="D598" s="74"/>
      <c r="E598" s="74"/>
      <c r="F598" s="74"/>
      <c r="G598" s="74"/>
    </row>
    <row r="599">
      <c r="A599" s="74"/>
      <c r="B599" s="74"/>
      <c r="C599" s="74"/>
      <c r="D599" s="74"/>
      <c r="E599" s="74"/>
      <c r="F599" s="74"/>
      <c r="G599" s="74"/>
    </row>
    <row r="600">
      <c r="A600" s="74"/>
      <c r="B600" s="74"/>
      <c r="C600" s="74"/>
      <c r="D600" s="74"/>
      <c r="E600" s="74"/>
      <c r="F600" s="74"/>
      <c r="G600" s="74"/>
    </row>
    <row r="601">
      <c r="A601" s="74"/>
      <c r="B601" s="74"/>
      <c r="C601" s="74"/>
      <c r="D601" s="74"/>
      <c r="E601" s="74"/>
      <c r="F601" s="74"/>
      <c r="G601" s="74"/>
    </row>
    <row r="602">
      <c r="A602" s="74"/>
      <c r="B602" s="74"/>
      <c r="C602" s="74"/>
      <c r="D602" s="74"/>
      <c r="E602" s="74"/>
      <c r="F602" s="74"/>
      <c r="G602" s="74"/>
    </row>
    <row r="603">
      <c r="A603" s="74"/>
      <c r="B603" s="74"/>
      <c r="C603" s="74"/>
      <c r="D603" s="74"/>
      <c r="E603" s="74"/>
      <c r="F603" s="74"/>
      <c r="G603" s="74"/>
    </row>
    <row r="604">
      <c r="A604" s="74"/>
      <c r="B604" s="74"/>
      <c r="C604" s="74"/>
      <c r="D604" s="74"/>
      <c r="E604" s="74"/>
      <c r="F604" s="74"/>
      <c r="G604" s="74"/>
    </row>
    <row r="605">
      <c r="A605" s="74"/>
      <c r="B605" s="74"/>
      <c r="C605" s="74"/>
      <c r="D605" s="74"/>
      <c r="E605" s="74"/>
      <c r="F605" s="74"/>
      <c r="G605" s="74"/>
    </row>
    <row r="606">
      <c r="A606" s="74"/>
      <c r="B606" s="74"/>
      <c r="C606" s="74"/>
      <c r="D606" s="74"/>
      <c r="E606" s="74"/>
      <c r="F606" s="74"/>
      <c r="G606" s="74"/>
    </row>
    <row r="607">
      <c r="A607" s="74"/>
      <c r="B607" s="74"/>
      <c r="C607" s="74"/>
      <c r="D607" s="74"/>
      <c r="E607" s="74"/>
      <c r="F607" s="74"/>
      <c r="G607" s="74"/>
    </row>
    <row r="608">
      <c r="A608" s="74"/>
      <c r="B608" s="74"/>
      <c r="C608" s="74"/>
      <c r="D608" s="74"/>
      <c r="E608" s="74"/>
      <c r="F608" s="74"/>
      <c r="G608" s="74"/>
    </row>
    <row r="609">
      <c r="A609" s="74"/>
      <c r="B609" s="74"/>
      <c r="C609" s="74"/>
      <c r="D609" s="74"/>
      <c r="E609" s="74"/>
      <c r="F609" s="74"/>
      <c r="G609" s="74"/>
    </row>
    <row r="610">
      <c r="A610" s="74"/>
      <c r="B610" s="74"/>
      <c r="C610" s="74"/>
      <c r="D610" s="74"/>
      <c r="E610" s="74"/>
      <c r="F610" s="74"/>
      <c r="G610" s="74"/>
    </row>
    <row r="611">
      <c r="A611" s="74"/>
      <c r="B611" s="74"/>
      <c r="C611" s="74"/>
      <c r="D611" s="74"/>
      <c r="E611" s="74"/>
      <c r="F611" s="74"/>
      <c r="G611" s="74"/>
    </row>
    <row r="612">
      <c r="A612" s="74"/>
      <c r="B612" s="74"/>
      <c r="C612" s="74"/>
      <c r="D612" s="74"/>
      <c r="E612" s="74"/>
      <c r="F612" s="74"/>
      <c r="G612" s="74"/>
    </row>
    <row r="613">
      <c r="A613" s="74"/>
      <c r="B613" s="74"/>
      <c r="C613" s="74"/>
      <c r="D613" s="74"/>
      <c r="E613" s="74"/>
      <c r="F613" s="74"/>
      <c r="G613" s="74"/>
    </row>
    <row r="614">
      <c r="A614" s="74"/>
      <c r="B614" s="74"/>
      <c r="C614" s="74"/>
      <c r="D614" s="74"/>
      <c r="E614" s="74"/>
      <c r="F614" s="74"/>
      <c r="G614" s="74"/>
    </row>
    <row r="615">
      <c r="A615" s="74"/>
      <c r="B615" s="74"/>
      <c r="C615" s="74"/>
      <c r="D615" s="74"/>
      <c r="E615" s="74"/>
      <c r="F615" s="74"/>
      <c r="G615" s="74"/>
    </row>
    <row r="616">
      <c r="A616" s="74"/>
      <c r="B616" s="74"/>
      <c r="C616" s="74"/>
      <c r="D616" s="74"/>
      <c r="E616" s="74"/>
      <c r="F616" s="74"/>
      <c r="G616" s="74"/>
    </row>
    <row r="617">
      <c r="A617" s="74"/>
      <c r="B617" s="74"/>
      <c r="C617" s="74"/>
      <c r="D617" s="74"/>
      <c r="E617" s="74"/>
      <c r="F617" s="74"/>
      <c r="G617" s="74"/>
    </row>
    <row r="618">
      <c r="A618" s="74"/>
      <c r="B618" s="74"/>
      <c r="C618" s="74"/>
      <c r="D618" s="74"/>
      <c r="E618" s="74"/>
      <c r="F618" s="74"/>
      <c r="G618" s="74"/>
    </row>
    <row r="619">
      <c r="A619" s="74"/>
      <c r="B619" s="74"/>
      <c r="C619" s="74"/>
      <c r="D619" s="74"/>
      <c r="E619" s="74"/>
      <c r="F619" s="74"/>
      <c r="G619" s="74"/>
    </row>
    <row r="620">
      <c r="A620" s="74"/>
      <c r="B620" s="74"/>
      <c r="C620" s="74"/>
      <c r="D620" s="74"/>
      <c r="E620" s="74"/>
      <c r="F620" s="74"/>
      <c r="G620" s="74"/>
    </row>
    <row r="621">
      <c r="A621" s="74"/>
      <c r="B621" s="74"/>
      <c r="C621" s="74"/>
      <c r="D621" s="74"/>
      <c r="E621" s="74"/>
      <c r="F621" s="74"/>
      <c r="G621" s="74"/>
    </row>
    <row r="622">
      <c r="A622" s="74"/>
      <c r="B622" s="74"/>
      <c r="C622" s="74"/>
      <c r="D622" s="74"/>
      <c r="E622" s="74"/>
      <c r="F622" s="74"/>
      <c r="G622" s="74"/>
    </row>
    <row r="623">
      <c r="A623" s="74"/>
      <c r="B623" s="74"/>
      <c r="C623" s="74"/>
      <c r="D623" s="74"/>
      <c r="E623" s="74"/>
      <c r="F623" s="74"/>
      <c r="G623" s="74"/>
    </row>
    <row r="624">
      <c r="A624" s="74"/>
      <c r="B624" s="74"/>
      <c r="C624" s="74"/>
      <c r="D624" s="74"/>
      <c r="E624" s="74"/>
      <c r="F624" s="74"/>
      <c r="G624" s="74"/>
    </row>
    <row r="625">
      <c r="A625" s="74"/>
      <c r="B625" s="74"/>
      <c r="C625" s="74"/>
      <c r="D625" s="74"/>
      <c r="E625" s="74"/>
      <c r="F625" s="74"/>
      <c r="G625" s="74"/>
    </row>
    <row r="626">
      <c r="A626" s="74"/>
      <c r="B626" s="74"/>
      <c r="C626" s="74"/>
      <c r="D626" s="74"/>
      <c r="E626" s="74"/>
      <c r="F626" s="74"/>
      <c r="G626" s="74"/>
    </row>
    <row r="627">
      <c r="A627" s="74"/>
      <c r="B627" s="74"/>
      <c r="C627" s="74"/>
      <c r="D627" s="74"/>
      <c r="E627" s="74"/>
      <c r="F627" s="74"/>
      <c r="G627" s="74"/>
    </row>
    <row r="628">
      <c r="A628" s="74"/>
      <c r="B628" s="74"/>
      <c r="C628" s="74"/>
      <c r="D628" s="74"/>
      <c r="E628" s="74"/>
      <c r="F628" s="74"/>
      <c r="G628" s="74"/>
    </row>
    <row r="629">
      <c r="A629" s="74"/>
      <c r="B629" s="74"/>
      <c r="C629" s="74"/>
      <c r="D629" s="74"/>
      <c r="E629" s="74"/>
      <c r="F629" s="74"/>
      <c r="G629" s="74"/>
    </row>
    <row r="630">
      <c r="A630" s="74"/>
      <c r="B630" s="74"/>
      <c r="C630" s="74"/>
      <c r="D630" s="74"/>
      <c r="E630" s="74"/>
      <c r="F630" s="74"/>
      <c r="G630" s="74"/>
    </row>
    <row r="631">
      <c r="A631" s="74"/>
      <c r="B631" s="74"/>
      <c r="C631" s="74"/>
      <c r="D631" s="74"/>
      <c r="E631" s="74"/>
      <c r="F631" s="74"/>
      <c r="G631" s="74"/>
    </row>
    <row r="632">
      <c r="A632" s="74"/>
      <c r="B632" s="74"/>
      <c r="C632" s="74"/>
      <c r="D632" s="74"/>
      <c r="E632" s="74"/>
      <c r="F632" s="74"/>
      <c r="G632" s="74"/>
    </row>
    <row r="633">
      <c r="A633" s="74"/>
      <c r="B633" s="74"/>
      <c r="C633" s="74"/>
      <c r="D633" s="74"/>
      <c r="E633" s="74"/>
      <c r="F633" s="74"/>
      <c r="G633" s="74"/>
    </row>
    <row r="634">
      <c r="A634" s="74"/>
      <c r="B634" s="74"/>
      <c r="C634" s="74"/>
      <c r="D634" s="74"/>
      <c r="E634" s="74"/>
      <c r="F634" s="74"/>
      <c r="G634" s="74"/>
    </row>
    <row r="635">
      <c r="A635" s="74"/>
      <c r="B635" s="74"/>
      <c r="C635" s="74"/>
      <c r="D635" s="74"/>
      <c r="E635" s="74"/>
      <c r="F635" s="74"/>
      <c r="G635" s="74"/>
    </row>
    <row r="636">
      <c r="A636" s="74"/>
      <c r="B636" s="74"/>
      <c r="C636" s="74"/>
      <c r="D636" s="74"/>
      <c r="E636" s="74"/>
      <c r="F636" s="74"/>
      <c r="G636" s="74"/>
    </row>
    <row r="637">
      <c r="A637" s="74"/>
      <c r="B637" s="74"/>
      <c r="C637" s="74"/>
      <c r="D637" s="74"/>
      <c r="E637" s="74"/>
      <c r="F637" s="74"/>
      <c r="G637" s="74"/>
    </row>
    <row r="638">
      <c r="A638" s="74"/>
      <c r="B638" s="74"/>
      <c r="C638" s="74"/>
      <c r="D638" s="74"/>
      <c r="E638" s="74"/>
      <c r="F638" s="74"/>
      <c r="G638" s="74"/>
    </row>
    <row r="639">
      <c r="A639" s="74"/>
      <c r="B639" s="74"/>
      <c r="C639" s="74"/>
      <c r="D639" s="74"/>
      <c r="E639" s="74"/>
      <c r="F639" s="74"/>
      <c r="G639" s="74"/>
    </row>
    <row r="640">
      <c r="A640" s="74"/>
      <c r="B640" s="74"/>
      <c r="C640" s="74"/>
      <c r="D640" s="74"/>
      <c r="E640" s="74"/>
      <c r="F640" s="74"/>
      <c r="G640" s="74"/>
    </row>
    <row r="641">
      <c r="A641" s="74"/>
      <c r="B641" s="74"/>
      <c r="C641" s="74"/>
      <c r="D641" s="74"/>
      <c r="E641" s="74"/>
      <c r="F641" s="74"/>
      <c r="G641" s="74"/>
    </row>
    <row r="642">
      <c r="A642" s="74"/>
      <c r="B642" s="74"/>
      <c r="C642" s="74"/>
      <c r="D642" s="74"/>
      <c r="E642" s="74"/>
      <c r="F642" s="74"/>
      <c r="G642" s="74"/>
    </row>
    <row r="643">
      <c r="A643" s="74"/>
      <c r="B643" s="74"/>
      <c r="C643" s="74"/>
      <c r="D643" s="74"/>
      <c r="E643" s="74"/>
      <c r="F643" s="74"/>
      <c r="G643" s="74"/>
    </row>
    <row r="644">
      <c r="A644" s="74"/>
      <c r="B644" s="74"/>
      <c r="C644" s="74"/>
      <c r="D644" s="74"/>
      <c r="E644" s="74"/>
      <c r="F644" s="74"/>
      <c r="G644" s="74"/>
    </row>
    <row r="645">
      <c r="A645" s="74"/>
      <c r="B645" s="74"/>
      <c r="C645" s="74"/>
      <c r="D645" s="74"/>
      <c r="E645" s="74"/>
      <c r="F645" s="74"/>
      <c r="G645" s="74"/>
    </row>
    <row r="646">
      <c r="A646" s="74"/>
      <c r="B646" s="74"/>
      <c r="C646" s="74"/>
      <c r="D646" s="74"/>
      <c r="E646" s="74"/>
      <c r="F646" s="74"/>
      <c r="G646" s="74"/>
    </row>
    <row r="647">
      <c r="A647" s="74"/>
      <c r="B647" s="74"/>
      <c r="C647" s="74"/>
      <c r="D647" s="74"/>
      <c r="E647" s="74"/>
      <c r="F647" s="74"/>
      <c r="G647" s="74"/>
    </row>
    <row r="648">
      <c r="A648" s="74"/>
      <c r="B648" s="74"/>
      <c r="C648" s="74"/>
      <c r="D648" s="74"/>
      <c r="E648" s="74"/>
      <c r="F648" s="74"/>
      <c r="G648" s="74"/>
    </row>
    <row r="649">
      <c r="A649" s="74"/>
      <c r="B649" s="74"/>
      <c r="C649" s="74"/>
      <c r="D649" s="74"/>
      <c r="E649" s="74"/>
      <c r="F649" s="74"/>
      <c r="G649" s="74"/>
    </row>
    <row r="650">
      <c r="A650" s="74"/>
      <c r="B650" s="74"/>
      <c r="C650" s="74"/>
      <c r="D650" s="74"/>
      <c r="E650" s="74"/>
      <c r="F650" s="74"/>
      <c r="G650" s="74"/>
    </row>
    <row r="651">
      <c r="A651" s="74"/>
      <c r="B651" s="74"/>
      <c r="C651" s="74"/>
      <c r="D651" s="74"/>
      <c r="E651" s="74"/>
      <c r="F651" s="74"/>
      <c r="G651" s="74"/>
    </row>
    <row r="652">
      <c r="A652" s="74"/>
      <c r="B652" s="74"/>
      <c r="C652" s="74"/>
      <c r="D652" s="74"/>
      <c r="E652" s="74"/>
      <c r="F652" s="74"/>
      <c r="G652" s="74"/>
    </row>
    <row r="653">
      <c r="A653" s="74"/>
      <c r="B653" s="74"/>
      <c r="C653" s="74"/>
      <c r="D653" s="74"/>
      <c r="E653" s="74"/>
      <c r="F653" s="74"/>
      <c r="G653" s="74"/>
    </row>
    <row r="654">
      <c r="A654" s="74"/>
      <c r="B654" s="74"/>
      <c r="C654" s="74"/>
      <c r="D654" s="74"/>
      <c r="E654" s="74"/>
      <c r="F654" s="74"/>
      <c r="G654" s="74"/>
    </row>
    <row r="655">
      <c r="A655" s="74"/>
      <c r="B655" s="74"/>
      <c r="C655" s="74"/>
      <c r="D655" s="74"/>
      <c r="E655" s="74"/>
      <c r="F655" s="74"/>
      <c r="G655" s="74"/>
    </row>
    <row r="656">
      <c r="A656" s="74"/>
      <c r="B656" s="74"/>
      <c r="C656" s="74"/>
      <c r="D656" s="74"/>
      <c r="E656" s="74"/>
      <c r="F656" s="74"/>
      <c r="G656" s="74"/>
    </row>
    <row r="657">
      <c r="A657" s="74"/>
      <c r="B657" s="74"/>
      <c r="C657" s="74"/>
      <c r="D657" s="74"/>
      <c r="E657" s="74"/>
      <c r="F657" s="74"/>
      <c r="G657" s="74"/>
    </row>
    <row r="658">
      <c r="A658" s="74"/>
      <c r="B658" s="74"/>
      <c r="C658" s="74"/>
      <c r="D658" s="74"/>
      <c r="E658" s="74"/>
      <c r="F658" s="74"/>
      <c r="G658" s="74"/>
    </row>
    <row r="659">
      <c r="A659" s="74"/>
      <c r="B659" s="74"/>
      <c r="C659" s="74"/>
      <c r="D659" s="74"/>
      <c r="E659" s="74"/>
      <c r="F659" s="74"/>
      <c r="G659" s="74"/>
    </row>
    <row r="660">
      <c r="A660" s="74"/>
      <c r="B660" s="74"/>
      <c r="C660" s="74"/>
      <c r="D660" s="74"/>
      <c r="E660" s="74"/>
      <c r="F660" s="74"/>
      <c r="G660" s="74"/>
    </row>
    <row r="661">
      <c r="A661" s="74"/>
      <c r="B661" s="74"/>
      <c r="C661" s="74"/>
      <c r="D661" s="74"/>
      <c r="E661" s="74"/>
      <c r="F661" s="74"/>
      <c r="G661" s="74"/>
    </row>
    <row r="662">
      <c r="A662" s="74"/>
      <c r="B662" s="74"/>
      <c r="C662" s="74"/>
      <c r="D662" s="74"/>
      <c r="E662" s="74"/>
      <c r="F662" s="74"/>
      <c r="G662" s="74"/>
    </row>
    <row r="663">
      <c r="A663" s="74"/>
      <c r="B663" s="74"/>
      <c r="C663" s="74"/>
      <c r="D663" s="74"/>
      <c r="E663" s="74"/>
      <c r="F663" s="74"/>
      <c r="G663" s="74"/>
    </row>
    <row r="664">
      <c r="A664" s="74"/>
      <c r="B664" s="74"/>
      <c r="C664" s="74"/>
      <c r="D664" s="74"/>
      <c r="E664" s="74"/>
      <c r="F664" s="74"/>
      <c r="G664" s="74"/>
    </row>
    <row r="665">
      <c r="A665" s="74"/>
      <c r="B665" s="74"/>
      <c r="C665" s="74"/>
      <c r="D665" s="74"/>
      <c r="E665" s="74"/>
      <c r="F665" s="74"/>
      <c r="G665" s="74"/>
    </row>
    <row r="666">
      <c r="A666" s="74"/>
      <c r="B666" s="74"/>
      <c r="C666" s="74"/>
      <c r="D666" s="74"/>
      <c r="E666" s="74"/>
      <c r="F666" s="74"/>
      <c r="G666" s="74"/>
    </row>
    <row r="667">
      <c r="A667" s="74"/>
      <c r="B667" s="74"/>
      <c r="C667" s="74"/>
      <c r="D667" s="74"/>
      <c r="E667" s="74"/>
      <c r="F667" s="74"/>
      <c r="G667" s="74"/>
    </row>
    <row r="668">
      <c r="A668" s="74"/>
      <c r="B668" s="74"/>
      <c r="C668" s="74"/>
      <c r="D668" s="74"/>
      <c r="E668" s="74"/>
      <c r="F668" s="74"/>
      <c r="G668" s="74"/>
    </row>
    <row r="669">
      <c r="A669" s="74"/>
      <c r="B669" s="74"/>
      <c r="C669" s="74"/>
      <c r="D669" s="74"/>
      <c r="E669" s="74"/>
      <c r="F669" s="74"/>
      <c r="G669" s="74"/>
    </row>
    <row r="670">
      <c r="A670" s="74"/>
      <c r="B670" s="74"/>
      <c r="C670" s="74"/>
      <c r="D670" s="74"/>
      <c r="E670" s="74"/>
      <c r="F670" s="74"/>
      <c r="G670" s="74"/>
    </row>
    <row r="671">
      <c r="A671" s="74"/>
      <c r="B671" s="74"/>
      <c r="C671" s="74"/>
      <c r="D671" s="74"/>
      <c r="E671" s="74"/>
      <c r="F671" s="74"/>
      <c r="G671" s="74"/>
    </row>
    <row r="672">
      <c r="A672" s="74"/>
      <c r="B672" s="74"/>
      <c r="C672" s="74"/>
      <c r="D672" s="74"/>
      <c r="E672" s="74"/>
      <c r="F672" s="74"/>
      <c r="G672" s="74"/>
    </row>
    <row r="673">
      <c r="A673" s="74"/>
      <c r="B673" s="74"/>
      <c r="C673" s="74"/>
      <c r="D673" s="74"/>
      <c r="E673" s="74"/>
      <c r="F673" s="74"/>
      <c r="G673" s="74"/>
    </row>
    <row r="674">
      <c r="A674" s="74"/>
      <c r="B674" s="74"/>
      <c r="C674" s="74"/>
      <c r="D674" s="74"/>
      <c r="E674" s="74"/>
      <c r="F674" s="74"/>
      <c r="G674" s="74"/>
    </row>
    <row r="675">
      <c r="A675" s="74"/>
      <c r="B675" s="74"/>
      <c r="C675" s="74"/>
      <c r="D675" s="74"/>
      <c r="E675" s="74"/>
      <c r="F675" s="74"/>
      <c r="G675" s="74"/>
    </row>
    <row r="676">
      <c r="A676" s="74"/>
      <c r="B676" s="74"/>
      <c r="C676" s="74"/>
      <c r="D676" s="74"/>
      <c r="E676" s="74"/>
      <c r="F676" s="74"/>
      <c r="G676" s="74"/>
    </row>
    <row r="677">
      <c r="A677" s="74"/>
      <c r="B677" s="74"/>
      <c r="C677" s="74"/>
      <c r="D677" s="74"/>
      <c r="E677" s="74"/>
      <c r="F677" s="74"/>
      <c r="G677" s="74"/>
    </row>
    <row r="678">
      <c r="A678" s="74"/>
      <c r="B678" s="74"/>
      <c r="C678" s="74"/>
      <c r="D678" s="74"/>
      <c r="E678" s="74"/>
      <c r="F678" s="74"/>
      <c r="G678" s="74"/>
    </row>
    <row r="679">
      <c r="A679" s="74"/>
      <c r="B679" s="74"/>
      <c r="C679" s="74"/>
      <c r="D679" s="74"/>
      <c r="E679" s="74"/>
      <c r="F679" s="74"/>
      <c r="G679" s="74"/>
    </row>
    <row r="680">
      <c r="A680" s="74"/>
      <c r="B680" s="74"/>
      <c r="C680" s="74"/>
      <c r="D680" s="74"/>
      <c r="E680" s="74"/>
      <c r="F680" s="74"/>
      <c r="G680" s="74"/>
    </row>
    <row r="681">
      <c r="A681" s="74"/>
      <c r="B681" s="74"/>
      <c r="C681" s="74"/>
      <c r="D681" s="74"/>
      <c r="E681" s="74"/>
      <c r="F681" s="74"/>
      <c r="G681" s="74"/>
    </row>
    <row r="682">
      <c r="A682" s="74"/>
      <c r="B682" s="74"/>
      <c r="C682" s="74"/>
      <c r="D682" s="74"/>
      <c r="E682" s="74"/>
      <c r="F682" s="74"/>
      <c r="G682" s="74"/>
    </row>
    <row r="683">
      <c r="A683" s="74"/>
      <c r="B683" s="74"/>
      <c r="C683" s="74"/>
      <c r="D683" s="74"/>
      <c r="E683" s="74"/>
      <c r="F683" s="74"/>
      <c r="G683" s="74"/>
    </row>
    <row r="684">
      <c r="A684" s="74"/>
      <c r="B684" s="74"/>
      <c r="C684" s="74"/>
      <c r="D684" s="74"/>
      <c r="E684" s="74"/>
      <c r="F684" s="74"/>
      <c r="G684" s="74"/>
    </row>
    <row r="685">
      <c r="A685" s="74"/>
      <c r="B685" s="74"/>
      <c r="C685" s="74"/>
      <c r="D685" s="74"/>
      <c r="E685" s="74"/>
      <c r="F685" s="74"/>
      <c r="G685" s="74"/>
    </row>
    <row r="686">
      <c r="A686" s="74"/>
      <c r="B686" s="74"/>
      <c r="C686" s="74"/>
      <c r="D686" s="74"/>
      <c r="E686" s="74"/>
      <c r="F686" s="74"/>
      <c r="G686" s="74"/>
    </row>
    <row r="687">
      <c r="A687" s="74"/>
      <c r="B687" s="74"/>
      <c r="C687" s="74"/>
      <c r="D687" s="74"/>
      <c r="E687" s="74"/>
      <c r="F687" s="74"/>
      <c r="G687" s="74"/>
    </row>
    <row r="688">
      <c r="A688" s="74"/>
      <c r="B688" s="74"/>
      <c r="C688" s="74"/>
      <c r="D688" s="74"/>
      <c r="E688" s="74"/>
      <c r="F688" s="74"/>
      <c r="G688" s="74"/>
    </row>
    <row r="689">
      <c r="A689" s="74"/>
      <c r="B689" s="74"/>
      <c r="C689" s="74"/>
      <c r="D689" s="74"/>
      <c r="E689" s="74"/>
      <c r="F689" s="74"/>
      <c r="G689" s="74"/>
    </row>
    <row r="690">
      <c r="A690" s="74"/>
      <c r="B690" s="74"/>
      <c r="C690" s="74"/>
      <c r="D690" s="74"/>
      <c r="E690" s="74"/>
      <c r="F690" s="74"/>
      <c r="G690" s="74"/>
    </row>
    <row r="691">
      <c r="A691" s="74"/>
      <c r="B691" s="74"/>
      <c r="C691" s="74"/>
      <c r="D691" s="74"/>
      <c r="E691" s="74"/>
      <c r="F691" s="74"/>
      <c r="G691" s="74"/>
    </row>
    <row r="692">
      <c r="A692" s="74"/>
      <c r="B692" s="74"/>
      <c r="C692" s="74"/>
      <c r="D692" s="74"/>
      <c r="E692" s="74"/>
      <c r="F692" s="74"/>
      <c r="G692" s="74"/>
    </row>
    <row r="693">
      <c r="A693" s="74"/>
      <c r="B693" s="74"/>
      <c r="C693" s="74"/>
      <c r="D693" s="74"/>
      <c r="E693" s="74"/>
      <c r="F693" s="74"/>
      <c r="G693" s="74"/>
    </row>
    <row r="694">
      <c r="A694" s="74"/>
      <c r="B694" s="74"/>
      <c r="C694" s="74"/>
      <c r="D694" s="74"/>
      <c r="E694" s="74"/>
      <c r="F694" s="74"/>
      <c r="G694" s="74"/>
    </row>
    <row r="695">
      <c r="A695" s="74"/>
      <c r="B695" s="74"/>
      <c r="C695" s="74"/>
      <c r="D695" s="74"/>
      <c r="E695" s="74"/>
      <c r="F695" s="74"/>
      <c r="G695" s="74"/>
    </row>
    <row r="696">
      <c r="A696" s="74"/>
      <c r="B696" s="74"/>
      <c r="C696" s="74"/>
      <c r="D696" s="74"/>
      <c r="E696" s="74"/>
      <c r="F696" s="74"/>
      <c r="G696" s="74"/>
    </row>
    <row r="697">
      <c r="A697" s="74"/>
      <c r="B697" s="74"/>
      <c r="C697" s="74"/>
      <c r="D697" s="74"/>
      <c r="E697" s="74"/>
      <c r="F697" s="74"/>
      <c r="G697" s="74"/>
    </row>
    <row r="698">
      <c r="A698" s="74"/>
      <c r="B698" s="74"/>
      <c r="C698" s="74"/>
      <c r="D698" s="74"/>
      <c r="E698" s="74"/>
      <c r="F698" s="74"/>
      <c r="G698" s="74"/>
    </row>
    <row r="699">
      <c r="A699" s="74"/>
      <c r="B699" s="74"/>
      <c r="C699" s="74"/>
      <c r="D699" s="74"/>
      <c r="E699" s="74"/>
      <c r="F699" s="74"/>
      <c r="G699" s="74"/>
    </row>
    <row r="700">
      <c r="A700" s="74"/>
      <c r="B700" s="74"/>
      <c r="C700" s="74"/>
      <c r="D700" s="74"/>
      <c r="E700" s="74"/>
      <c r="F700" s="74"/>
      <c r="G700" s="74"/>
    </row>
    <row r="701">
      <c r="A701" s="74"/>
      <c r="B701" s="74"/>
      <c r="C701" s="74"/>
      <c r="D701" s="74"/>
      <c r="E701" s="74"/>
      <c r="F701" s="74"/>
      <c r="G701" s="74"/>
    </row>
    <row r="702">
      <c r="A702" s="74"/>
      <c r="B702" s="74"/>
      <c r="C702" s="74"/>
      <c r="D702" s="74"/>
      <c r="E702" s="74"/>
      <c r="F702" s="74"/>
      <c r="G702" s="74"/>
    </row>
    <row r="703">
      <c r="A703" s="74"/>
      <c r="B703" s="74"/>
      <c r="C703" s="74"/>
      <c r="D703" s="74"/>
      <c r="E703" s="74"/>
      <c r="F703" s="74"/>
      <c r="G703" s="74"/>
    </row>
    <row r="704">
      <c r="A704" s="74"/>
      <c r="B704" s="74"/>
      <c r="C704" s="74"/>
      <c r="D704" s="74"/>
      <c r="E704" s="74"/>
      <c r="F704" s="74"/>
      <c r="G704" s="74"/>
    </row>
    <row r="705">
      <c r="A705" s="74"/>
      <c r="B705" s="74"/>
      <c r="C705" s="74"/>
      <c r="D705" s="74"/>
      <c r="E705" s="74"/>
      <c r="F705" s="74"/>
      <c r="G705" s="74"/>
    </row>
    <row r="706">
      <c r="A706" s="74"/>
      <c r="B706" s="74"/>
      <c r="C706" s="74"/>
      <c r="D706" s="74"/>
      <c r="E706" s="74"/>
      <c r="F706" s="74"/>
      <c r="G706" s="74"/>
    </row>
    <row r="707">
      <c r="A707" s="74"/>
      <c r="B707" s="74"/>
      <c r="C707" s="74"/>
      <c r="D707" s="74"/>
      <c r="E707" s="74"/>
      <c r="F707" s="74"/>
      <c r="G707" s="74"/>
    </row>
    <row r="708">
      <c r="A708" s="74"/>
      <c r="B708" s="74"/>
      <c r="C708" s="74"/>
      <c r="D708" s="74"/>
      <c r="E708" s="74"/>
      <c r="F708" s="74"/>
      <c r="G708" s="74"/>
    </row>
    <row r="709">
      <c r="A709" s="74"/>
      <c r="B709" s="74"/>
      <c r="C709" s="74"/>
      <c r="D709" s="74"/>
      <c r="E709" s="74"/>
      <c r="F709" s="74"/>
      <c r="G709" s="74"/>
    </row>
    <row r="710">
      <c r="A710" s="74"/>
      <c r="B710" s="74"/>
      <c r="C710" s="74"/>
      <c r="D710" s="74"/>
      <c r="E710" s="74"/>
      <c r="F710" s="74"/>
      <c r="G710" s="74"/>
    </row>
    <row r="711">
      <c r="A711" s="74"/>
      <c r="B711" s="74"/>
      <c r="C711" s="74"/>
      <c r="D711" s="74"/>
      <c r="E711" s="74"/>
      <c r="F711" s="74"/>
      <c r="G711" s="74"/>
    </row>
    <row r="712">
      <c r="A712" s="74"/>
      <c r="B712" s="74"/>
      <c r="C712" s="74"/>
      <c r="D712" s="74"/>
      <c r="E712" s="74"/>
      <c r="F712" s="74"/>
      <c r="G712" s="74"/>
    </row>
    <row r="713">
      <c r="A713" s="74"/>
      <c r="B713" s="74"/>
      <c r="C713" s="74"/>
      <c r="D713" s="74"/>
      <c r="E713" s="74"/>
      <c r="F713" s="74"/>
      <c r="G713" s="74"/>
    </row>
    <row r="714">
      <c r="A714" s="74"/>
      <c r="B714" s="74"/>
      <c r="C714" s="74"/>
      <c r="D714" s="74"/>
      <c r="E714" s="74"/>
      <c r="F714" s="74"/>
      <c r="G714" s="74"/>
    </row>
    <row r="715">
      <c r="A715" s="74"/>
      <c r="B715" s="74"/>
      <c r="C715" s="74"/>
      <c r="D715" s="74"/>
      <c r="E715" s="74"/>
      <c r="F715" s="74"/>
      <c r="G715" s="74"/>
    </row>
    <row r="716">
      <c r="A716" s="74"/>
      <c r="B716" s="74"/>
      <c r="C716" s="74"/>
      <c r="D716" s="74"/>
      <c r="E716" s="74"/>
      <c r="F716" s="74"/>
      <c r="G716" s="74"/>
    </row>
    <row r="717">
      <c r="A717" s="74"/>
      <c r="B717" s="74"/>
      <c r="C717" s="74"/>
      <c r="D717" s="74"/>
      <c r="E717" s="74"/>
      <c r="F717" s="74"/>
      <c r="G717" s="74"/>
    </row>
    <row r="718">
      <c r="A718" s="74"/>
      <c r="B718" s="74"/>
      <c r="C718" s="74"/>
      <c r="D718" s="74"/>
      <c r="E718" s="74"/>
      <c r="F718" s="74"/>
      <c r="G718" s="74"/>
    </row>
    <row r="719">
      <c r="A719" s="74"/>
      <c r="B719" s="74"/>
      <c r="C719" s="74"/>
      <c r="D719" s="74"/>
      <c r="E719" s="74"/>
      <c r="F719" s="74"/>
      <c r="G719" s="74"/>
    </row>
    <row r="720">
      <c r="A720" s="74"/>
      <c r="B720" s="74"/>
      <c r="C720" s="74"/>
      <c r="D720" s="74"/>
      <c r="E720" s="74"/>
      <c r="F720" s="74"/>
      <c r="G720" s="74"/>
    </row>
    <row r="721">
      <c r="A721" s="74"/>
      <c r="B721" s="74"/>
      <c r="C721" s="74"/>
      <c r="D721" s="74"/>
      <c r="E721" s="74"/>
      <c r="F721" s="74"/>
      <c r="G721" s="74"/>
    </row>
    <row r="722">
      <c r="A722" s="74"/>
      <c r="B722" s="74"/>
      <c r="C722" s="74"/>
      <c r="D722" s="74"/>
      <c r="E722" s="74"/>
      <c r="F722" s="74"/>
      <c r="G722" s="74"/>
    </row>
    <row r="723">
      <c r="A723" s="74"/>
      <c r="B723" s="74"/>
      <c r="C723" s="74"/>
      <c r="D723" s="74"/>
      <c r="E723" s="74"/>
      <c r="F723" s="74"/>
      <c r="G723" s="74"/>
    </row>
    <row r="724">
      <c r="A724" s="74"/>
      <c r="B724" s="74"/>
      <c r="C724" s="74"/>
      <c r="D724" s="74"/>
      <c r="E724" s="74"/>
      <c r="F724" s="74"/>
      <c r="G724" s="74"/>
    </row>
    <row r="725">
      <c r="A725" s="74"/>
      <c r="B725" s="74"/>
      <c r="C725" s="74"/>
      <c r="D725" s="74"/>
      <c r="E725" s="74"/>
      <c r="F725" s="74"/>
      <c r="G725" s="74"/>
    </row>
    <row r="726">
      <c r="A726" s="74"/>
      <c r="B726" s="74"/>
      <c r="C726" s="74"/>
      <c r="D726" s="74"/>
      <c r="E726" s="74"/>
      <c r="F726" s="74"/>
      <c r="G726" s="74"/>
    </row>
    <row r="727">
      <c r="A727" s="74"/>
      <c r="B727" s="74"/>
      <c r="C727" s="74"/>
      <c r="D727" s="74"/>
      <c r="E727" s="74"/>
      <c r="F727" s="74"/>
      <c r="G727" s="74"/>
    </row>
    <row r="728">
      <c r="A728" s="74"/>
      <c r="B728" s="74"/>
      <c r="C728" s="74"/>
      <c r="D728" s="74"/>
      <c r="E728" s="74"/>
      <c r="F728" s="74"/>
      <c r="G728" s="74"/>
    </row>
    <row r="729">
      <c r="A729" s="74"/>
      <c r="B729" s="74"/>
      <c r="C729" s="74"/>
      <c r="D729" s="74"/>
      <c r="E729" s="74"/>
      <c r="F729" s="74"/>
      <c r="G729" s="74"/>
    </row>
    <row r="730">
      <c r="A730" s="74"/>
      <c r="B730" s="74"/>
      <c r="C730" s="74"/>
      <c r="D730" s="74"/>
      <c r="E730" s="74"/>
      <c r="F730" s="74"/>
      <c r="G730" s="74"/>
    </row>
    <row r="731">
      <c r="A731" s="74"/>
      <c r="B731" s="74"/>
      <c r="C731" s="74"/>
      <c r="D731" s="74"/>
      <c r="E731" s="74"/>
      <c r="F731" s="74"/>
      <c r="G731" s="74"/>
    </row>
    <row r="732">
      <c r="A732" s="74"/>
      <c r="B732" s="74"/>
      <c r="C732" s="74"/>
      <c r="D732" s="74"/>
      <c r="E732" s="74"/>
      <c r="F732" s="74"/>
      <c r="G732" s="74"/>
    </row>
    <row r="733">
      <c r="A733" s="74"/>
      <c r="B733" s="74"/>
      <c r="C733" s="74"/>
      <c r="D733" s="74"/>
      <c r="E733" s="74"/>
      <c r="F733" s="74"/>
      <c r="G733" s="74"/>
    </row>
    <row r="734">
      <c r="A734" s="74"/>
      <c r="B734" s="74"/>
      <c r="C734" s="74"/>
      <c r="D734" s="74"/>
      <c r="E734" s="74"/>
      <c r="F734" s="74"/>
      <c r="G734" s="74"/>
    </row>
    <row r="735">
      <c r="A735" s="74"/>
      <c r="B735" s="74"/>
      <c r="C735" s="74"/>
      <c r="D735" s="74"/>
      <c r="E735" s="74"/>
      <c r="F735" s="74"/>
      <c r="G735" s="74"/>
    </row>
    <row r="736">
      <c r="A736" s="74"/>
      <c r="B736" s="74"/>
      <c r="C736" s="74"/>
      <c r="D736" s="74"/>
      <c r="E736" s="74"/>
      <c r="F736" s="74"/>
      <c r="G736" s="74"/>
    </row>
    <row r="737">
      <c r="A737" s="74"/>
      <c r="B737" s="74"/>
      <c r="C737" s="74"/>
      <c r="D737" s="74"/>
      <c r="E737" s="74"/>
      <c r="F737" s="74"/>
      <c r="G737" s="74"/>
    </row>
    <row r="738">
      <c r="A738" s="74"/>
      <c r="B738" s="74"/>
      <c r="C738" s="74"/>
      <c r="D738" s="74"/>
      <c r="E738" s="74"/>
      <c r="F738" s="74"/>
      <c r="G738" s="74"/>
    </row>
    <row r="739">
      <c r="A739" s="74"/>
      <c r="B739" s="74"/>
      <c r="C739" s="74"/>
      <c r="D739" s="74"/>
      <c r="E739" s="74"/>
      <c r="F739" s="74"/>
      <c r="G739" s="74"/>
    </row>
    <row r="740">
      <c r="A740" s="74"/>
      <c r="B740" s="74"/>
      <c r="C740" s="74"/>
      <c r="D740" s="74"/>
      <c r="E740" s="74"/>
      <c r="F740" s="74"/>
      <c r="G740" s="74"/>
    </row>
    <row r="741">
      <c r="A741" s="74"/>
      <c r="B741" s="74"/>
      <c r="C741" s="74"/>
      <c r="D741" s="74"/>
      <c r="E741" s="74"/>
      <c r="F741" s="74"/>
      <c r="G741" s="74"/>
    </row>
    <row r="742">
      <c r="A742" s="74"/>
      <c r="B742" s="74"/>
      <c r="C742" s="74"/>
      <c r="D742" s="74"/>
      <c r="E742" s="74"/>
      <c r="F742" s="74"/>
      <c r="G742" s="74"/>
    </row>
    <row r="743">
      <c r="A743" s="74"/>
      <c r="B743" s="74"/>
      <c r="C743" s="74"/>
      <c r="D743" s="74"/>
      <c r="E743" s="74"/>
      <c r="F743" s="74"/>
      <c r="G743" s="74"/>
    </row>
    <row r="744">
      <c r="A744" s="74"/>
      <c r="B744" s="74"/>
      <c r="C744" s="74"/>
      <c r="D744" s="74"/>
      <c r="E744" s="74"/>
      <c r="F744" s="74"/>
      <c r="G744" s="74"/>
    </row>
    <row r="745">
      <c r="A745" s="74"/>
      <c r="B745" s="74"/>
      <c r="C745" s="74"/>
      <c r="D745" s="74"/>
      <c r="E745" s="74"/>
      <c r="F745" s="74"/>
      <c r="G745" s="74"/>
    </row>
    <row r="746">
      <c r="A746" s="74"/>
      <c r="B746" s="74"/>
      <c r="C746" s="74"/>
      <c r="D746" s="74"/>
      <c r="E746" s="74"/>
      <c r="F746" s="74"/>
      <c r="G746" s="74"/>
    </row>
    <row r="747">
      <c r="A747" s="74"/>
      <c r="B747" s="74"/>
      <c r="C747" s="74"/>
      <c r="D747" s="74"/>
      <c r="E747" s="74"/>
      <c r="F747" s="74"/>
      <c r="G747" s="74"/>
    </row>
    <row r="748">
      <c r="A748" s="74"/>
      <c r="B748" s="74"/>
      <c r="C748" s="74"/>
      <c r="D748" s="74"/>
      <c r="E748" s="74"/>
      <c r="F748" s="74"/>
      <c r="G748" s="74"/>
    </row>
    <row r="749">
      <c r="A749" s="74"/>
      <c r="B749" s="74"/>
      <c r="C749" s="74"/>
      <c r="D749" s="74"/>
      <c r="E749" s="74"/>
      <c r="F749" s="74"/>
      <c r="G749" s="74"/>
    </row>
    <row r="750">
      <c r="A750" s="74"/>
      <c r="B750" s="74"/>
      <c r="C750" s="74"/>
      <c r="D750" s="74"/>
      <c r="E750" s="74"/>
      <c r="F750" s="74"/>
      <c r="G750" s="74"/>
    </row>
    <row r="751">
      <c r="A751" s="74"/>
      <c r="B751" s="74"/>
      <c r="C751" s="74"/>
      <c r="D751" s="74"/>
      <c r="E751" s="74"/>
      <c r="F751" s="74"/>
      <c r="G751" s="74"/>
    </row>
    <row r="752">
      <c r="A752" s="74"/>
      <c r="B752" s="74"/>
      <c r="C752" s="74"/>
      <c r="D752" s="74"/>
      <c r="E752" s="74"/>
      <c r="F752" s="74"/>
      <c r="G752" s="74"/>
    </row>
    <row r="753">
      <c r="A753" s="74"/>
      <c r="B753" s="74"/>
      <c r="C753" s="74"/>
      <c r="D753" s="74"/>
      <c r="E753" s="74"/>
      <c r="F753" s="74"/>
      <c r="G753" s="74"/>
    </row>
    <row r="754">
      <c r="A754" s="74"/>
      <c r="B754" s="74"/>
      <c r="C754" s="74"/>
      <c r="D754" s="74"/>
      <c r="E754" s="74"/>
      <c r="F754" s="74"/>
      <c r="G754" s="74"/>
    </row>
    <row r="755">
      <c r="A755" s="74"/>
      <c r="B755" s="74"/>
      <c r="C755" s="74"/>
      <c r="D755" s="74"/>
      <c r="E755" s="74"/>
      <c r="F755" s="74"/>
      <c r="G755" s="74"/>
    </row>
    <row r="756">
      <c r="A756" s="74"/>
      <c r="B756" s="74"/>
      <c r="C756" s="74"/>
      <c r="D756" s="74"/>
      <c r="E756" s="74"/>
      <c r="F756" s="74"/>
      <c r="G756" s="74"/>
    </row>
    <row r="757">
      <c r="A757" s="74"/>
      <c r="B757" s="74"/>
      <c r="C757" s="74"/>
      <c r="D757" s="74"/>
      <c r="E757" s="74"/>
      <c r="F757" s="74"/>
      <c r="G757" s="74"/>
    </row>
    <row r="758">
      <c r="A758" s="74"/>
      <c r="B758" s="74"/>
      <c r="C758" s="74"/>
      <c r="D758" s="74"/>
      <c r="E758" s="74"/>
      <c r="F758" s="74"/>
      <c r="G758" s="74"/>
    </row>
    <row r="759">
      <c r="A759" s="74"/>
      <c r="B759" s="74"/>
      <c r="C759" s="74"/>
      <c r="D759" s="74"/>
      <c r="E759" s="74"/>
      <c r="F759" s="74"/>
      <c r="G759" s="74"/>
    </row>
    <row r="760">
      <c r="A760" s="74"/>
      <c r="B760" s="74"/>
      <c r="C760" s="74"/>
      <c r="D760" s="74"/>
      <c r="E760" s="74"/>
      <c r="F760" s="74"/>
      <c r="G760" s="74"/>
    </row>
    <row r="761">
      <c r="A761" s="74"/>
      <c r="B761" s="74"/>
      <c r="C761" s="74"/>
      <c r="D761" s="74"/>
      <c r="E761" s="74"/>
      <c r="F761" s="74"/>
      <c r="G761" s="74"/>
    </row>
    <row r="762">
      <c r="A762" s="74"/>
      <c r="B762" s="74"/>
      <c r="C762" s="74"/>
      <c r="D762" s="74"/>
      <c r="E762" s="74"/>
      <c r="F762" s="74"/>
      <c r="G762" s="74"/>
    </row>
    <row r="763">
      <c r="A763" s="74"/>
      <c r="B763" s="74"/>
      <c r="C763" s="74"/>
      <c r="D763" s="74"/>
      <c r="E763" s="74"/>
      <c r="F763" s="74"/>
      <c r="G763" s="74"/>
    </row>
    <row r="764">
      <c r="A764" s="74"/>
      <c r="B764" s="74"/>
      <c r="C764" s="74"/>
      <c r="D764" s="74"/>
      <c r="E764" s="74"/>
      <c r="F764" s="74"/>
      <c r="G764" s="74"/>
    </row>
    <row r="765">
      <c r="A765" s="74"/>
      <c r="B765" s="74"/>
      <c r="C765" s="74"/>
      <c r="D765" s="74"/>
      <c r="E765" s="74"/>
      <c r="F765" s="74"/>
      <c r="G765" s="74"/>
    </row>
    <row r="766">
      <c r="A766" s="74"/>
      <c r="B766" s="74"/>
      <c r="C766" s="74"/>
      <c r="D766" s="74"/>
      <c r="E766" s="74"/>
      <c r="F766" s="74"/>
      <c r="G766" s="74"/>
    </row>
    <row r="767">
      <c r="A767" s="74"/>
      <c r="B767" s="74"/>
      <c r="C767" s="74"/>
      <c r="D767" s="74"/>
      <c r="E767" s="74"/>
      <c r="F767" s="74"/>
      <c r="G767" s="74"/>
    </row>
    <row r="768">
      <c r="A768" s="74"/>
      <c r="B768" s="74"/>
      <c r="C768" s="74"/>
      <c r="D768" s="74"/>
      <c r="E768" s="74"/>
      <c r="F768" s="74"/>
      <c r="G768" s="74"/>
    </row>
    <row r="769">
      <c r="A769" s="74"/>
      <c r="B769" s="74"/>
      <c r="C769" s="74"/>
      <c r="D769" s="74"/>
      <c r="E769" s="74"/>
      <c r="F769" s="74"/>
      <c r="G769" s="74"/>
    </row>
    <row r="770">
      <c r="A770" s="74"/>
      <c r="B770" s="74"/>
      <c r="C770" s="74"/>
      <c r="D770" s="74"/>
      <c r="E770" s="74"/>
      <c r="F770" s="74"/>
      <c r="G770" s="74"/>
    </row>
    <row r="771">
      <c r="A771" s="74"/>
      <c r="B771" s="74"/>
      <c r="C771" s="74"/>
      <c r="D771" s="74"/>
      <c r="E771" s="74"/>
      <c r="F771" s="74"/>
      <c r="G771" s="74"/>
    </row>
    <row r="772">
      <c r="A772" s="74"/>
      <c r="B772" s="74"/>
      <c r="C772" s="74"/>
      <c r="D772" s="74"/>
      <c r="E772" s="74"/>
      <c r="F772" s="74"/>
      <c r="G772" s="74"/>
    </row>
    <row r="773">
      <c r="A773" s="74"/>
      <c r="B773" s="74"/>
      <c r="C773" s="74"/>
      <c r="D773" s="74"/>
      <c r="E773" s="74"/>
      <c r="F773" s="74"/>
      <c r="G773" s="74"/>
    </row>
    <row r="774">
      <c r="A774" s="74"/>
      <c r="B774" s="74"/>
      <c r="C774" s="74"/>
      <c r="D774" s="74"/>
      <c r="E774" s="74"/>
      <c r="F774" s="74"/>
      <c r="G774" s="74"/>
    </row>
    <row r="775">
      <c r="A775" s="74"/>
      <c r="B775" s="74"/>
      <c r="C775" s="74"/>
      <c r="D775" s="74"/>
      <c r="E775" s="74"/>
      <c r="F775" s="74"/>
      <c r="G775" s="74"/>
    </row>
    <row r="776">
      <c r="A776" s="74"/>
      <c r="B776" s="74"/>
      <c r="C776" s="74"/>
      <c r="D776" s="74"/>
      <c r="E776" s="74"/>
      <c r="F776" s="74"/>
      <c r="G776" s="74"/>
    </row>
    <row r="777">
      <c r="A777" s="74"/>
      <c r="B777" s="74"/>
      <c r="C777" s="74"/>
      <c r="D777" s="74"/>
      <c r="E777" s="74"/>
      <c r="F777" s="74"/>
      <c r="G777" s="74"/>
    </row>
    <row r="778">
      <c r="A778" s="74"/>
      <c r="B778" s="74"/>
      <c r="C778" s="74"/>
      <c r="D778" s="74"/>
      <c r="E778" s="74"/>
      <c r="F778" s="74"/>
      <c r="G778" s="74"/>
    </row>
    <row r="779">
      <c r="A779" s="74"/>
      <c r="B779" s="74"/>
      <c r="C779" s="74"/>
      <c r="D779" s="74"/>
      <c r="E779" s="74"/>
      <c r="F779" s="74"/>
      <c r="G779" s="74"/>
    </row>
    <row r="780">
      <c r="A780" s="74"/>
      <c r="B780" s="74"/>
      <c r="C780" s="74"/>
      <c r="D780" s="74"/>
      <c r="E780" s="74"/>
      <c r="F780" s="74"/>
      <c r="G780" s="74"/>
    </row>
    <row r="781">
      <c r="A781" s="74"/>
      <c r="B781" s="74"/>
      <c r="C781" s="74"/>
      <c r="D781" s="74"/>
      <c r="E781" s="74"/>
      <c r="F781" s="74"/>
      <c r="G781" s="74"/>
    </row>
    <row r="782">
      <c r="A782" s="74"/>
      <c r="B782" s="74"/>
      <c r="C782" s="74"/>
      <c r="D782" s="74"/>
      <c r="E782" s="74"/>
      <c r="F782" s="74"/>
      <c r="G782" s="74"/>
    </row>
    <row r="783">
      <c r="A783" s="74"/>
      <c r="B783" s="74"/>
      <c r="C783" s="74"/>
      <c r="D783" s="74"/>
      <c r="E783" s="74"/>
      <c r="F783" s="74"/>
      <c r="G783" s="74"/>
    </row>
    <row r="784">
      <c r="A784" s="74"/>
      <c r="B784" s="74"/>
      <c r="C784" s="74"/>
      <c r="D784" s="74"/>
      <c r="E784" s="74"/>
      <c r="F784" s="74"/>
      <c r="G784" s="74"/>
    </row>
    <row r="785">
      <c r="A785" s="74"/>
      <c r="B785" s="74"/>
      <c r="C785" s="74"/>
      <c r="D785" s="74"/>
      <c r="E785" s="74"/>
      <c r="F785" s="74"/>
      <c r="G785" s="74"/>
    </row>
    <row r="786">
      <c r="A786" s="74"/>
      <c r="B786" s="74"/>
      <c r="C786" s="74"/>
      <c r="D786" s="74"/>
      <c r="E786" s="74"/>
      <c r="F786" s="74"/>
      <c r="G786" s="74"/>
    </row>
    <row r="787">
      <c r="A787" s="74"/>
      <c r="B787" s="74"/>
      <c r="C787" s="74"/>
      <c r="D787" s="74"/>
      <c r="E787" s="74"/>
      <c r="F787" s="74"/>
      <c r="G787" s="74"/>
    </row>
    <row r="788">
      <c r="A788" s="74"/>
      <c r="B788" s="74"/>
      <c r="C788" s="74"/>
      <c r="D788" s="74"/>
      <c r="E788" s="74"/>
      <c r="F788" s="74"/>
      <c r="G788" s="74"/>
    </row>
    <row r="789">
      <c r="A789" s="74"/>
      <c r="B789" s="74"/>
      <c r="C789" s="74"/>
      <c r="D789" s="74"/>
      <c r="E789" s="74"/>
      <c r="F789" s="74"/>
      <c r="G789" s="74"/>
    </row>
    <row r="790">
      <c r="A790" s="74"/>
      <c r="B790" s="74"/>
      <c r="C790" s="74"/>
      <c r="D790" s="74"/>
      <c r="E790" s="74"/>
      <c r="F790" s="74"/>
      <c r="G790" s="74"/>
    </row>
    <row r="791">
      <c r="A791" s="74"/>
      <c r="B791" s="74"/>
      <c r="C791" s="74"/>
      <c r="D791" s="74"/>
      <c r="E791" s="74"/>
      <c r="F791" s="74"/>
      <c r="G791" s="74"/>
    </row>
    <row r="792">
      <c r="A792" s="74"/>
      <c r="B792" s="74"/>
      <c r="C792" s="74"/>
      <c r="D792" s="74"/>
      <c r="E792" s="74"/>
      <c r="F792" s="74"/>
      <c r="G792" s="74"/>
    </row>
    <row r="793">
      <c r="A793" s="74"/>
      <c r="B793" s="74"/>
      <c r="C793" s="74"/>
      <c r="D793" s="74"/>
      <c r="E793" s="74"/>
      <c r="F793" s="74"/>
      <c r="G793" s="74"/>
    </row>
    <row r="794">
      <c r="A794" s="74"/>
      <c r="B794" s="74"/>
      <c r="C794" s="74"/>
      <c r="D794" s="74"/>
      <c r="E794" s="74"/>
      <c r="F794" s="74"/>
      <c r="G794" s="74"/>
    </row>
    <row r="795">
      <c r="A795" s="74"/>
      <c r="B795" s="74"/>
      <c r="C795" s="74"/>
      <c r="D795" s="74"/>
      <c r="E795" s="74"/>
      <c r="F795" s="74"/>
      <c r="G795" s="74"/>
    </row>
    <row r="796">
      <c r="A796" s="74"/>
      <c r="B796" s="74"/>
      <c r="C796" s="74"/>
      <c r="D796" s="74"/>
      <c r="E796" s="74"/>
      <c r="F796" s="74"/>
      <c r="G796" s="74"/>
    </row>
    <row r="797">
      <c r="A797" s="74"/>
      <c r="B797" s="74"/>
      <c r="C797" s="74"/>
      <c r="D797" s="74"/>
      <c r="E797" s="74"/>
      <c r="F797" s="74"/>
      <c r="G797" s="74"/>
    </row>
    <row r="798">
      <c r="A798" s="74"/>
      <c r="B798" s="74"/>
      <c r="C798" s="74"/>
      <c r="D798" s="74"/>
      <c r="E798" s="74"/>
      <c r="F798" s="74"/>
      <c r="G798" s="74"/>
    </row>
    <row r="799">
      <c r="A799" s="74"/>
      <c r="B799" s="74"/>
      <c r="C799" s="74"/>
      <c r="D799" s="74"/>
      <c r="E799" s="74"/>
      <c r="F799" s="74"/>
      <c r="G799" s="74"/>
    </row>
    <row r="800">
      <c r="A800" s="74"/>
      <c r="B800" s="74"/>
      <c r="C800" s="74"/>
      <c r="D800" s="74"/>
      <c r="E800" s="74"/>
      <c r="F800" s="74"/>
      <c r="G800" s="74"/>
    </row>
    <row r="801">
      <c r="A801" s="74"/>
      <c r="B801" s="74"/>
      <c r="C801" s="74"/>
      <c r="D801" s="74"/>
      <c r="E801" s="74"/>
      <c r="F801" s="74"/>
      <c r="G801" s="74"/>
    </row>
    <row r="802">
      <c r="A802" s="74"/>
      <c r="B802" s="74"/>
      <c r="C802" s="74"/>
      <c r="D802" s="74"/>
      <c r="E802" s="74"/>
      <c r="F802" s="74"/>
      <c r="G802" s="74"/>
    </row>
    <row r="803">
      <c r="A803" s="74"/>
      <c r="B803" s="74"/>
      <c r="C803" s="74"/>
      <c r="D803" s="74"/>
      <c r="E803" s="74"/>
      <c r="F803" s="74"/>
      <c r="G803" s="74"/>
    </row>
    <row r="804">
      <c r="A804" s="74"/>
      <c r="B804" s="74"/>
      <c r="C804" s="74"/>
      <c r="D804" s="74"/>
      <c r="E804" s="74"/>
      <c r="F804" s="74"/>
      <c r="G804" s="74"/>
    </row>
    <row r="805">
      <c r="A805" s="74"/>
      <c r="B805" s="74"/>
      <c r="C805" s="74"/>
      <c r="D805" s="74"/>
      <c r="E805" s="74"/>
      <c r="F805" s="74"/>
      <c r="G805" s="74"/>
    </row>
    <row r="806">
      <c r="A806" s="74"/>
      <c r="B806" s="74"/>
      <c r="C806" s="74"/>
      <c r="D806" s="74"/>
      <c r="E806" s="74"/>
      <c r="F806" s="74"/>
      <c r="G806" s="74"/>
    </row>
    <row r="807">
      <c r="A807" s="74"/>
      <c r="B807" s="74"/>
      <c r="C807" s="74"/>
      <c r="D807" s="74"/>
      <c r="E807" s="74"/>
      <c r="F807" s="74"/>
      <c r="G807" s="74"/>
    </row>
    <row r="808">
      <c r="A808" s="74"/>
      <c r="B808" s="74"/>
      <c r="C808" s="74"/>
      <c r="D808" s="74"/>
      <c r="E808" s="74"/>
      <c r="F808" s="74"/>
      <c r="G808" s="74"/>
    </row>
    <row r="809">
      <c r="A809" s="74"/>
      <c r="B809" s="74"/>
      <c r="C809" s="74"/>
      <c r="D809" s="74"/>
      <c r="E809" s="74"/>
      <c r="F809" s="74"/>
      <c r="G809" s="74"/>
    </row>
    <row r="810">
      <c r="A810" s="74"/>
      <c r="B810" s="74"/>
      <c r="C810" s="74"/>
      <c r="D810" s="74"/>
      <c r="E810" s="74"/>
      <c r="F810" s="74"/>
      <c r="G810" s="74"/>
    </row>
    <row r="811">
      <c r="A811" s="74"/>
      <c r="B811" s="74"/>
      <c r="C811" s="74"/>
      <c r="D811" s="74"/>
      <c r="E811" s="74"/>
      <c r="F811" s="74"/>
      <c r="G811" s="74"/>
    </row>
    <row r="812">
      <c r="A812" s="74"/>
      <c r="B812" s="74"/>
      <c r="C812" s="74"/>
      <c r="D812" s="74"/>
      <c r="E812" s="74"/>
      <c r="F812" s="74"/>
      <c r="G812" s="74"/>
    </row>
    <row r="813">
      <c r="A813" s="74"/>
      <c r="B813" s="74"/>
      <c r="C813" s="74"/>
      <c r="D813" s="74"/>
      <c r="E813" s="74"/>
      <c r="F813" s="74"/>
      <c r="G813" s="74"/>
    </row>
    <row r="814">
      <c r="A814" s="74"/>
      <c r="B814" s="74"/>
      <c r="C814" s="74"/>
      <c r="D814" s="74"/>
      <c r="E814" s="74"/>
      <c r="F814" s="74"/>
      <c r="G814" s="74"/>
    </row>
    <row r="815">
      <c r="A815" s="74"/>
      <c r="B815" s="74"/>
      <c r="C815" s="74"/>
      <c r="D815" s="74"/>
      <c r="E815" s="74"/>
      <c r="F815" s="74"/>
      <c r="G815" s="74"/>
    </row>
    <row r="816">
      <c r="A816" s="74"/>
      <c r="B816" s="74"/>
      <c r="C816" s="74"/>
      <c r="D816" s="74"/>
      <c r="E816" s="74"/>
      <c r="F816" s="74"/>
      <c r="G816" s="74"/>
    </row>
    <row r="817">
      <c r="A817" s="74"/>
      <c r="B817" s="74"/>
      <c r="C817" s="74"/>
      <c r="D817" s="74"/>
      <c r="E817" s="74"/>
      <c r="F817" s="74"/>
      <c r="G817" s="74"/>
    </row>
    <row r="818">
      <c r="A818" s="74"/>
      <c r="B818" s="74"/>
      <c r="C818" s="74"/>
      <c r="D818" s="74"/>
      <c r="E818" s="74"/>
      <c r="F818" s="74"/>
      <c r="G818" s="74"/>
    </row>
    <row r="819">
      <c r="A819" s="74"/>
      <c r="B819" s="74"/>
      <c r="C819" s="74"/>
      <c r="D819" s="74"/>
      <c r="E819" s="74"/>
      <c r="F819" s="74"/>
      <c r="G819" s="74"/>
    </row>
    <row r="820">
      <c r="A820" s="74"/>
      <c r="B820" s="74"/>
      <c r="C820" s="74"/>
      <c r="D820" s="74"/>
      <c r="E820" s="74"/>
      <c r="F820" s="74"/>
      <c r="G820" s="74"/>
    </row>
    <row r="821">
      <c r="A821" s="74"/>
      <c r="B821" s="74"/>
      <c r="C821" s="74"/>
      <c r="D821" s="74"/>
      <c r="E821" s="74"/>
      <c r="F821" s="74"/>
      <c r="G821" s="74"/>
    </row>
    <row r="822">
      <c r="A822" s="74"/>
      <c r="B822" s="74"/>
      <c r="C822" s="74"/>
      <c r="D822" s="74"/>
      <c r="E822" s="74"/>
      <c r="F822" s="74"/>
      <c r="G822" s="74"/>
    </row>
    <row r="823">
      <c r="A823" s="74"/>
      <c r="B823" s="74"/>
      <c r="C823" s="74"/>
      <c r="D823" s="74"/>
      <c r="E823" s="74"/>
      <c r="F823" s="74"/>
      <c r="G823" s="74"/>
    </row>
    <row r="824">
      <c r="A824" s="74"/>
      <c r="B824" s="74"/>
      <c r="C824" s="74"/>
      <c r="D824" s="74"/>
      <c r="E824" s="74"/>
      <c r="F824" s="74"/>
      <c r="G824" s="74"/>
    </row>
    <row r="825">
      <c r="A825" s="74"/>
      <c r="B825" s="74"/>
      <c r="C825" s="74"/>
      <c r="D825" s="74"/>
      <c r="E825" s="74"/>
      <c r="F825" s="74"/>
      <c r="G825" s="74"/>
    </row>
    <row r="826">
      <c r="A826" s="74"/>
      <c r="B826" s="74"/>
      <c r="C826" s="74"/>
      <c r="D826" s="74"/>
      <c r="E826" s="74"/>
      <c r="F826" s="74"/>
      <c r="G826" s="74"/>
    </row>
    <row r="827">
      <c r="A827" s="74"/>
      <c r="B827" s="74"/>
      <c r="C827" s="74"/>
      <c r="D827" s="74"/>
      <c r="E827" s="74"/>
      <c r="F827" s="74"/>
      <c r="G827" s="74"/>
    </row>
    <row r="828">
      <c r="A828" s="74"/>
      <c r="B828" s="74"/>
      <c r="C828" s="74"/>
      <c r="D828" s="74"/>
      <c r="E828" s="74"/>
      <c r="F828" s="74"/>
      <c r="G828" s="74"/>
    </row>
    <row r="829">
      <c r="A829" s="74"/>
      <c r="B829" s="74"/>
      <c r="C829" s="74"/>
      <c r="D829" s="74"/>
      <c r="E829" s="74"/>
      <c r="F829" s="74"/>
      <c r="G829" s="74"/>
    </row>
    <row r="830">
      <c r="A830" s="74"/>
      <c r="B830" s="74"/>
      <c r="C830" s="74"/>
      <c r="D830" s="74"/>
      <c r="E830" s="74"/>
      <c r="F830" s="74"/>
      <c r="G830" s="74"/>
    </row>
    <row r="831">
      <c r="A831" s="74"/>
      <c r="B831" s="74"/>
      <c r="C831" s="74"/>
      <c r="D831" s="74"/>
      <c r="E831" s="74"/>
      <c r="F831" s="74"/>
      <c r="G831" s="74"/>
    </row>
    <row r="832">
      <c r="A832" s="74"/>
      <c r="B832" s="74"/>
      <c r="C832" s="74"/>
      <c r="D832" s="74"/>
      <c r="E832" s="74"/>
      <c r="F832" s="74"/>
      <c r="G832" s="74"/>
    </row>
    <row r="833">
      <c r="A833" s="74"/>
      <c r="B833" s="74"/>
      <c r="C833" s="74"/>
      <c r="D833" s="74"/>
      <c r="E833" s="74"/>
      <c r="F833" s="74"/>
      <c r="G833" s="74"/>
    </row>
    <row r="834">
      <c r="A834" s="74"/>
      <c r="B834" s="74"/>
      <c r="C834" s="74"/>
      <c r="D834" s="74"/>
      <c r="E834" s="74"/>
      <c r="F834" s="74"/>
      <c r="G834" s="74"/>
    </row>
    <row r="835">
      <c r="A835" s="74"/>
      <c r="B835" s="74"/>
      <c r="C835" s="74"/>
      <c r="D835" s="74"/>
      <c r="E835" s="74"/>
      <c r="F835" s="74"/>
      <c r="G835" s="74"/>
    </row>
    <row r="836">
      <c r="A836" s="74"/>
      <c r="B836" s="74"/>
      <c r="C836" s="74"/>
      <c r="D836" s="74"/>
      <c r="E836" s="74"/>
      <c r="F836" s="74"/>
      <c r="G836" s="74"/>
    </row>
    <row r="837">
      <c r="A837" s="74"/>
      <c r="B837" s="74"/>
      <c r="C837" s="74"/>
      <c r="D837" s="74"/>
      <c r="E837" s="74"/>
      <c r="F837" s="74"/>
      <c r="G837" s="74"/>
    </row>
    <row r="838">
      <c r="A838" s="74"/>
      <c r="B838" s="74"/>
      <c r="C838" s="74"/>
      <c r="D838" s="74"/>
      <c r="E838" s="74"/>
      <c r="F838" s="74"/>
      <c r="G838" s="74"/>
    </row>
    <row r="839">
      <c r="A839" s="74"/>
      <c r="B839" s="74"/>
      <c r="C839" s="74"/>
      <c r="D839" s="74"/>
      <c r="E839" s="74"/>
      <c r="F839" s="74"/>
      <c r="G839" s="74"/>
    </row>
    <row r="840">
      <c r="A840" s="74"/>
      <c r="B840" s="74"/>
      <c r="C840" s="74"/>
      <c r="D840" s="74"/>
      <c r="E840" s="74"/>
      <c r="F840" s="74"/>
      <c r="G840" s="74"/>
    </row>
    <row r="841">
      <c r="A841" s="74"/>
      <c r="B841" s="74"/>
      <c r="C841" s="74"/>
      <c r="D841" s="74"/>
      <c r="E841" s="74"/>
      <c r="F841" s="74"/>
      <c r="G841" s="74"/>
    </row>
    <row r="842">
      <c r="A842" s="74"/>
      <c r="B842" s="74"/>
      <c r="C842" s="74"/>
      <c r="D842" s="74"/>
      <c r="E842" s="74"/>
      <c r="F842" s="74"/>
      <c r="G842" s="74"/>
    </row>
    <row r="843">
      <c r="A843" s="74"/>
      <c r="B843" s="74"/>
      <c r="C843" s="74"/>
      <c r="D843" s="74"/>
      <c r="E843" s="74"/>
      <c r="F843" s="74"/>
      <c r="G843" s="74"/>
    </row>
    <row r="844">
      <c r="A844" s="74"/>
      <c r="B844" s="74"/>
      <c r="C844" s="74"/>
      <c r="D844" s="74"/>
      <c r="E844" s="74"/>
      <c r="F844" s="74"/>
      <c r="G844" s="74"/>
    </row>
    <row r="845">
      <c r="A845" s="74"/>
      <c r="B845" s="74"/>
      <c r="C845" s="74"/>
      <c r="D845" s="74"/>
      <c r="E845" s="74"/>
      <c r="F845" s="74"/>
      <c r="G845" s="74"/>
    </row>
    <row r="846">
      <c r="A846" s="74"/>
      <c r="B846" s="74"/>
      <c r="C846" s="74"/>
      <c r="D846" s="74"/>
      <c r="E846" s="74"/>
      <c r="F846" s="74"/>
      <c r="G846" s="74"/>
    </row>
    <row r="847">
      <c r="A847" s="74"/>
      <c r="B847" s="74"/>
      <c r="C847" s="74"/>
      <c r="D847" s="74"/>
      <c r="E847" s="74"/>
      <c r="F847" s="74"/>
      <c r="G847" s="74"/>
    </row>
    <row r="848">
      <c r="A848" s="74"/>
      <c r="B848" s="74"/>
      <c r="C848" s="74"/>
      <c r="D848" s="74"/>
      <c r="E848" s="74"/>
      <c r="F848" s="74"/>
      <c r="G848" s="74"/>
    </row>
    <row r="849">
      <c r="A849" s="74"/>
      <c r="B849" s="74"/>
      <c r="C849" s="74"/>
      <c r="D849" s="74"/>
      <c r="E849" s="74"/>
      <c r="F849" s="74"/>
      <c r="G849" s="74"/>
    </row>
    <row r="850">
      <c r="A850" s="74"/>
      <c r="B850" s="74"/>
      <c r="C850" s="74"/>
      <c r="D850" s="74"/>
      <c r="E850" s="74"/>
      <c r="F850" s="74"/>
      <c r="G850" s="74"/>
    </row>
    <row r="851">
      <c r="A851" s="74"/>
      <c r="B851" s="74"/>
      <c r="C851" s="74"/>
      <c r="D851" s="74"/>
      <c r="E851" s="74"/>
      <c r="F851" s="74"/>
      <c r="G851" s="74"/>
    </row>
    <row r="852">
      <c r="A852" s="74"/>
      <c r="B852" s="74"/>
      <c r="C852" s="74"/>
      <c r="D852" s="74"/>
      <c r="E852" s="74"/>
      <c r="F852" s="74"/>
      <c r="G852" s="74"/>
    </row>
    <row r="853">
      <c r="A853" s="74"/>
      <c r="B853" s="74"/>
      <c r="C853" s="74"/>
      <c r="D853" s="74"/>
      <c r="E853" s="74"/>
      <c r="F853" s="74"/>
      <c r="G853" s="74"/>
    </row>
    <row r="854">
      <c r="A854" s="74"/>
      <c r="B854" s="74"/>
      <c r="C854" s="74"/>
      <c r="D854" s="74"/>
      <c r="E854" s="74"/>
      <c r="F854" s="74"/>
      <c r="G854" s="74"/>
    </row>
    <row r="855">
      <c r="A855" s="74"/>
      <c r="B855" s="74"/>
      <c r="C855" s="74"/>
      <c r="D855" s="74"/>
      <c r="E855" s="74"/>
      <c r="F855" s="74"/>
      <c r="G855" s="74"/>
    </row>
    <row r="856">
      <c r="A856" s="74"/>
      <c r="B856" s="74"/>
      <c r="C856" s="74"/>
      <c r="D856" s="74"/>
      <c r="E856" s="74"/>
      <c r="F856" s="74"/>
      <c r="G856" s="74"/>
    </row>
    <row r="857">
      <c r="A857" s="74"/>
      <c r="B857" s="74"/>
      <c r="C857" s="74"/>
      <c r="D857" s="74"/>
      <c r="E857" s="74"/>
      <c r="F857" s="74"/>
      <c r="G857" s="74"/>
    </row>
    <row r="858">
      <c r="A858" s="74"/>
      <c r="B858" s="74"/>
      <c r="C858" s="74"/>
      <c r="D858" s="74"/>
      <c r="E858" s="74"/>
      <c r="F858" s="74"/>
      <c r="G858" s="74"/>
    </row>
    <row r="859">
      <c r="A859" s="74"/>
      <c r="B859" s="74"/>
      <c r="C859" s="74"/>
      <c r="D859" s="74"/>
      <c r="E859" s="74"/>
      <c r="F859" s="74"/>
      <c r="G859" s="74"/>
    </row>
    <row r="860">
      <c r="A860" s="74"/>
      <c r="B860" s="74"/>
      <c r="C860" s="74"/>
      <c r="D860" s="74"/>
      <c r="E860" s="74"/>
      <c r="F860" s="74"/>
      <c r="G860" s="74"/>
    </row>
    <row r="861">
      <c r="A861" s="74"/>
      <c r="B861" s="74"/>
      <c r="C861" s="74"/>
      <c r="D861" s="74"/>
      <c r="E861" s="74"/>
      <c r="F861" s="74"/>
      <c r="G861" s="74"/>
    </row>
    <row r="862">
      <c r="A862" s="74"/>
      <c r="B862" s="74"/>
      <c r="C862" s="74"/>
      <c r="D862" s="74"/>
      <c r="E862" s="74"/>
      <c r="F862" s="74"/>
      <c r="G862" s="74"/>
    </row>
    <row r="863">
      <c r="A863" s="74"/>
      <c r="B863" s="74"/>
      <c r="C863" s="74"/>
      <c r="D863" s="74"/>
      <c r="E863" s="74"/>
      <c r="F863" s="74"/>
      <c r="G863" s="74"/>
    </row>
    <row r="864">
      <c r="A864" s="74"/>
      <c r="B864" s="74"/>
      <c r="C864" s="74"/>
      <c r="D864" s="74"/>
      <c r="E864" s="74"/>
      <c r="F864" s="74"/>
      <c r="G864" s="74"/>
    </row>
    <row r="865">
      <c r="A865" s="74"/>
      <c r="B865" s="74"/>
      <c r="C865" s="74"/>
      <c r="D865" s="74"/>
      <c r="E865" s="74"/>
      <c r="F865" s="74"/>
      <c r="G865" s="74"/>
    </row>
    <row r="866">
      <c r="A866" s="74"/>
      <c r="B866" s="74"/>
      <c r="C866" s="74"/>
      <c r="D866" s="74"/>
      <c r="E866" s="74"/>
      <c r="F866" s="74"/>
      <c r="G866" s="74"/>
    </row>
    <row r="867">
      <c r="A867" s="74"/>
      <c r="B867" s="74"/>
      <c r="C867" s="74"/>
      <c r="D867" s="74"/>
      <c r="E867" s="74"/>
      <c r="F867" s="74"/>
      <c r="G867" s="74"/>
    </row>
    <row r="868">
      <c r="A868" s="74"/>
      <c r="B868" s="74"/>
      <c r="C868" s="74"/>
      <c r="D868" s="74"/>
      <c r="E868" s="74"/>
      <c r="F868" s="74"/>
      <c r="G868" s="74"/>
    </row>
    <row r="869">
      <c r="A869" s="74"/>
      <c r="B869" s="74"/>
      <c r="C869" s="74"/>
      <c r="D869" s="74"/>
      <c r="E869" s="74"/>
      <c r="F869" s="74"/>
      <c r="G869" s="74"/>
    </row>
    <row r="870">
      <c r="A870" s="74"/>
      <c r="B870" s="74"/>
      <c r="C870" s="74"/>
      <c r="D870" s="74"/>
      <c r="E870" s="74"/>
      <c r="F870" s="74"/>
      <c r="G870" s="74"/>
    </row>
    <row r="871">
      <c r="A871" s="74"/>
      <c r="B871" s="74"/>
      <c r="C871" s="74"/>
      <c r="D871" s="74"/>
      <c r="E871" s="74"/>
      <c r="F871" s="74"/>
      <c r="G871" s="74"/>
    </row>
    <row r="872">
      <c r="A872" s="74"/>
      <c r="B872" s="74"/>
      <c r="C872" s="74"/>
      <c r="D872" s="74"/>
      <c r="E872" s="74"/>
      <c r="F872" s="74"/>
      <c r="G872" s="74"/>
    </row>
    <row r="873">
      <c r="A873" s="74"/>
      <c r="B873" s="74"/>
      <c r="C873" s="74"/>
      <c r="D873" s="74"/>
      <c r="E873" s="74"/>
      <c r="F873" s="74"/>
      <c r="G873" s="74"/>
    </row>
    <row r="874">
      <c r="A874" s="74"/>
      <c r="B874" s="74"/>
      <c r="C874" s="74"/>
      <c r="D874" s="74"/>
      <c r="E874" s="74"/>
      <c r="F874" s="74"/>
      <c r="G874" s="74"/>
    </row>
    <row r="875">
      <c r="A875" s="74"/>
      <c r="B875" s="74"/>
      <c r="C875" s="74"/>
      <c r="D875" s="74"/>
      <c r="E875" s="74"/>
      <c r="F875" s="74"/>
      <c r="G875" s="74"/>
    </row>
    <row r="876">
      <c r="A876" s="74"/>
      <c r="B876" s="74"/>
      <c r="C876" s="74"/>
      <c r="D876" s="74"/>
      <c r="E876" s="74"/>
      <c r="F876" s="74"/>
      <c r="G876" s="74"/>
    </row>
    <row r="877">
      <c r="A877" s="74"/>
      <c r="B877" s="74"/>
      <c r="C877" s="74"/>
      <c r="D877" s="74"/>
      <c r="E877" s="74"/>
      <c r="F877" s="74"/>
      <c r="G877" s="74"/>
    </row>
    <row r="878">
      <c r="A878" s="74"/>
      <c r="B878" s="74"/>
      <c r="C878" s="74"/>
      <c r="D878" s="74"/>
      <c r="E878" s="74"/>
      <c r="F878" s="74"/>
      <c r="G878" s="74"/>
    </row>
    <row r="879">
      <c r="A879" s="74"/>
      <c r="B879" s="74"/>
      <c r="C879" s="74"/>
      <c r="D879" s="74"/>
      <c r="E879" s="74"/>
      <c r="F879" s="74"/>
      <c r="G879" s="74"/>
    </row>
    <row r="880">
      <c r="A880" s="74"/>
      <c r="B880" s="74"/>
      <c r="C880" s="74"/>
      <c r="D880" s="74"/>
      <c r="E880" s="74"/>
      <c r="F880" s="74"/>
      <c r="G880" s="74"/>
    </row>
    <row r="881">
      <c r="A881" s="74"/>
      <c r="B881" s="74"/>
      <c r="C881" s="74"/>
      <c r="D881" s="74"/>
      <c r="E881" s="74"/>
      <c r="F881" s="74"/>
      <c r="G881" s="74"/>
    </row>
    <row r="882">
      <c r="A882" s="74"/>
      <c r="B882" s="74"/>
      <c r="C882" s="74"/>
      <c r="D882" s="74"/>
      <c r="E882" s="74"/>
      <c r="F882" s="74"/>
      <c r="G882" s="74"/>
    </row>
    <row r="883">
      <c r="A883" s="74"/>
      <c r="B883" s="74"/>
      <c r="C883" s="74"/>
      <c r="D883" s="74"/>
      <c r="E883" s="74"/>
      <c r="F883" s="74"/>
      <c r="G883" s="74"/>
    </row>
    <row r="884">
      <c r="A884" s="74"/>
      <c r="B884" s="74"/>
      <c r="C884" s="74"/>
      <c r="D884" s="74"/>
      <c r="E884" s="74"/>
      <c r="F884" s="74"/>
      <c r="G884" s="74"/>
    </row>
    <row r="885">
      <c r="A885" s="74"/>
      <c r="B885" s="74"/>
      <c r="C885" s="74"/>
      <c r="D885" s="74"/>
      <c r="E885" s="74"/>
      <c r="F885" s="74"/>
      <c r="G885" s="74"/>
    </row>
    <row r="886">
      <c r="A886" s="74"/>
      <c r="B886" s="74"/>
      <c r="C886" s="74"/>
      <c r="D886" s="74"/>
      <c r="E886" s="74"/>
      <c r="F886" s="74"/>
      <c r="G886" s="74"/>
    </row>
    <row r="887">
      <c r="A887" s="74"/>
      <c r="B887" s="74"/>
      <c r="C887" s="74"/>
      <c r="D887" s="74"/>
      <c r="E887" s="74"/>
      <c r="F887" s="74"/>
      <c r="G887" s="74"/>
    </row>
    <row r="888">
      <c r="A888" s="74"/>
      <c r="B888" s="74"/>
      <c r="C888" s="74"/>
      <c r="D888" s="74"/>
      <c r="E888" s="74"/>
      <c r="F888" s="74"/>
      <c r="G888" s="74"/>
    </row>
    <row r="889">
      <c r="A889" s="74"/>
      <c r="B889" s="74"/>
      <c r="C889" s="74"/>
      <c r="D889" s="74"/>
      <c r="E889" s="74"/>
      <c r="F889" s="74"/>
      <c r="G889" s="74"/>
    </row>
    <row r="890">
      <c r="A890" s="74"/>
      <c r="B890" s="74"/>
      <c r="C890" s="74"/>
      <c r="D890" s="74"/>
      <c r="E890" s="74"/>
      <c r="F890" s="74"/>
      <c r="G890" s="74"/>
    </row>
    <row r="891">
      <c r="A891" s="74"/>
      <c r="B891" s="74"/>
      <c r="C891" s="74"/>
      <c r="D891" s="74"/>
      <c r="E891" s="74"/>
      <c r="F891" s="74"/>
      <c r="G891" s="74"/>
    </row>
    <row r="892">
      <c r="A892" s="74"/>
      <c r="B892" s="74"/>
      <c r="C892" s="74"/>
      <c r="D892" s="74"/>
      <c r="E892" s="74"/>
      <c r="F892" s="74"/>
      <c r="G892" s="74"/>
    </row>
    <row r="893">
      <c r="A893" s="74"/>
      <c r="B893" s="74"/>
      <c r="C893" s="74"/>
      <c r="D893" s="74"/>
      <c r="E893" s="74"/>
      <c r="F893" s="74"/>
      <c r="G893" s="74"/>
    </row>
    <row r="894">
      <c r="A894" s="74"/>
      <c r="B894" s="74"/>
      <c r="C894" s="74"/>
      <c r="D894" s="74"/>
      <c r="E894" s="74"/>
      <c r="F894" s="74"/>
      <c r="G894" s="74"/>
    </row>
    <row r="895">
      <c r="A895" s="74"/>
      <c r="B895" s="74"/>
      <c r="C895" s="74"/>
      <c r="D895" s="74"/>
      <c r="E895" s="74"/>
      <c r="F895" s="74"/>
      <c r="G895" s="74"/>
    </row>
    <row r="896">
      <c r="A896" s="74"/>
      <c r="B896" s="74"/>
      <c r="C896" s="74"/>
      <c r="D896" s="74"/>
      <c r="E896" s="74"/>
      <c r="F896" s="74"/>
      <c r="G896" s="74"/>
    </row>
    <row r="897">
      <c r="A897" s="74"/>
      <c r="B897" s="74"/>
      <c r="C897" s="74"/>
      <c r="D897" s="74"/>
      <c r="E897" s="74"/>
      <c r="F897" s="74"/>
      <c r="G897" s="74"/>
    </row>
    <row r="898">
      <c r="A898" s="74"/>
      <c r="B898" s="74"/>
      <c r="C898" s="74"/>
      <c r="D898" s="74"/>
      <c r="E898" s="74"/>
      <c r="F898" s="74"/>
      <c r="G898" s="74"/>
    </row>
    <row r="899">
      <c r="A899" s="74"/>
      <c r="B899" s="74"/>
      <c r="C899" s="74"/>
      <c r="D899" s="74"/>
      <c r="E899" s="74"/>
      <c r="F899" s="74"/>
      <c r="G899" s="74"/>
    </row>
    <row r="900">
      <c r="A900" s="74"/>
      <c r="B900" s="74"/>
      <c r="C900" s="74"/>
      <c r="D900" s="74"/>
      <c r="E900" s="74"/>
      <c r="F900" s="74"/>
      <c r="G900" s="74"/>
    </row>
    <row r="901">
      <c r="A901" s="74"/>
      <c r="B901" s="74"/>
      <c r="C901" s="74"/>
      <c r="D901" s="74"/>
      <c r="E901" s="74"/>
      <c r="F901" s="74"/>
      <c r="G901" s="74"/>
    </row>
    <row r="902">
      <c r="A902" s="74"/>
      <c r="B902" s="74"/>
      <c r="C902" s="74"/>
      <c r="D902" s="74"/>
      <c r="E902" s="74"/>
      <c r="F902" s="74"/>
      <c r="G902" s="74"/>
    </row>
    <row r="903">
      <c r="A903" s="74"/>
      <c r="B903" s="74"/>
      <c r="C903" s="74"/>
      <c r="D903" s="74"/>
      <c r="E903" s="74"/>
      <c r="F903" s="74"/>
      <c r="G903" s="74"/>
    </row>
    <row r="904">
      <c r="A904" s="74"/>
      <c r="B904" s="74"/>
      <c r="C904" s="74"/>
      <c r="D904" s="74"/>
      <c r="E904" s="74"/>
      <c r="F904" s="74"/>
      <c r="G904" s="74"/>
    </row>
    <row r="905">
      <c r="A905" s="74"/>
      <c r="B905" s="74"/>
      <c r="C905" s="74"/>
      <c r="D905" s="74"/>
      <c r="E905" s="74"/>
      <c r="F905" s="74"/>
      <c r="G905" s="74"/>
    </row>
    <row r="906">
      <c r="A906" s="74"/>
      <c r="B906" s="74"/>
      <c r="C906" s="74"/>
      <c r="D906" s="74"/>
      <c r="E906" s="74"/>
      <c r="F906" s="74"/>
      <c r="G906" s="74"/>
    </row>
    <row r="907">
      <c r="A907" s="74"/>
      <c r="B907" s="74"/>
      <c r="C907" s="74"/>
      <c r="D907" s="74"/>
      <c r="E907" s="74"/>
      <c r="F907" s="74"/>
      <c r="G907" s="74"/>
    </row>
    <row r="908">
      <c r="A908" s="74"/>
      <c r="B908" s="74"/>
      <c r="C908" s="74"/>
      <c r="D908" s="74"/>
      <c r="E908" s="74"/>
      <c r="F908" s="74"/>
      <c r="G908" s="74"/>
    </row>
    <row r="909">
      <c r="A909" s="74"/>
      <c r="B909" s="74"/>
      <c r="C909" s="74"/>
      <c r="D909" s="74"/>
      <c r="E909" s="74"/>
      <c r="F909" s="74"/>
      <c r="G909" s="74"/>
    </row>
    <row r="910">
      <c r="A910" s="74"/>
      <c r="B910" s="74"/>
      <c r="C910" s="74"/>
      <c r="D910" s="74"/>
      <c r="E910" s="74"/>
      <c r="F910" s="74"/>
      <c r="G910" s="74"/>
    </row>
    <row r="911">
      <c r="A911" s="74"/>
      <c r="B911" s="74"/>
      <c r="C911" s="74"/>
      <c r="D911" s="74"/>
      <c r="E911" s="74"/>
      <c r="F911" s="74"/>
      <c r="G911" s="74"/>
    </row>
    <row r="912">
      <c r="A912" s="74"/>
      <c r="B912" s="74"/>
      <c r="C912" s="74"/>
      <c r="D912" s="74"/>
      <c r="E912" s="74"/>
      <c r="F912" s="74"/>
      <c r="G912" s="74"/>
    </row>
    <row r="913">
      <c r="A913" s="74"/>
      <c r="B913" s="74"/>
      <c r="C913" s="74"/>
      <c r="D913" s="74"/>
      <c r="E913" s="74"/>
      <c r="F913" s="74"/>
      <c r="G913" s="74"/>
    </row>
    <row r="914">
      <c r="A914" s="74"/>
      <c r="B914" s="74"/>
      <c r="C914" s="74"/>
      <c r="D914" s="74"/>
      <c r="E914" s="74"/>
      <c r="F914" s="74"/>
      <c r="G914" s="74"/>
    </row>
    <row r="915">
      <c r="A915" s="74"/>
      <c r="B915" s="74"/>
      <c r="C915" s="74"/>
      <c r="D915" s="74"/>
      <c r="E915" s="74"/>
      <c r="F915" s="74"/>
      <c r="G915" s="74"/>
    </row>
    <row r="916">
      <c r="A916" s="74"/>
      <c r="B916" s="74"/>
      <c r="C916" s="74"/>
      <c r="D916" s="74"/>
      <c r="E916" s="74"/>
      <c r="F916" s="74"/>
      <c r="G916" s="74"/>
    </row>
    <row r="917">
      <c r="A917" s="74"/>
      <c r="B917" s="74"/>
      <c r="C917" s="74"/>
      <c r="D917" s="74"/>
      <c r="E917" s="74"/>
      <c r="F917" s="74"/>
      <c r="G917" s="74"/>
    </row>
    <row r="918">
      <c r="A918" s="74"/>
      <c r="B918" s="74"/>
      <c r="C918" s="74"/>
      <c r="D918" s="74"/>
      <c r="E918" s="74"/>
      <c r="F918" s="74"/>
      <c r="G918" s="74"/>
    </row>
    <row r="919">
      <c r="A919" s="74"/>
      <c r="B919" s="74"/>
      <c r="C919" s="74"/>
      <c r="D919" s="74"/>
      <c r="E919" s="74"/>
      <c r="F919" s="74"/>
      <c r="G919" s="74"/>
    </row>
    <row r="920">
      <c r="A920" s="74"/>
      <c r="B920" s="74"/>
      <c r="C920" s="74"/>
      <c r="D920" s="74"/>
      <c r="E920" s="74"/>
      <c r="F920" s="74"/>
      <c r="G920" s="74"/>
    </row>
    <row r="921">
      <c r="A921" s="74"/>
      <c r="B921" s="74"/>
      <c r="C921" s="74"/>
      <c r="D921" s="74"/>
      <c r="E921" s="74"/>
      <c r="F921" s="74"/>
      <c r="G921" s="74"/>
    </row>
    <row r="922">
      <c r="A922" s="74"/>
      <c r="B922" s="74"/>
      <c r="C922" s="74"/>
      <c r="D922" s="74"/>
      <c r="E922" s="74"/>
      <c r="F922" s="74"/>
      <c r="G922" s="74"/>
    </row>
    <row r="923">
      <c r="A923" s="74"/>
      <c r="B923" s="74"/>
      <c r="C923" s="74"/>
      <c r="D923" s="74"/>
      <c r="E923" s="74"/>
      <c r="F923" s="74"/>
      <c r="G923" s="74"/>
    </row>
    <row r="924">
      <c r="A924" s="74"/>
      <c r="B924" s="74"/>
      <c r="C924" s="74"/>
      <c r="D924" s="74"/>
      <c r="E924" s="74"/>
      <c r="F924" s="74"/>
      <c r="G924" s="74"/>
    </row>
    <row r="925">
      <c r="A925" s="74"/>
      <c r="B925" s="74"/>
      <c r="C925" s="74"/>
      <c r="D925" s="74"/>
      <c r="E925" s="74"/>
      <c r="F925" s="74"/>
      <c r="G925" s="74"/>
    </row>
    <row r="926">
      <c r="A926" s="74"/>
      <c r="B926" s="74"/>
      <c r="C926" s="74"/>
      <c r="D926" s="74"/>
      <c r="E926" s="74"/>
      <c r="F926" s="74"/>
      <c r="G926" s="74"/>
    </row>
    <row r="927">
      <c r="A927" s="74"/>
      <c r="B927" s="74"/>
      <c r="C927" s="74"/>
      <c r="D927" s="74"/>
      <c r="E927" s="74"/>
      <c r="F927" s="74"/>
      <c r="G927" s="74"/>
    </row>
    <row r="928">
      <c r="A928" s="74"/>
      <c r="B928" s="74"/>
      <c r="C928" s="74"/>
      <c r="D928" s="74"/>
      <c r="E928" s="74"/>
      <c r="F928" s="74"/>
      <c r="G928" s="74"/>
    </row>
    <row r="929">
      <c r="A929" s="74"/>
      <c r="B929" s="74"/>
      <c r="C929" s="74"/>
      <c r="D929" s="74"/>
      <c r="E929" s="74"/>
      <c r="F929" s="74"/>
      <c r="G929" s="74"/>
    </row>
    <row r="930">
      <c r="A930" s="74"/>
      <c r="B930" s="74"/>
      <c r="C930" s="74"/>
      <c r="D930" s="74"/>
      <c r="E930" s="74"/>
      <c r="F930" s="74"/>
      <c r="G930" s="74"/>
    </row>
    <row r="931">
      <c r="A931" s="74"/>
      <c r="B931" s="74"/>
      <c r="C931" s="74"/>
      <c r="D931" s="74"/>
      <c r="E931" s="74"/>
      <c r="F931" s="74"/>
      <c r="G931" s="74"/>
    </row>
    <row r="932">
      <c r="A932" s="74"/>
      <c r="B932" s="74"/>
      <c r="C932" s="74"/>
      <c r="D932" s="74"/>
      <c r="E932" s="74"/>
      <c r="F932" s="74"/>
      <c r="G932" s="74"/>
    </row>
    <row r="933">
      <c r="A933" s="74"/>
      <c r="B933" s="74"/>
      <c r="C933" s="74"/>
      <c r="D933" s="74"/>
      <c r="E933" s="74"/>
      <c r="F933" s="74"/>
      <c r="G933" s="74"/>
    </row>
    <row r="934">
      <c r="A934" s="74"/>
      <c r="B934" s="74"/>
      <c r="C934" s="74"/>
      <c r="D934" s="74"/>
      <c r="E934" s="74"/>
      <c r="F934" s="74"/>
      <c r="G934" s="74"/>
    </row>
    <row r="935">
      <c r="A935" s="74"/>
      <c r="B935" s="74"/>
      <c r="C935" s="74"/>
      <c r="D935" s="74"/>
      <c r="E935" s="74"/>
      <c r="F935" s="74"/>
      <c r="G935" s="74"/>
    </row>
    <row r="936">
      <c r="A936" s="74"/>
      <c r="B936" s="74"/>
      <c r="C936" s="74"/>
      <c r="D936" s="74"/>
      <c r="E936" s="74"/>
      <c r="F936" s="74"/>
      <c r="G936" s="74"/>
    </row>
    <row r="937">
      <c r="A937" s="74"/>
      <c r="B937" s="74"/>
      <c r="C937" s="74"/>
      <c r="D937" s="74"/>
      <c r="E937" s="74"/>
      <c r="F937" s="74"/>
      <c r="G937" s="74"/>
    </row>
    <row r="938">
      <c r="A938" s="74"/>
      <c r="B938" s="74"/>
      <c r="C938" s="74"/>
      <c r="D938" s="74"/>
      <c r="E938" s="74"/>
      <c r="F938" s="74"/>
      <c r="G938" s="74"/>
    </row>
    <row r="939">
      <c r="A939" s="74"/>
      <c r="B939" s="74"/>
      <c r="C939" s="74"/>
      <c r="D939" s="74"/>
      <c r="E939" s="74"/>
      <c r="F939" s="74"/>
      <c r="G939" s="74"/>
    </row>
    <row r="940">
      <c r="A940" s="74"/>
      <c r="B940" s="74"/>
      <c r="C940" s="74"/>
      <c r="D940" s="74"/>
      <c r="E940" s="74"/>
      <c r="F940" s="74"/>
      <c r="G940" s="74"/>
    </row>
    <row r="941">
      <c r="A941" s="74"/>
      <c r="B941" s="74"/>
      <c r="C941" s="74"/>
      <c r="D941" s="74"/>
      <c r="E941" s="74"/>
      <c r="F941" s="74"/>
      <c r="G941" s="74"/>
    </row>
    <row r="942">
      <c r="A942" s="74"/>
      <c r="B942" s="74"/>
      <c r="C942" s="74"/>
      <c r="D942" s="74"/>
      <c r="E942" s="74"/>
      <c r="F942" s="74"/>
      <c r="G942" s="74"/>
    </row>
    <row r="943">
      <c r="A943" s="74"/>
      <c r="B943" s="74"/>
      <c r="C943" s="74"/>
      <c r="D943" s="74"/>
      <c r="E943" s="74"/>
      <c r="F943" s="74"/>
      <c r="G943" s="74"/>
    </row>
    <row r="944">
      <c r="A944" s="74"/>
      <c r="B944" s="74"/>
      <c r="C944" s="74"/>
      <c r="D944" s="74"/>
      <c r="E944" s="74"/>
      <c r="F944" s="74"/>
      <c r="G944" s="74"/>
    </row>
    <row r="945">
      <c r="A945" s="74"/>
      <c r="B945" s="74"/>
      <c r="C945" s="74"/>
      <c r="D945" s="74"/>
      <c r="E945" s="74"/>
      <c r="F945" s="74"/>
      <c r="G945" s="74"/>
    </row>
    <row r="946">
      <c r="A946" s="74"/>
      <c r="B946" s="74"/>
      <c r="C946" s="74"/>
      <c r="D946" s="74"/>
      <c r="E946" s="74"/>
      <c r="F946" s="74"/>
      <c r="G946" s="74"/>
    </row>
    <row r="947">
      <c r="A947" s="74"/>
      <c r="B947" s="74"/>
      <c r="C947" s="74"/>
      <c r="D947" s="74"/>
      <c r="E947" s="74"/>
      <c r="F947" s="74"/>
      <c r="G947" s="74"/>
    </row>
    <row r="948">
      <c r="A948" s="74"/>
      <c r="B948" s="74"/>
      <c r="C948" s="74"/>
      <c r="D948" s="74"/>
      <c r="E948" s="74"/>
      <c r="F948" s="74"/>
      <c r="G948" s="74"/>
    </row>
    <row r="949">
      <c r="A949" s="74"/>
      <c r="B949" s="74"/>
      <c r="C949" s="74"/>
      <c r="D949" s="74"/>
      <c r="E949" s="74"/>
      <c r="F949" s="74"/>
      <c r="G949" s="74"/>
    </row>
    <row r="950">
      <c r="A950" s="74"/>
      <c r="B950" s="74"/>
      <c r="C950" s="74"/>
      <c r="D950" s="74"/>
      <c r="E950" s="74"/>
      <c r="F950" s="74"/>
      <c r="G950" s="74"/>
    </row>
    <row r="951">
      <c r="A951" s="74"/>
      <c r="B951" s="74"/>
      <c r="C951" s="74"/>
      <c r="D951" s="74"/>
      <c r="E951" s="74"/>
      <c r="F951" s="74"/>
      <c r="G951" s="74"/>
    </row>
    <row r="952">
      <c r="A952" s="74"/>
      <c r="B952" s="74"/>
      <c r="C952" s="74"/>
      <c r="D952" s="74"/>
      <c r="E952" s="74"/>
      <c r="F952" s="74"/>
      <c r="G952" s="74"/>
    </row>
    <row r="953">
      <c r="A953" s="74"/>
      <c r="B953" s="74"/>
      <c r="C953" s="74"/>
      <c r="D953" s="74"/>
      <c r="E953" s="74"/>
      <c r="F953" s="74"/>
      <c r="G953" s="74"/>
    </row>
    <row r="954">
      <c r="A954" s="74"/>
      <c r="B954" s="74"/>
      <c r="C954" s="74"/>
      <c r="D954" s="74"/>
      <c r="E954" s="74"/>
      <c r="F954" s="74"/>
      <c r="G954" s="74"/>
    </row>
    <row r="955">
      <c r="A955" s="74"/>
      <c r="B955" s="74"/>
      <c r="C955" s="74"/>
      <c r="D955" s="74"/>
      <c r="E955" s="74"/>
      <c r="F955" s="74"/>
      <c r="G955" s="74"/>
    </row>
    <row r="956">
      <c r="A956" s="74"/>
      <c r="B956" s="74"/>
      <c r="C956" s="74"/>
      <c r="D956" s="74"/>
      <c r="E956" s="74"/>
      <c r="F956" s="74"/>
      <c r="G956" s="74"/>
    </row>
    <row r="957">
      <c r="A957" s="74"/>
      <c r="B957" s="74"/>
      <c r="C957" s="74"/>
      <c r="D957" s="74"/>
      <c r="E957" s="74"/>
      <c r="F957" s="74"/>
      <c r="G957" s="74"/>
    </row>
    <row r="958">
      <c r="A958" s="74"/>
      <c r="B958" s="74"/>
      <c r="C958" s="74"/>
      <c r="D958" s="74"/>
      <c r="E958" s="74"/>
      <c r="F958" s="74"/>
      <c r="G958" s="74"/>
    </row>
    <row r="959">
      <c r="A959" s="74"/>
      <c r="B959" s="74"/>
      <c r="C959" s="74"/>
      <c r="D959" s="74"/>
      <c r="E959" s="74"/>
      <c r="F959" s="74"/>
      <c r="G959" s="74"/>
    </row>
    <row r="960">
      <c r="A960" s="74"/>
      <c r="B960" s="74"/>
      <c r="C960" s="74"/>
      <c r="D960" s="74"/>
      <c r="E960" s="74"/>
      <c r="F960" s="74"/>
      <c r="G960" s="74"/>
    </row>
    <row r="961">
      <c r="A961" s="74"/>
      <c r="B961" s="74"/>
      <c r="C961" s="74"/>
      <c r="D961" s="74"/>
      <c r="E961" s="74"/>
      <c r="F961" s="74"/>
      <c r="G961" s="74"/>
    </row>
    <row r="962">
      <c r="A962" s="74"/>
      <c r="B962" s="74"/>
      <c r="C962" s="74"/>
      <c r="D962" s="74"/>
      <c r="E962" s="74"/>
      <c r="F962" s="74"/>
      <c r="G962" s="74"/>
    </row>
    <row r="963">
      <c r="A963" s="74"/>
      <c r="B963" s="74"/>
      <c r="C963" s="74"/>
      <c r="D963" s="74"/>
      <c r="E963" s="74"/>
      <c r="F963" s="74"/>
      <c r="G963" s="74"/>
    </row>
    <row r="964">
      <c r="A964" s="74"/>
      <c r="B964" s="74"/>
      <c r="C964" s="74"/>
      <c r="D964" s="74"/>
      <c r="E964" s="74"/>
      <c r="F964" s="74"/>
      <c r="G964" s="74"/>
    </row>
    <row r="965">
      <c r="A965" s="74"/>
      <c r="B965" s="74"/>
      <c r="C965" s="74"/>
      <c r="D965" s="74"/>
      <c r="E965" s="74"/>
      <c r="F965" s="74"/>
      <c r="G965" s="74"/>
    </row>
    <row r="966">
      <c r="A966" s="74"/>
      <c r="B966" s="74"/>
      <c r="C966" s="74"/>
      <c r="D966" s="74"/>
      <c r="E966" s="74"/>
      <c r="F966" s="74"/>
      <c r="G966" s="74"/>
    </row>
    <row r="967">
      <c r="A967" s="74"/>
      <c r="B967" s="74"/>
      <c r="C967" s="74"/>
      <c r="D967" s="74"/>
      <c r="E967" s="74"/>
      <c r="F967" s="74"/>
      <c r="G967" s="74"/>
    </row>
    <row r="968">
      <c r="A968" s="74"/>
      <c r="B968" s="74"/>
      <c r="C968" s="74"/>
      <c r="D968" s="74"/>
      <c r="E968" s="74"/>
      <c r="F968" s="74"/>
      <c r="G968" s="74"/>
    </row>
    <row r="969">
      <c r="A969" s="74"/>
      <c r="B969" s="74"/>
      <c r="C969" s="74"/>
      <c r="D969" s="74"/>
      <c r="E969" s="74"/>
      <c r="F969" s="74"/>
      <c r="G969" s="74"/>
    </row>
    <row r="970">
      <c r="A970" s="74"/>
      <c r="B970" s="74"/>
      <c r="C970" s="74"/>
      <c r="D970" s="74"/>
      <c r="E970" s="74"/>
      <c r="F970" s="74"/>
      <c r="G970" s="74"/>
    </row>
    <row r="971">
      <c r="A971" s="74"/>
      <c r="B971" s="74"/>
      <c r="C971" s="74"/>
      <c r="D971" s="74"/>
      <c r="E971" s="74"/>
      <c r="F971" s="74"/>
      <c r="G971" s="74"/>
    </row>
    <row r="972">
      <c r="A972" s="74"/>
      <c r="B972" s="74"/>
      <c r="C972" s="74"/>
      <c r="D972" s="74"/>
      <c r="E972" s="74"/>
      <c r="F972" s="74"/>
      <c r="G972" s="74"/>
    </row>
    <row r="973">
      <c r="A973" s="74"/>
      <c r="B973" s="74"/>
      <c r="C973" s="74"/>
      <c r="D973" s="74"/>
      <c r="E973" s="74"/>
      <c r="F973" s="74"/>
      <c r="G973" s="74"/>
    </row>
    <row r="974">
      <c r="A974" s="74"/>
      <c r="B974" s="74"/>
      <c r="C974" s="74"/>
      <c r="D974" s="74"/>
      <c r="E974" s="74"/>
      <c r="F974" s="74"/>
      <c r="G974" s="74"/>
    </row>
    <row r="975">
      <c r="A975" s="74"/>
      <c r="B975" s="74"/>
      <c r="C975" s="74"/>
      <c r="D975" s="74"/>
      <c r="E975" s="74"/>
      <c r="F975" s="74"/>
      <c r="G975" s="74"/>
    </row>
    <row r="976">
      <c r="A976" s="74"/>
      <c r="B976" s="74"/>
      <c r="C976" s="74"/>
      <c r="D976" s="74"/>
      <c r="E976" s="74"/>
      <c r="F976" s="74"/>
      <c r="G976" s="74"/>
    </row>
    <row r="977">
      <c r="A977" s="74"/>
      <c r="B977" s="74"/>
      <c r="C977" s="74"/>
      <c r="D977" s="74"/>
      <c r="E977" s="74"/>
      <c r="F977" s="74"/>
      <c r="G977" s="74"/>
    </row>
    <row r="978">
      <c r="A978" s="74"/>
      <c r="B978" s="74"/>
      <c r="C978" s="74"/>
      <c r="D978" s="74"/>
      <c r="E978" s="74"/>
      <c r="F978" s="74"/>
      <c r="G978" s="74"/>
    </row>
    <row r="979">
      <c r="A979" s="74"/>
      <c r="B979" s="74"/>
      <c r="C979" s="74"/>
      <c r="D979" s="74"/>
      <c r="E979" s="74"/>
      <c r="F979" s="74"/>
      <c r="G979" s="74"/>
    </row>
    <row r="980">
      <c r="A980" s="74"/>
      <c r="B980" s="74"/>
      <c r="C980" s="74"/>
      <c r="D980" s="74"/>
      <c r="E980" s="74"/>
      <c r="F980" s="74"/>
      <c r="G980" s="74"/>
    </row>
    <row r="981">
      <c r="A981" s="74"/>
      <c r="B981" s="74"/>
      <c r="C981" s="74"/>
      <c r="D981" s="74"/>
      <c r="E981" s="74"/>
      <c r="F981" s="74"/>
      <c r="G981" s="74"/>
    </row>
    <row r="982">
      <c r="A982" s="74"/>
      <c r="B982" s="74"/>
      <c r="C982" s="74"/>
      <c r="D982" s="74"/>
      <c r="E982" s="74"/>
      <c r="F982" s="74"/>
      <c r="G982" s="74"/>
    </row>
    <row r="983">
      <c r="A983" s="74"/>
      <c r="B983" s="74"/>
      <c r="C983" s="74"/>
      <c r="D983" s="74"/>
      <c r="E983" s="74"/>
      <c r="F983" s="74"/>
      <c r="G983" s="74"/>
    </row>
    <row r="984">
      <c r="A984" s="74"/>
      <c r="B984" s="74"/>
      <c r="C984" s="74"/>
      <c r="D984" s="74"/>
      <c r="E984" s="74"/>
      <c r="F984" s="74"/>
      <c r="G984" s="74"/>
    </row>
    <row r="985">
      <c r="A985" s="74"/>
      <c r="B985" s="74"/>
      <c r="C985" s="74"/>
      <c r="D985" s="74"/>
      <c r="E985" s="74"/>
      <c r="F985" s="74"/>
      <c r="G985" s="74"/>
    </row>
    <row r="986">
      <c r="A986" s="74"/>
      <c r="B986" s="74"/>
      <c r="C986" s="74"/>
      <c r="D986" s="74"/>
      <c r="E986" s="74"/>
      <c r="F986" s="74"/>
      <c r="G986" s="74"/>
    </row>
    <row r="987">
      <c r="A987" s="74"/>
      <c r="B987" s="74"/>
      <c r="C987" s="74"/>
      <c r="D987" s="74"/>
      <c r="E987" s="74"/>
      <c r="F987" s="74"/>
      <c r="G987" s="74"/>
    </row>
    <row r="988">
      <c r="A988" s="74"/>
      <c r="B988" s="74"/>
      <c r="C988" s="74"/>
      <c r="D988" s="74"/>
      <c r="E988" s="74"/>
      <c r="F988" s="74"/>
      <c r="G988" s="74"/>
    </row>
    <row r="989">
      <c r="A989" s="74"/>
      <c r="B989" s="74"/>
      <c r="C989" s="74"/>
      <c r="D989" s="74"/>
      <c r="E989" s="74"/>
      <c r="F989" s="74"/>
      <c r="G989" s="74"/>
    </row>
    <row r="990">
      <c r="A990" s="74"/>
      <c r="B990" s="74"/>
      <c r="C990" s="74"/>
      <c r="D990" s="74"/>
      <c r="E990" s="74"/>
      <c r="F990" s="74"/>
      <c r="G990" s="74"/>
    </row>
    <row r="991">
      <c r="A991" s="74"/>
      <c r="B991" s="74"/>
      <c r="C991" s="74"/>
      <c r="D991" s="74"/>
      <c r="E991" s="74"/>
      <c r="F991" s="74"/>
      <c r="G991" s="74"/>
    </row>
    <row r="992">
      <c r="A992" s="74"/>
      <c r="B992" s="74"/>
      <c r="C992" s="74"/>
      <c r="D992" s="74"/>
      <c r="E992" s="74"/>
      <c r="F992" s="74"/>
      <c r="G992" s="74"/>
    </row>
    <row r="993">
      <c r="A993" s="74"/>
      <c r="B993" s="74"/>
      <c r="C993" s="74"/>
      <c r="D993" s="74"/>
      <c r="E993" s="74"/>
      <c r="F993" s="74"/>
      <c r="G993" s="74"/>
    </row>
    <row r="994">
      <c r="A994" s="74"/>
      <c r="B994" s="74"/>
      <c r="C994" s="74"/>
      <c r="D994" s="74"/>
      <c r="E994" s="74"/>
      <c r="F994" s="74"/>
      <c r="G994" s="74"/>
    </row>
    <row r="995">
      <c r="A995" s="74"/>
      <c r="B995" s="74"/>
      <c r="C995" s="74"/>
      <c r="D995" s="74"/>
      <c r="E995" s="74"/>
      <c r="F995" s="74"/>
      <c r="G995" s="74"/>
    </row>
    <row r="996">
      <c r="A996" s="74"/>
      <c r="B996" s="74"/>
      <c r="C996" s="74"/>
      <c r="D996" s="74"/>
      <c r="E996" s="74"/>
      <c r="F996" s="74"/>
      <c r="G996" s="74"/>
    </row>
    <row r="997">
      <c r="A997" s="74"/>
      <c r="B997" s="74"/>
      <c r="C997" s="74"/>
      <c r="D997" s="74"/>
      <c r="E997" s="74"/>
      <c r="F997" s="74"/>
      <c r="G997" s="74"/>
    </row>
    <row r="998">
      <c r="A998" s="74"/>
      <c r="B998" s="74"/>
      <c r="C998" s="74"/>
      <c r="D998" s="74"/>
      <c r="E998" s="74"/>
      <c r="F998" s="74"/>
      <c r="G998" s="74"/>
    </row>
    <row r="999">
      <c r="A999" s="74"/>
      <c r="B999" s="74"/>
      <c r="C999" s="74"/>
      <c r="D999" s="74"/>
      <c r="E999" s="74"/>
      <c r="F999" s="74"/>
      <c r="G999" s="74"/>
    </row>
    <row r="1000">
      <c r="A1000" s="74"/>
      <c r="B1000" s="74"/>
      <c r="C1000" s="74"/>
      <c r="D1000" s="74"/>
      <c r="E1000" s="74"/>
      <c r="F1000" s="74"/>
      <c r="G1000" s="74"/>
    </row>
    <row r="1001">
      <c r="A1001" s="74"/>
      <c r="B1001" s="74"/>
      <c r="C1001" s="74"/>
      <c r="D1001" s="74"/>
      <c r="E1001" s="74"/>
      <c r="F1001" s="74"/>
      <c r="G1001" s="74"/>
    </row>
    <row r="1002">
      <c r="A1002" s="74"/>
      <c r="B1002" s="74"/>
      <c r="C1002" s="74"/>
      <c r="D1002" s="74"/>
      <c r="E1002" s="74"/>
      <c r="F1002" s="74"/>
      <c r="G1002" s="74"/>
    </row>
    <row r="1003">
      <c r="A1003" s="74"/>
      <c r="B1003" s="74"/>
      <c r="C1003" s="74"/>
      <c r="D1003" s="74"/>
      <c r="E1003" s="74"/>
      <c r="F1003" s="74"/>
      <c r="G1003" s="74"/>
    </row>
    <row r="1004">
      <c r="A1004" s="74"/>
      <c r="B1004" s="74"/>
      <c r="C1004" s="74"/>
      <c r="D1004" s="74"/>
      <c r="E1004" s="74"/>
      <c r="F1004" s="74"/>
      <c r="G1004" s="74"/>
    </row>
    <row r="1005">
      <c r="A1005" s="74"/>
      <c r="B1005" s="74"/>
      <c r="C1005" s="74"/>
      <c r="D1005" s="74"/>
      <c r="E1005" s="74"/>
      <c r="F1005" s="74"/>
      <c r="G1005" s="74"/>
    </row>
    <row r="1006">
      <c r="A1006" s="74"/>
      <c r="B1006" s="74"/>
      <c r="C1006" s="74"/>
      <c r="D1006" s="74"/>
      <c r="E1006" s="74"/>
      <c r="F1006" s="74"/>
      <c r="G1006" s="74"/>
    </row>
    <row r="1007">
      <c r="A1007" s="74"/>
      <c r="B1007" s="74"/>
      <c r="C1007" s="74"/>
      <c r="D1007" s="74"/>
      <c r="E1007" s="74"/>
      <c r="F1007" s="74"/>
      <c r="G1007" s="74"/>
    </row>
    <row r="1008">
      <c r="A1008" s="74"/>
      <c r="B1008" s="74"/>
      <c r="C1008" s="74"/>
      <c r="D1008" s="74"/>
      <c r="E1008" s="74"/>
      <c r="F1008" s="74"/>
      <c r="G1008" s="74"/>
    </row>
    <row r="1009">
      <c r="A1009" s="74"/>
      <c r="B1009" s="74"/>
      <c r="C1009" s="74"/>
      <c r="D1009" s="74"/>
      <c r="E1009" s="74"/>
      <c r="F1009" s="74"/>
      <c r="G1009" s="7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6" t="s">
        <v>252</v>
      </c>
      <c r="B1" s="69" t="s">
        <v>6</v>
      </c>
      <c r="C1" s="77" t="s">
        <v>271</v>
      </c>
      <c r="D1" s="69" t="s">
        <v>282</v>
      </c>
      <c r="E1" s="69" t="s">
        <v>203</v>
      </c>
      <c r="F1" s="69" t="s">
        <v>283</v>
      </c>
      <c r="G1" s="32" t="s">
        <v>208</v>
      </c>
      <c r="H1" s="32" t="s">
        <v>206</v>
      </c>
      <c r="I1" s="32" t="s">
        <v>207</v>
      </c>
      <c r="J1" s="69" t="s">
        <v>284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32" t="s">
        <v>236</v>
      </c>
      <c r="V1" s="70" t="s">
        <v>239</v>
      </c>
      <c r="W1" s="69" t="s">
        <v>273</v>
      </c>
      <c r="X1" s="70" t="s">
        <v>240</v>
      </c>
      <c r="Y1" s="77" t="s">
        <v>243</v>
      </c>
    </row>
    <row r="2">
      <c r="A2" s="78">
        <v>1.0</v>
      </c>
      <c r="B2" s="66" t="s">
        <v>34</v>
      </c>
      <c r="C2" s="3" t="str">
        <f t="array" ref="C2">XLOOKUP(B2, 'Surfer Stats - Event 4'!B:B, 'Surfer Stats - Event 4'!D:D)</f>
        <v>Goofy</v>
      </c>
      <c r="D2" s="3">
        <f t="shared" ref="D2:D46" si="1">SUM(N2+Q2+T2)</f>
        <v>12</v>
      </c>
      <c r="E2" s="10">
        <v>0.0</v>
      </c>
      <c r="F2" s="10">
        <v>0.0</v>
      </c>
      <c r="G2" s="10">
        <v>3.0</v>
      </c>
      <c r="H2" s="10">
        <v>13.0</v>
      </c>
      <c r="I2" s="10">
        <v>13.0</v>
      </c>
      <c r="J2" s="3">
        <f>COUNTIFS( historical_events_FACT!J:J, "&gt;16", historical_events_FACT!G:G, B2,historical_events_FACT!C:C, "6" )</f>
        <v>1</v>
      </c>
      <c r="K2" s="3">
        <f t="shared" ref="K2:K46" si="2">IF(D2=0,0, ROUND(SUM(P2,S2,M2)/D2,2))</f>
        <v>13.58</v>
      </c>
      <c r="L2" s="3">
        <f t="shared" ref="L2:L10" si="3">IF(M2=0,0,ROUND(M2/N2,2))</f>
        <v>15.61</v>
      </c>
      <c r="M2" s="3">
        <f>SUMIFS( '2014Data'!I:I, '2014Data'!F:F, B2,'2014Data'!B:B, "6" )</f>
        <v>93.67</v>
      </c>
      <c r="N2" s="3">
        <f>COUNTIFS('2014Data'!F:F, B2,'2014Data'!B:B, "6" )</f>
        <v>6</v>
      </c>
      <c r="O2" s="3">
        <f t="shared" ref="O2:O17" si="4">IF(P2=0,0,ROUND(P2/Q2,2))</f>
        <v>13.4</v>
      </c>
      <c r="P2" s="3">
        <f>SUMIFS( historical_events_FACT!J:J, historical_events_FACT!G:G, B2,historical_events_FACT!B:B, "2015",historical_events_FACT!C:C, "6" )</f>
        <v>40.2</v>
      </c>
      <c r="Q2" s="3">
        <f>COUNTIFS(historical_events_FACT!G:G, B2,historical_events_FACT!B:B, "2015",historical_events_FACT!C:C, "6" )</f>
        <v>3</v>
      </c>
      <c r="R2" s="3">
        <f t="shared" ref="R2:R44" si="5">IF(T2=0,0,ROUND(S2/T2,2))</f>
        <v>9.69</v>
      </c>
      <c r="S2" s="3">
        <f>SUMIFS( historical_events_FACT!J:J, historical_events_FACT!G:G, B2,historical_events_FACT!B:B, "2016",historical_events_FACT!C:C, "6" )</f>
        <v>29.07</v>
      </c>
      <c r="T2" s="3">
        <f>COUNTIFS(historical_events_FACT!G:G, B2,historical_events_FACT!B:B, "2016",historical_events_FACT!C:C, "6" )</f>
        <v>3</v>
      </c>
      <c r="U2" s="3">
        <f>MAXIFS( historical_events_FACT!J:J, historical_events_FACT!G:G, B2,historical_events_FACT!C:C, "6" )</f>
        <v>16.07</v>
      </c>
      <c r="V2" s="3">
        <f t="array" ref="V2">ROUND(AVERAGEIF({ IFERROR(XLOOKUP(B2, 'Surfer Stats - Event 4'!B:B, 'Surfer Stats - Event 4'!AF:AF), ""), IFERROR(XLOOKUP(B2, 'Surfer Stats - Event 5'!B:B, 'Surfer Stats - Event 5'!AA:AA), ""), IFERROR(XLOOKUP(B2, 'Surfer Stats - Event 3'!B:B, 'Surfer Stats - Event 3'!AF:AF), "") }, "&lt;&gt;"),2)</f>
        <v>67.74</v>
      </c>
      <c r="W2" s="3">
        <f t="array" ref="W2">XLOOKUP(B2, 'Surfer Stats - Event 5'!B:B, 'Surfer Stats - Event 5'!AA:AA)</f>
        <v>91.44</v>
      </c>
      <c r="X2" s="3">
        <f t="array" ref="X2">XLOOKUP(B2,'Event 6 Assist'!A:A, 'Event 6 Assist'!B:B)</f>
        <v>26750</v>
      </c>
      <c r="Y2" s="103">
        <v>74.61</v>
      </c>
    </row>
    <row r="3">
      <c r="A3" s="78">
        <v>1.0</v>
      </c>
      <c r="B3" s="66" t="s">
        <v>26</v>
      </c>
      <c r="C3" s="3" t="str">
        <f t="array" ref="C3">XLOOKUP(B3, 'Surfer Stats - Event 4'!B:B, 'Surfer Stats - Event 4'!D:D)</f>
        <v>Regular</v>
      </c>
      <c r="D3" s="3">
        <f t="shared" si="1"/>
        <v>14</v>
      </c>
      <c r="E3" s="10">
        <v>0.0</v>
      </c>
      <c r="F3" s="10">
        <v>0.0</v>
      </c>
      <c r="G3" s="10">
        <v>13.0</v>
      </c>
      <c r="H3" s="10">
        <v>2.0</v>
      </c>
      <c r="I3" s="10">
        <v>99.0</v>
      </c>
      <c r="J3" s="3">
        <f>COUNTIFS( historical_events_FACT!J:J, "&gt;16", historical_events_FACT!G:G, B3,historical_events_FACT!C:C, "6" )</f>
        <v>4</v>
      </c>
      <c r="K3" s="3">
        <f t="shared" si="2"/>
        <v>13.8</v>
      </c>
      <c r="L3" s="3">
        <f t="shared" si="3"/>
        <v>10.87</v>
      </c>
      <c r="M3" s="3">
        <f>SUMIFS( '2014Data'!I:I, '2014Data'!F:F, B3,'2014Data'!B:B, "6" )</f>
        <v>21.74</v>
      </c>
      <c r="N3" s="3">
        <f>COUNTIFS('2014Data'!F:F, B3,'2014Data'!B:B, "6" )</f>
        <v>2</v>
      </c>
      <c r="O3" s="3">
        <f t="shared" si="4"/>
        <v>12.88</v>
      </c>
      <c r="P3" s="10">
        <v>64.42</v>
      </c>
      <c r="Q3" s="10">
        <v>5.0</v>
      </c>
      <c r="R3" s="3">
        <f t="shared" si="5"/>
        <v>15.3</v>
      </c>
      <c r="S3" s="3">
        <f>SUMIFS( historical_events_FACT!J:J, historical_events_FACT!G:G, B3,historical_events_FACT!B:B, "2016",historical_events_FACT!C:C, "6" )</f>
        <v>107.1</v>
      </c>
      <c r="T3" s="3">
        <f>COUNTIFS(historical_events_FACT!G:G, B3,historical_events_FACT!B:B, "2016",historical_events_FACT!C:C, "6" )</f>
        <v>7</v>
      </c>
      <c r="U3" s="3">
        <f>MAXIFS( historical_events_FACT!J:J, historical_events_FACT!G:G, B3,historical_events_FACT!C:C, "6" )</f>
        <v>17.43</v>
      </c>
      <c r="V3" s="3">
        <f t="array" ref="V3">ROUND(AVERAGEIF({ IFERROR(XLOOKUP(B3, 'Surfer Stats - Event 4'!B:B, 'Surfer Stats - Event 4'!AF:AF), ""), IFERROR(XLOOKUP(B3, 'Surfer Stats - Event 5'!B:B, 'Surfer Stats - Event 5'!AA:AA), ""), IFERROR(XLOOKUP(B3, 'Surfer Stats - Event 3'!B:B, 'Surfer Stats - Event 3'!AF:AF), "") }, "&lt;&gt;"),2)</f>
        <v>46.07</v>
      </c>
      <c r="W3" s="3">
        <f t="array" ref="W3">XLOOKUP(B3, 'Surfer Stats - Event 5'!B:B, 'Surfer Stats - Event 5'!AA:AA)</f>
        <v>28.17</v>
      </c>
      <c r="X3" s="3">
        <f t="array" ref="X3">XLOOKUP(B3,'Event 6 Assist'!A:A, 'Event 6 Assist'!B:B)</f>
        <v>26500</v>
      </c>
      <c r="Y3" s="103">
        <v>89.98</v>
      </c>
    </row>
    <row r="4">
      <c r="A4" s="78">
        <v>1.0</v>
      </c>
      <c r="B4" s="66" t="s">
        <v>28</v>
      </c>
      <c r="C4" s="3" t="str">
        <f t="array" ref="C4">XLOOKUP(B4, 'Surfer Stats - Event 4'!B:B, 'Surfer Stats - Event 4'!D:D)</f>
        <v>Regular</v>
      </c>
      <c r="D4" s="3">
        <f t="shared" si="1"/>
        <v>9</v>
      </c>
      <c r="E4" s="10">
        <v>1.0</v>
      </c>
      <c r="F4" s="10">
        <v>1.0</v>
      </c>
      <c r="G4" s="10">
        <v>13.0</v>
      </c>
      <c r="H4" s="10">
        <v>5.0</v>
      </c>
      <c r="I4" s="10">
        <v>25.0</v>
      </c>
      <c r="J4" s="3">
        <f>COUNTIFS( historical_events_FACT!J:J, "&gt;16", historical_events_FACT!G:G, B4,historical_events_FACT!C:C, "6" )</f>
        <v>3</v>
      </c>
      <c r="K4" s="3">
        <f t="shared" si="2"/>
        <v>13.87</v>
      </c>
      <c r="L4" s="3">
        <f t="shared" si="3"/>
        <v>16.84</v>
      </c>
      <c r="M4" s="3">
        <f>SUMIFS( '2014Data'!I:I, '2014Data'!F:F, B4,'2014Data'!B:B, "6" )</f>
        <v>33.67</v>
      </c>
      <c r="N4" s="3">
        <f>COUNTIFS('2014Data'!F:F, B4,'2014Data'!B:B, "6" )</f>
        <v>2</v>
      </c>
      <c r="O4" s="3">
        <f t="shared" si="4"/>
        <v>6.6</v>
      </c>
      <c r="P4" s="3">
        <f>SUMIFS( historical_events_FACT!J:J, historical_events_FACT!G:G, B4,historical_events_FACT!B:B, "2015",historical_events_FACT!C:C, "6" )</f>
        <v>13.2</v>
      </c>
      <c r="Q4" s="3">
        <f>COUNTIFS(historical_events_FACT!G:G, B4,historical_events_FACT!B:B, "2015",historical_events_FACT!C:C, "6" )</f>
        <v>2</v>
      </c>
      <c r="R4" s="3">
        <f t="shared" si="5"/>
        <v>15.59</v>
      </c>
      <c r="S4" s="3">
        <f>SUMIFS( historical_events_FACT!J:J, historical_events_FACT!G:G, B4,historical_events_FACT!B:B, "2016",historical_events_FACT!C:C, "6" )</f>
        <v>77.93</v>
      </c>
      <c r="T4" s="3">
        <f>COUNTIFS(historical_events_FACT!G:G, B4,historical_events_FACT!B:B, "2016",historical_events_FACT!C:C, "6" )</f>
        <v>5</v>
      </c>
      <c r="U4" s="3">
        <f>MAXIFS( historical_events_FACT!J:J, historical_events_FACT!G:G, B4,historical_events_FACT!C:C, "6" )</f>
        <v>18.2</v>
      </c>
      <c r="V4" s="3">
        <f t="array" ref="V4">ROUND(AVERAGEIF({ IFERROR(XLOOKUP(B4, 'Surfer Stats - Event 4'!B:B, 'Surfer Stats - Event 4'!AF:AF), ""), IFERROR(XLOOKUP(B4, 'Surfer Stats - Event 5'!B:B, 'Surfer Stats - Event 5'!AA:AA), ""), IFERROR(XLOOKUP(B4, 'Surfer Stats - Event 3'!B:B, 'Surfer Stats - Event 3'!AF:AF), "") }, "&lt;&gt;"),2)</f>
        <v>70.45</v>
      </c>
      <c r="W4" s="3">
        <f t="array" ref="W4">XLOOKUP(B4, 'Surfer Stats - Event 5'!B:B, 'Surfer Stats - Event 5'!AA:AA)</f>
        <v>23.89</v>
      </c>
      <c r="X4" s="3">
        <f t="array" ref="X4">XLOOKUP(B4,'Event 6 Assist'!A:A, 'Event 6 Assist'!B:B)</f>
        <v>26150</v>
      </c>
      <c r="Y4" s="103">
        <v>95.46</v>
      </c>
    </row>
    <row r="5">
      <c r="A5" s="78">
        <v>1.0</v>
      </c>
      <c r="B5" s="66" t="s">
        <v>57</v>
      </c>
      <c r="C5" s="3" t="str">
        <f t="array" ref="C5">XLOOKUP(B5, 'Surfer Stats - Event 4'!B:B, 'Surfer Stats - Event 4'!D:D)</f>
        <v>Goofy</v>
      </c>
      <c r="D5" s="3">
        <f t="shared" si="1"/>
        <v>14</v>
      </c>
      <c r="E5" s="10">
        <v>0.0</v>
      </c>
      <c r="F5" s="10">
        <v>0.0</v>
      </c>
      <c r="G5" s="10">
        <v>3.0</v>
      </c>
      <c r="H5" s="10">
        <v>99.0</v>
      </c>
      <c r="I5" s="10">
        <v>13.0</v>
      </c>
      <c r="J5" s="3">
        <f>COUNTIFS( historical_events_FACT!J:J, "&gt;16", historical_events_FACT!G:G, B5,historical_events_FACT!C:C, "6" )</f>
        <v>2</v>
      </c>
      <c r="K5" s="3">
        <f t="shared" si="2"/>
        <v>14.19</v>
      </c>
      <c r="L5" s="3">
        <f t="shared" si="3"/>
        <v>14.67</v>
      </c>
      <c r="M5" s="3">
        <f>SUMIFS( '2014Data'!I:I, '2014Data'!F:F, B5,'2014Data'!B:B, "6" )</f>
        <v>88</v>
      </c>
      <c r="N5" s="3">
        <f>COUNTIFS('2014Data'!F:F, B5,'2014Data'!B:B, "6" )</f>
        <v>6</v>
      </c>
      <c r="O5" s="3">
        <f t="shared" si="4"/>
        <v>14.81</v>
      </c>
      <c r="P5" s="3">
        <f>SUMIFS( historical_events_FACT!J:J, historical_events_FACT!G:G, B5,historical_events_FACT!B:B, "2015",historical_events_FACT!C:C, "6" )</f>
        <v>44.43</v>
      </c>
      <c r="Q5" s="3">
        <f>COUNTIFS(historical_events_FACT!G:G, B5,historical_events_FACT!B:B, "2015",historical_events_FACT!C:C, "6" )</f>
        <v>3</v>
      </c>
      <c r="R5" s="3">
        <f t="shared" si="5"/>
        <v>13.24</v>
      </c>
      <c r="S5" s="10">
        <v>66.22</v>
      </c>
      <c r="T5" s="10">
        <v>5.0</v>
      </c>
      <c r="U5" s="3">
        <f>MAXIFS( historical_events_FACT!J:J, historical_events_FACT!G:G, B5,historical_events_FACT!C:C, "6" )</f>
        <v>17.4</v>
      </c>
      <c r="V5" s="3">
        <f t="array" ref="V5">ROUND(AVERAGEIF({ IFERROR(XLOOKUP(B5, 'Surfer Stats - Event 4'!B:B, 'Surfer Stats - Event 4'!AF:AF), ""), IFERROR(XLOOKUP(B5, 'Surfer Stats - Event 5'!B:B, 'Surfer Stats - Event 5'!AA:AA), ""), IFERROR(XLOOKUP(B5, 'Surfer Stats - Event 3'!B:B, 'Surfer Stats - Event 3'!AF:AF), "") }, "&lt;&gt;"),2)</f>
        <v>56.47</v>
      </c>
      <c r="W5" s="3">
        <f t="array" ref="W5">XLOOKUP(B5, 'Surfer Stats - Event 5'!B:B, 'Surfer Stats - Event 5'!AA:AA)</f>
        <v>29.26</v>
      </c>
      <c r="X5" s="3">
        <f t="array" ref="X5">XLOOKUP(B5,'Event 6 Assist'!A:A, 'Event 6 Assist'!B:B)</f>
        <v>26150</v>
      </c>
      <c r="Y5" s="103">
        <v>67.93</v>
      </c>
    </row>
    <row r="6">
      <c r="A6" s="78">
        <v>1.0</v>
      </c>
      <c r="B6" s="66" t="s">
        <v>42</v>
      </c>
      <c r="C6" s="3" t="str">
        <f t="array" ref="C6">XLOOKUP(B6, 'Surfer Stats - Event 4'!B:B, 'Surfer Stats - Event 4'!D:D)</f>
        <v>Regular</v>
      </c>
      <c r="D6" s="3">
        <f t="shared" si="1"/>
        <v>14</v>
      </c>
      <c r="E6" s="10">
        <v>0.0</v>
      </c>
      <c r="F6" s="10">
        <v>0.0</v>
      </c>
      <c r="G6" s="10">
        <v>5.0</v>
      </c>
      <c r="H6" s="10">
        <v>9.0</v>
      </c>
      <c r="I6" s="10">
        <v>5.0</v>
      </c>
      <c r="J6" s="3">
        <f>COUNTIFS( historical_events_FACT!J:J, "&gt;16", historical_events_FACT!G:G, B6,historical_events_FACT!C:C, "6" )</f>
        <v>0</v>
      </c>
      <c r="K6" s="3">
        <f t="shared" si="2"/>
        <v>13.11</v>
      </c>
      <c r="L6" s="3">
        <f t="shared" si="3"/>
        <v>12.07</v>
      </c>
      <c r="M6" s="3">
        <f>SUMIFS( '2014Data'!I:I, '2014Data'!F:F, B6,'2014Data'!B:B, "6" )</f>
        <v>60.34</v>
      </c>
      <c r="N6" s="3">
        <f>COUNTIFS('2014Data'!F:F, B6,'2014Data'!B:B, "6" )</f>
        <v>5</v>
      </c>
      <c r="O6" s="3">
        <f t="shared" si="4"/>
        <v>13.21</v>
      </c>
      <c r="P6" s="3">
        <f>SUMIFS( historical_events_FACT!J:J, historical_events_FACT!G:G, B6,historical_events_FACT!B:B, "2015",historical_events_FACT!C:C, "6" )</f>
        <v>66.07</v>
      </c>
      <c r="Q6" s="3">
        <f>COUNTIFS(historical_events_FACT!G:G, B6,historical_events_FACT!B:B, "2015",historical_events_FACT!C:C, "6" )</f>
        <v>5</v>
      </c>
      <c r="R6" s="3">
        <f t="shared" si="5"/>
        <v>14.29</v>
      </c>
      <c r="S6" s="3">
        <f>SUMIFS( historical_events_FACT!J:J, historical_events_FACT!G:G, B6,historical_events_FACT!B:B, "2016",historical_events_FACT!C:C, "6" )</f>
        <v>57.16</v>
      </c>
      <c r="T6" s="3">
        <f>COUNTIFS(historical_events_FACT!G:G, B6,historical_events_FACT!B:B, "2016",historical_events_FACT!C:C, "6" )</f>
        <v>4</v>
      </c>
      <c r="U6" s="3">
        <f>MAXIFS( historical_events_FACT!J:J, historical_events_FACT!G:G, B6,historical_events_FACT!C:C, "6" )</f>
        <v>15.27</v>
      </c>
      <c r="V6" s="3">
        <f t="array" ref="V6">ROUND(AVERAGEIF({ IFERROR(XLOOKUP(B6, 'Surfer Stats - Event 4'!B:B, 'Surfer Stats - Event 4'!AF:AF), ""), IFERROR(XLOOKUP(B6, 'Surfer Stats - Event 5'!B:B, 'Surfer Stats - Event 5'!AA:AA), ""), IFERROR(XLOOKUP(B6, 'Surfer Stats - Event 3'!B:B, 'Surfer Stats - Event 3'!AF:AF), "") }, "&lt;&gt;"),2)</f>
        <v>66.7</v>
      </c>
      <c r="W6" s="3">
        <f t="array" ref="W6">XLOOKUP(B6, 'Surfer Stats - Event 5'!B:B, 'Surfer Stats - Event 5'!AA:AA)</f>
        <v>25.16</v>
      </c>
      <c r="X6" s="3">
        <f t="array" ref="X6">XLOOKUP(B6,'Event 6 Assist'!A:A, 'Event 6 Assist'!B:B)</f>
        <v>26150</v>
      </c>
      <c r="Y6" s="103">
        <v>28.23</v>
      </c>
    </row>
    <row r="7">
      <c r="A7" s="78">
        <v>1.0</v>
      </c>
      <c r="B7" s="66" t="s">
        <v>33</v>
      </c>
      <c r="C7" s="3" t="str">
        <f t="array" ref="C7">XLOOKUP(B7, 'Surfer Stats - Event 4'!B:B, 'Surfer Stats - Event 4'!D:D)</f>
        <v>Regular</v>
      </c>
      <c r="D7" s="3">
        <f t="shared" si="1"/>
        <v>11</v>
      </c>
      <c r="E7" s="10">
        <v>0.0</v>
      </c>
      <c r="F7" s="10">
        <v>0.0</v>
      </c>
      <c r="G7" s="10">
        <v>25.0</v>
      </c>
      <c r="H7" s="10">
        <v>5.0</v>
      </c>
      <c r="I7" s="10">
        <v>13.0</v>
      </c>
      <c r="J7" s="3">
        <f>COUNTIFS( historical_events_FACT!J:J, "&gt;16", historical_events_FACT!G:G, B7,historical_events_FACT!C:C, "6" )</f>
        <v>4</v>
      </c>
      <c r="K7" s="3">
        <f t="shared" si="2"/>
        <v>12.86</v>
      </c>
      <c r="L7" s="3">
        <f t="shared" si="3"/>
        <v>9.52</v>
      </c>
      <c r="M7" s="3">
        <f>SUMIFS( '2014Data'!I:I, '2014Data'!F:F, B7,'2014Data'!B:B, "6" )</f>
        <v>19.03</v>
      </c>
      <c r="N7" s="3">
        <f>COUNTIFS('2014Data'!F:F, B7,'2014Data'!B:B, "6" )</f>
        <v>2</v>
      </c>
      <c r="O7" s="3">
        <f t="shared" si="4"/>
        <v>11.52</v>
      </c>
      <c r="P7" s="3">
        <f>SUMIFS( historical_events_FACT!J:J, historical_events_FACT!G:G, B7,historical_events_FACT!B:B, "2015",historical_events_FACT!C:C, "6" )</f>
        <v>34.56</v>
      </c>
      <c r="Q7" s="3">
        <f>COUNTIFS(historical_events_FACT!G:G, B7,historical_events_FACT!B:B, "2015",historical_events_FACT!C:C, "6" )</f>
        <v>3</v>
      </c>
      <c r="R7" s="3">
        <f t="shared" si="5"/>
        <v>14.65</v>
      </c>
      <c r="S7" s="3">
        <f>SUMIFS( historical_events_FACT!J:J, historical_events_FACT!G:G, B7,historical_events_FACT!B:B, "2016",historical_events_FACT!C:C, "6" )</f>
        <v>87.88</v>
      </c>
      <c r="T7" s="3">
        <f>COUNTIFS(historical_events_FACT!G:G, B7,historical_events_FACT!B:B, "2016",historical_events_FACT!C:C, "6" )</f>
        <v>6</v>
      </c>
      <c r="U7" s="3">
        <f>MAXIFS( historical_events_FACT!J:J, historical_events_FACT!G:G, B7,historical_events_FACT!C:C, "6" )</f>
        <v>17.23</v>
      </c>
      <c r="V7" s="3">
        <f t="array" ref="V7">ROUND(AVERAGEIF({ IFERROR(XLOOKUP(B7, 'Surfer Stats - Event 4'!B:B, 'Surfer Stats - Event 4'!AF:AF), ""), IFERROR(XLOOKUP(B7, 'Surfer Stats - Event 5'!B:B, 'Surfer Stats - Event 5'!AA:AA), ""), IFERROR(XLOOKUP(B7, 'Surfer Stats - Event 3'!B:B, 'Surfer Stats - Event 3'!AF:AF), "") }, "&lt;&gt;"),2)</f>
        <v>38.35</v>
      </c>
      <c r="W7" s="10">
        <v>38.35</v>
      </c>
      <c r="X7" s="3">
        <f t="array" ref="X7">XLOOKUP(B7,'Event 6 Assist'!A:A, 'Event 6 Assist'!B:B)</f>
        <v>14450</v>
      </c>
      <c r="Y7" s="104">
        <v>107.13</v>
      </c>
    </row>
    <row r="8">
      <c r="A8" s="78">
        <v>1.0</v>
      </c>
      <c r="B8" s="66" t="s">
        <v>39</v>
      </c>
      <c r="C8" s="3" t="str">
        <f t="array" ref="C8">XLOOKUP(B8, 'Surfer Stats - Event 4'!B:B, 'Surfer Stats - Event 4'!D:D)</f>
        <v>Regular</v>
      </c>
      <c r="D8" s="3">
        <f t="shared" si="1"/>
        <v>13</v>
      </c>
      <c r="E8" s="10">
        <v>0.0</v>
      </c>
      <c r="F8" s="10">
        <v>0.0</v>
      </c>
      <c r="G8" s="10">
        <v>2.0</v>
      </c>
      <c r="H8" s="10">
        <v>13.0</v>
      </c>
      <c r="I8" s="10">
        <v>13.0</v>
      </c>
      <c r="J8" s="3">
        <f>COUNTIFS( historical_events_FACT!J:J, "&gt;16", historical_events_FACT!G:G, B8,historical_events_FACT!C:C, "6" )</f>
        <v>3</v>
      </c>
      <c r="K8" s="3">
        <f t="shared" si="2"/>
        <v>14.94</v>
      </c>
      <c r="L8" s="3">
        <f t="shared" si="3"/>
        <v>15.32</v>
      </c>
      <c r="M8" s="3">
        <f>SUMIFS( '2014Data'!I:I, '2014Data'!F:F, B8,'2014Data'!B:B, "6" )</f>
        <v>107.23</v>
      </c>
      <c r="N8" s="3">
        <f>COUNTIFS('2014Data'!F:F, B8,'2014Data'!B:B, "6" )</f>
        <v>7</v>
      </c>
      <c r="O8" s="3">
        <f t="shared" si="4"/>
        <v>14.84</v>
      </c>
      <c r="P8" s="3">
        <f>SUMIFS( historical_events_FACT!J:J, historical_events_FACT!G:G, B8,historical_events_FACT!B:B, "2015",historical_events_FACT!C:C, "6" )</f>
        <v>44.51</v>
      </c>
      <c r="Q8" s="3">
        <f>COUNTIFS(historical_events_FACT!G:G, B8,historical_events_FACT!B:B, "2015",historical_events_FACT!C:C, "6" )</f>
        <v>3</v>
      </c>
      <c r="R8" s="3">
        <f t="shared" si="5"/>
        <v>14.15</v>
      </c>
      <c r="S8" s="3">
        <f>SUMIFS( historical_events_FACT!J:J, historical_events_FACT!G:G, B8,historical_events_FACT!B:B, "2016",historical_events_FACT!C:C, "6" )</f>
        <v>42.44</v>
      </c>
      <c r="T8" s="3">
        <f>COUNTIFS(historical_events_FACT!G:G, B8,historical_events_FACT!B:B, "2016",historical_events_FACT!C:C, "6" )</f>
        <v>3</v>
      </c>
      <c r="U8" s="3">
        <f>MAXIFS( historical_events_FACT!J:J, historical_events_FACT!G:G, B8,historical_events_FACT!C:C, "6" )</f>
        <v>18.84</v>
      </c>
      <c r="V8" s="3">
        <f t="array" ref="V8">ROUND(AVERAGEIF({ IFERROR(XLOOKUP(B8, 'Surfer Stats - Event 4'!B:B, 'Surfer Stats - Event 4'!AF:AF), ""), IFERROR(XLOOKUP(B8, 'Surfer Stats - Event 5'!B:B, 'Surfer Stats - Event 5'!AA:AA), ""), IFERROR(XLOOKUP(B8, 'Surfer Stats - Event 3'!B:B, 'Surfer Stats - Event 3'!AF:AF), "") }, "&lt;&gt;"),2)</f>
        <v>75.2</v>
      </c>
      <c r="W8" s="3">
        <f t="array" ref="W8">XLOOKUP(B8, 'Surfer Stats - Event 5'!B:B, 'Surfer Stats - Event 5'!AA:AA)</f>
        <v>79.99</v>
      </c>
      <c r="X8" s="3">
        <f t="array" ref="X8">XLOOKUP(B8,'Event 6 Assist'!A:A, 'Event 6 Assist'!B:B)</f>
        <v>22650</v>
      </c>
      <c r="Y8" s="103">
        <v>30.13</v>
      </c>
    </row>
    <row r="9">
      <c r="A9" s="78">
        <v>1.0</v>
      </c>
      <c r="B9" s="66" t="s">
        <v>31</v>
      </c>
      <c r="C9" s="3" t="str">
        <f t="array" ref="C9">XLOOKUP(B9, 'Surfer Stats - Event 4'!B:B, 'Surfer Stats - Event 4'!D:D)</f>
        <v>Regular</v>
      </c>
      <c r="D9" s="3">
        <f t="shared" si="1"/>
        <v>15</v>
      </c>
      <c r="E9" s="10">
        <v>0.0</v>
      </c>
      <c r="F9" s="10">
        <v>0.0</v>
      </c>
      <c r="G9" s="10">
        <v>13.0</v>
      </c>
      <c r="H9" s="10">
        <v>3.0</v>
      </c>
      <c r="I9" s="10">
        <v>2.0</v>
      </c>
      <c r="J9" s="3">
        <f>COUNTIFS( historical_events_FACT!J:J, "&gt;16", historical_events_FACT!G:G, B9,historical_events_FACT!C:C, "6" )</f>
        <v>4</v>
      </c>
      <c r="K9" s="3">
        <f t="shared" si="2"/>
        <v>13.85</v>
      </c>
      <c r="L9" s="3">
        <f t="shared" si="3"/>
        <v>13.32</v>
      </c>
      <c r="M9" s="3">
        <f>SUMIFS( '2014Data'!I:I, '2014Data'!F:F, B9,'2014Data'!B:B, "6" )</f>
        <v>39.96</v>
      </c>
      <c r="N9" s="3">
        <f>COUNTIFS('2014Data'!F:F, B9,'2014Data'!B:B, "6" )</f>
        <v>3</v>
      </c>
      <c r="O9" s="3">
        <f t="shared" si="4"/>
        <v>12.89</v>
      </c>
      <c r="P9" s="3">
        <f>SUMIFS( historical_events_FACT!J:J, historical_events_FACT!G:G, B9,historical_events_FACT!B:B, "2015",historical_events_FACT!C:C, "6" )</f>
        <v>90.24</v>
      </c>
      <c r="Q9" s="3">
        <f>COUNTIFS(historical_events_FACT!G:G, B9,historical_events_FACT!B:B, "2015",historical_events_FACT!C:C, "6" )</f>
        <v>7</v>
      </c>
      <c r="R9" s="3">
        <f t="shared" si="5"/>
        <v>15.5</v>
      </c>
      <c r="S9" s="3">
        <f>SUMIFS( historical_events_FACT!J:J, historical_events_FACT!G:G, B9,historical_events_FACT!B:B, "2016",historical_events_FACT!C:C, "6" )</f>
        <v>77.5</v>
      </c>
      <c r="T9" s="3">
        <f>COUNTIFS(historical_events_FACT!G:G, B9,historical_events_FACT!B:B, "2016",historical_events_FACT!C:C, "6" )</f>
        <v>5</v>
      </c>
      <c r="U9" s="3">
        <f>MAXIFS( historical_events_FACT!J:J, historical_events_FACT!G:G, B9,historical_events_FACT!C:C, "6" )</f>
        <v>18.77</v>
      </c>
      <c r="V9" s="3">
        <f t="array" ref="V9">ROUND(AVERAGEIF({ IFERROR(XLOOKUP(B9, 'Surfer Stats - Event 4'!B:B, 'Surfer Stats - Event 4'!AF:AF), ""), IFERROR(XLOOKUP(B9, 'Surfer Stats - Event 5'!B:B, 'Surfer Stats - Event 5'!AA:AA), ""), IFERROR(XLOOKUP(B9, 'Surfer Stats - Event 3'!B:B, 'Surfer Stats - Event 3'!AF:AF), "") }, "&lt;&gt;"),2)</f>
        <v>54.07</v>
      </c>
      <c r="W9" s="3">
        <f t="array" ref="W9">XLOOKUP(B9, 'Surfer Stats - Event 5'!B:B, 'Surfer Stats - Event 5'!AA:AA)</f>
        <v>74.94</v>
      </c>
      <c r="X9" s="3">
        <f t="array" ref="X9">XLOOKUP(B9,'Event 6 Assist'!A:A, 'Event 6 Assist'!B:B)</f>
        <v>16700</v>
      </c>
      <c r="Y9" s="103">
        <v>105.22</v>
      </c>
    </row>
    <row r="10">
      <c r="A10" s="78">
        <v>1.0</v>
      </c>
      <c r="B10" s="66" t="s">
        <v>30</v>
      </c>
      <c r="C10" s="3" t="str">
        <f t="array" ref="C10">XLOOKUP(B10, 'Surfer Stats - Event 4'!B:B, 'Surfer Stats - Event 4'!D:D)</f>
        <v>Goofy</v>
      </c>
      <c r="D10" s="3">
        <f t="shared" si="1"/>
        <v>16</v>
      </c>
      <c r="E10" s="10">
        <v>0.0</v>
      </c>
      <c r="F10" s="10">
        <v>0.0</v>
      </c>
      <c r="G10" s="10">
        <v>5.0</v>
      </c>
      <c r="H10" s="10">
        <v>5.0</v>
      </c>
      <c r="I10" s="10">
        <v>5.0</v>
      </c>
      <c r="J10" s="3">
        <f>COUNTIFS( historical_events_FACT!J:J, "&gt;16", historical_events_FACT!G:G, B10,historical_events_FACT!C:C, "6" )</f>
        <v>4</v>
      </c>
      <c r="K10" s="3">
        <f t="shared" si="2"/>
        <v>14.45</v>
      </c>
      <c r="L10" s="3">
        <f t="shared" si="3"/>
        <v>13.81</v>
      </c>
      <c r="M10" s="3">
        <f>SUMIFS( '2014Data'!I:I, '2014Data'!F:F, B10,'2014Data'!B:B, "6" )</f>
        <v>82.86</v>
      </c>
      <c r="N10" s="3">
        <f>COUNTIFS('2014Data'!F:F, B10,'2014Data'!B:B, "6" )</f>
        <v>6</v>
      </c>
      <c r="O10" s="3">
        <f t="shared" si="4"/>
        <v>14.84</v>
      </c>
      <c r="P10" s="3">
        <f>SUMIFS( historical_events_FACT!J:J, historical_events_FACT!G:G, B10,historical_events_FACT!B:B, "2015",historical_events_FACT!C:C, "6" )</f>
        <v>74.2</v>
      </c>
      <c r="Q10" s="3">
        <f>COUNTIFS(historical_events_FACT!G:G, B10,historical_events_FACT!B:B, "2015",historical_events_FACT!C:C, "6" )</f>
        <v>5</v>
      </c>
      <c r="R10" s="3">
        <f t="shared" si="5"/>
        <v>14.81</v>
      </c>
      <c r="S10" s="3">
        <f>SUMIFS( historical_events_FACT!J:J, historical_events_FACT!G:G, B10,historical_events_FACT!B:B, "2016",historical_events_FACT!C:C, "6" )</f>
        <v>74.06</v>
      </c>
      <c r="T10" s="3">
        <f>COUNTIFS(historical_events_FACT!G:G, B10,historical_events_FACT!B:B, "2016",historical_events_FACT!C:C, "6" )</f>
        <v>5</v>
      </c>
      <c r="U10" s="3">
        <f>MAXIFS( historical_events_FACT!J:J, historical_events_FACT!G:G, B10,historical_events_FACT!C:C, "6" )</f>
        <v>19.07</v>
      </c>
      <c r="V10" s="3">
        <f t="array" ref="V10">ROUND(AVERAGEIF({ IFERROR(XLOOKUP(B10, 'Surfer Stats - Event 4'!B:B, 'Surfer Stats - Event 4'!AF:AF), ""), IFERROR(XLOOKUP(B10, 'Surfer Stats - Event 5'!B:B, 'Surfer Stats - Event 5'!AA:AA), ""), IFERROR(XLOOKUP(B10, 'Surfer Stats - Event 3'!B:B, 'Surfer Stats - Event 3'!AF:AF), "") }, "&lt;&gt;"),2)</f>
        <v>43.01</v>
      </c>
      <c r="W10" s="3">
        <f t="array" ref="W10">XLOOKUP(B10, 'Surfer Stats - Event 5'!B:B, 'Surfer Stats - Event 5'!AA:AA)</f>
        <v>27.47</v>
      </c>
      <c r="X10" s="3">
        <f t="array" ref="X10">XLOOKUP(B10,'Event 6 Assist'!A:A, 'Event 6 Assist'!B:B)</f>
        <v>14500</v>
      </c>
      <c r="Y10" s="104">
        <v>85.5</v>
      </c>
    </row>
    <row r="11">
      <c r="A11" s="78">
        <v>1.0</v>
      </c>
      <c r="B11" s="66" t="s">
        <v>61</v>
      </c>
      <c r="C11" s="3" t="str">
        <f t="array" ref="C11">XLOOKUP(B11, 'Surfer Stats - Event 4'!B:B, 'Surfer Stats - Event 4'!D:D)</f>
        <v>Goofy</v>
      </c>
      <c r="D11" s="3">
        <f t="shared" si="1"/>
        <v>13</v>
      </c>
      <c r="E11" s="10">
        <v>0.0</v>
      </c>
      <c r="F11" s="10">
        <v>0.0</v>
      </c>
      <c r="G11" s="10">
        <v>99.0</v>
      </c>
      <c r="H11" s="10">
        <v>99.0</v>
      </c>
      <c r="I11" s="10">
        <v>99.0</v>
      </c>
      <c r="J11" s="3">
        <f>COUNTIFS( historical_events_FACT!J:J, "&gt;16", historical_events_FACT!G:G, B11,historical_events_FACT!C:C, "6" )</f>
        <v>0</v>
      </c>
      <c r="K11" s="3">
        <f t="shared" si="2"/>
        <v>14.08</v>
      </c>
      <c r="L11" s="10">
        <v>11.92</v>
      </c>
      <c r="M11" s="3">
        <f>L11*2</f>
        <v>23.84</v>
      </c>
      <c r="N11" s="10">
        <v>2.0</v>
      </c>
      <c r="O11" s="3">
        <f t="shared" si="4"/>
        <v>12.88</v>
      </c>
      <c r="P11" s="10">
        <v>51.53</v>
      </c>
      <c r="Q11" s="10">
        <v>4.0</v>
      </c>
      <c r="R11" s="3">
        <f t="shared" si="5"/>
        <v>15.39</v>
      </c>
      <c r="S11" s="10">
        <v>107.7</v>
      </c>
      <c r="T11" s="10">
        <v>7.0</v>
      </c>
      <c r="U11" s="3">
        <f>MAXIFS( historical_events_FACT!J:J, historical_events_FACT!G:G, B11,historical_events_FACT!C:C, "6" )</f>
        <v>0</v>
      </c>
      <c r="V11" s="3">
        <f t="array" ref="V11">ROUND(AVERAGEIF({ IFERROR(XLOOKUP(B11, 'Surfer Stats - Event 4'!B:B, 'Surfer Stats - Event 4'!AF:AF), ""), IFERROR(XLOOKUP(B11, 'Surfer Stats - Event 5'!B:B, 'Surfer Stats - Event 5'!AA:AA), ""), IFERROR(XLOOKUP(B11, 'Surfer Stats - Event 3'!B:B, 'Surfer Stats - Event 3'!AF:AF), "") }, "&lt;&gt;"),2)</f>
        <v>49.33</v>
      </c>
      <c r="W11" s="3">
        <f t="array" ref="W11">XLOOKUP(B11, 'Surfer Stats - Event 5'!B:B, 'Surfer Stats - Event 5'!AA:AA)</f>
        <v>77.66</v>
      </c>
      <c r="X11" s="3">
        <f t="array" ref="X11">XLOOKUP(B11,'Event 6 Assist'!A:A, 'Event 6 Assist'!B:B)</f>
        <v>18450</v>
      </c>
      <c r="Y11" s="103">
        <v>36.56</v>
      </c>
    </row>
    <row r="12">
      <c r="A12" s="78">
        <v>1.0</v>
      </c>
      <c r="B12" s="66" t="s">
        <v>41</v>
      </c>
      <c r="C12" s="3" t="str">
        <f t="array" ref="C12">XLOOKUP(B12, 'Surfer Stats - Event 4'!B:B, 'Surfer Stats - Event 4'!D:D)</f>
        <v>Regular</v>
      </c>
      <c r="D12" s="3">
        <f t="shared" si="1"/>
        <v>20</v>
      </c>
      <c r="E12" s="10">
        <v>0.0</v>
      </c>
      <c r="F12" s="10">
        <v>0.0</v>
      </c>
      <c r="G12" s="10">
        <v>1.0</v>
      </c>
      <c r="H12" s="10">
        <v>1.0</v>
      </c>
      <c r="I12" s="10">
        <v>2.0</v>
      </c>
      <c r="J12" s="3">
        <f>COUNTIFS( historical_events_FACT!J:J, "&gt;16", historical_events_FACT!G:G, B12,historical_events_FACT!C:C, "6" )</f>
        <v>12</v>
      </c>
      <c r="K12" s="3">
        <f t="shared" si="2"/>
        <v>15.36</v>
      </c>
      <c r="L12" s="3">
        <f>IF(M12=0,0,ROUND(M12/N12,2))</f>
        <v>15.72</v>
      </c>
      <c r="M12" s="3">
        <f>SUMIFS( '2014Data'!I:I, '2014Data'!F:F, B12,'2014Data'!B:B, "6" )</f>
        <v>110.06</v>
      </c>
      <c r="N12" s="3">
        <f>COUNTIFS('2014Data'!F:F, B12,'2014Data'!B:B, "6" )</f>
        <v>7</v>
      </c>
      <c r="O12" s="3">
        <f t="shared" si="4"/>
        <v>13.62</v>
      </c>
      <c r="P12" s="3">
        <f>SUMIFS( historical_events_FACT!J:J, historical_events_FACT!G:G, B12,historical_events_FACT!B:B, "2015",historical_events_FACT!C:C, "6" )</f>
        <v>95.31</v>
      </c>
      <c r="Q12" s="3">
        <f>COUNTIFS(historical_events_FACT!G:G, B12,historical_events_FACT!B:B, "2015",historical_events_FACT!C:C, "6" )</f>
        <v>7</v>
      </c>
      <c r="R12" s="3">
        <f t="shared" si="5"/>
        <v>16.99</v>
      </c>
      <c r="S12" s="3">
        <f>SUMIFS( historical_events_FACT!J:J, historical_events_FACT!G:G, B12,historical_events_FACT!B:B, "2016",historical_events_FACT!C:C, "6" )</f>
        <v>101.91</v>
      </c>
      <c r="T12" s="3">
        <f>COUNTIFS(historical_events_FACT!G:G, B12,historical_events_FACT!B:B, "2016",historical_events_FACT!C:C, "6" )</f>
        <v>6</v>
      </c>
      <c r="U12" s="3">
        <f>MAXIFS( historical_events_FACT!J:J, historical_events_FACT!G:G, B12,historical_events_FACT!C:C, "6" )</f>
        <v>18.37</v>
      </c>
      <c r="V12" s="3">
        <f t="array" ref="V12">ROUND(AVERAGEIF({ IFERROR(XLOOKUP(B12, 'Surfer Stats - Event 4'!B:B, 'Surfer Stats - Event 4'!AF:AF), ""), IFERROR(XLOOKUP(B12, 'Surfer Stats - Event 5'!B:B, 'Surfer Stats - Event 5'!AA:AA), ""), IFERROR(XLOOKUP(B12, 'Surfer Stats - Event 3'!B:B, 'Surfer Stats - Event 3'!AF:AF), "") }, "&lt;&gt;"),2)</f>
        <v>60.06</v>
      </c>
      <c r="W12" s="3">
        <f t="array" ref="W12">XLOOKUP(B12, 'Surfer Stats - Event 5'!B:B, 'Surfer Stats - Event 5'!AA:AA)</f>
        <v>25.13</v>
      </c>
      <c r="X12" s="3">
        <f t="array" ref="X12">XLOOKUP(B12,'Event 6 Assist'!A:A, 'Event 6 Assist'!B:B)</f>
        <v>14400</v>
      </c>
      <c r="Y12" s="104">
        <v>74.5</v>
      </c>
    </row>
    <row r="13">
      <c r="A13" s="78">
        <v>1.0</v>
      </c>
      <c r="B13" s="66" t="s">
        <v>64</v>
      </c>
      <c r="C13" s="3" t="str">
        <f t="array" ref="C13">XLOOKUP(B13, 'Surfer Stats - Event 4'!B:B, 'Surfer Stats - Event 4'!D:D)</f>
        <v>Regular</v>
      </c>
      <c r="D13" s="3">
        <f t="shared" si="1"/>
        <v>4</v>
      </c>
      <c r="E13" s="10">
        <v>0.0</v>
      </c>
      <c r="F13" s="10">
        <v>0.0</v>
      </c>
      <c r="G13" s="10">
        <v>99.0</v>
      </c>
      <c r="H13" s="10">
        <v>99.0</v>
      </c>
      <c r="I13" s="10">
        <v>99.0</v>
      </c>
      <c r="J13" s="3">
        <f>COUNTIFS( historical_events_FACT!J:J, "&gt;16", historical_events_FACT!G:G, B13,historical_events_FACT!C:C, "6" )</f>
        <v>0</v>
      </c>
      <c r="K13" s="3">
        <f t="shared" si="2"/>
        <v>11.69</v>
      </c>
      <c r="L13" s="10">
        <v>11.92</v>
      </c>
      <c r="M13" s="3">
        <f>L13*2</f>
        <v>23.84</v>
      </c>
      <c r="N13" s="10">
        <v>2.0</v>
      </c>
      <c r="O13" s="3">
        <f t="shared" si="4"/>
        <v>0</v>
      </c>
      <c r="P13" s="3">
        <f>SUMIFS( historical_events_FACT!J:J, historical_events_FACT!G:G, B13,historical_events_FACT!B:B, "2015",historical_events_FACT!C:C, "6" )</f>
        <v>0</v>
      </c>
      <c r="Q13" s="3">
        <f>COUNTIFS(historical_events_FACT!G:G, B13,historical_events_FACT!B:B, "2015",historical_events_FACT!C:C, "6" )</f>
        <v>0</v>
      </c>
      <c r="R13" s="3">
        <f t="shared" si="5"/>
        <v>11.47</v>
      </c>
      <c r="S13" s="10">
        <v>22.93</v>
      </c>
      <c r="T13" s="10">
        <v>2.0</v>
      </c>
      <c r="U13" s="3">
        <f>MAXIFS( historical_events_FACT!J:J, historical_events_FACT!G:G, B13,historical_events_FACT!C:C, "6" )</f>
        <v>0</v>
      </c>
      <c r="V13" s="3">
        <f t="array" ref="V13">ROUND(AVERAGEIF({ IFERROR(XLOOKUP(B13, 'Surfer Stats - Event 4'!B:B, 'Surfer Stats - Event 4'!AF:AF), ""), IFERROR(XLOOKUP(B13, 'Surfer Stats - Event 5'!B:B, 'Surfer Stats - Event 5'!AA:AA), ""), IFERROR(XLOOKUP(B13, 'Surfer Stats - Event 3'!B:B, 'Surfer Stats - Event 3'!AF:AF), "") }, "&lt;&gt;"),2)</f>
        <v>50.13</v>
      </c>
      <c r="W13" s="3">
        <f t="array" ref="W13">XLOOKUP(B13, 'Surfer Stats - Event 5'!B:B, 'Surfer Stats - Event 5'!AA:AA)</f>
        <v>20.64</v>
      </c>
      <c r="X13" s="3">
        <f t="array" ref="X13">XLOOKUP(B13,'Event 6 Assist'!A:A, 'Event 6 Assist'!B:B)</f>
        <v>10950</v>
      </c>
      <c r="Y13" s="104">
        <v>116.47</v>
      </c>
    </row>
    <row r="14">
      <c r="A14" s="78">
        <v>1.0</v>
      </c>
      <c r="B14" s="66" t="s">
        <v>27</v>
      </c>
      <c r="C14" s="3" t="str">
        <f t="array" ref="C14">XLOOKUP(B14, 'Surfer Stats - Event 4'!B:B, 'Surfer Stats - Event 4'!D:D)</f>
        <v>Regular</v>
      </c>
      <c r="D14" s="3">
        <f t="shared" si="1"/>
        <v>11</v>
      </c>
      <c r="E14" s="10">
        <v>0.0</v>
      </c>
      <c r="F14" s="10">
        <v>0.0</v>
      </c>
      <c r="G14" s="10">
        <v>13.0</v>
      </c>
      <c r="H14" s="10">
        <v>9.0</v>
      </c>
      <c r="I14" s="10">
        <v>9.0</v>
      </c>
      <c r="J14" s="3">
        <f>COUNTIFS( historical_events_FACT!J:J, "&gt;16", historical_events_FACT!G:G, B14,historical_events_FACT!C:C, "6" )</f>
        <v>2</v>
      </c>
      <c r="K14" s="3">
        <f t="shared" si="2"/>
        <v>13.7</v>
      </c>
      <c r="L14" s="3">
        <f t="shared" ref="L14:L16" si="6">IF(M14=0,0,ROUND(M14/N14,2))</f>
        <v>11.75</v>
      </c>
      <c r="M14" s="3">
        <f>SUMIFS( '2014Data'!I:I, '2014Data'!F:F, B14,'2014Data'!B:B, "6" )</f>
        <v>23.5</v>
      </c>
      <c r="N14" s="3">
        <f>COUNTIFS('2014Data'!F:F, B14,'2014Data'!B:B, "6" )</f>
        <v>2</v>
      </c>
      <c r="O14" s="3">
        <f t="shared" si="4"/>
        <v>13.49</v>
      </c>
      <c r="P14" s="3">
        <f>SUMIFS( historical_events_FACT!J:J, historical_events_FACT!G:G, B14,historical_events_FACT!B:B, "2015",historical_events_FACT!C:C, "6" )</f>
        <v>53.94</v>
      </c>
      <c r="Q14" s="3">
        <f>COUNTIFS(historical_events_FACT!G:G, B14,historical_events_FACT!B:B, "2015",historical_events_FACT!C:C, "6" )</f>
        <v>4</v>
      </c>
      <c r="R14" s="3">
        <f t="shared" si="5"/>
        <v>14.65</v>
      </c>
      <c r="S14" s="3">
        <f>SUMIFS( historical_events_FACT!J:J, historical_events_FACT!G:G, B14,historical_events_FACT!B:B, "2016",historical_events_FACT!C:C, "6" )</f>
        <v>73.24</v>
      </c>
      <c r="T14" s="3">
        <f>COUNTIFS(historical_events_FACT!G:G, B14,historical_events_FACT!B:B, "2016",historical_events_FACT!C:C, "6" )</f>
        <v>5</v>
      </c>
      <c r="U14" s="3">
        <f>MAXIFS( historical_events_FACT!J:J, historical_events_FACT!G:G, B14,historical_events_FACT!C:C, "6" )</f>
        <v>17.67</v>
      </c>
      <c r="V14" s="3">
        <f t="array" ref="V14">ROUND(AVERAGEIF({ IFERROR(XLOOKUP(B14, 'Surfer Stats - Event 4'!B:B, 'Surfer Stats - Event 4'!AF:AF), ""), IFERROR(XLOOKUP(B14, 'Surfer Stats - Event 5'!B:B, 'Surfer Stats - Event 5'!AA:AA), ""), IFERROR(XLOOKUP(B14, 'Surfer Stats - Event 3'!B:B, 'Surfer Stats - Event 3'!AF:AF), "") }, "&lt;&gt;"),2)</f>
        <v>43.49</v>
      </c>
      <c r="W14" s="3">
        <f t="array" ref="W14">XLOOKUP(B14, 'Surfer Stats - Event 5'!B:B, 'Surfer Stats - Event 5'!AA:AA)</f>
        <v>79.76</v>
      </c>
      <c r="X14" s="3">
        <f t="array" ref="X14">XLOOKUP(B14,'Event 6 Assist'!A:A, 'Event 6 Assist'!B:B)</f>
        <v>14450</v>
      </c>
      <c r="Y14" s="104">
        <v>57.56</v>
      </c>
    </row>
    <row r="15">
      <c r="A15" s="78">
        <v>1.0</v>
      </c>
      <c r="B15" s="66" t="s">
        <v>32</v>
      </c>
      <c r="C15" s="3" t="str">
        <f t="array" ref="C15">XLOOKUP(B15, 'Surfer Stats - Event 4'!B:B, 'Surfer Stats - Event 4'!D:D)</f>
        <v>Regular</v>
      </c>
      <c r="D15" s="3">
        <f t="shared" si="1"/>
        <v>8</v>
      </c>
      <c r="E15" s="10">
        <v>0.0</v>
      </c>
      <c r="F15" s="10">
        <v>0.0</v>
      </c>
      <c r="G15" s="10">
        <v>9.0</v>
      </c>
      <c r="H15" s="10">
        <v>13.0</v>
      </c>
      <c r="I15" s="10">
        <v>13.0</v>
      </c>
      <c r="J15" s="3">
        <f>COUNTIFS( historical_events_FACT!J:J, "&gt;16", historical_events_FACT!G:G, B15,historical_events_FACT!C:C, "6" )</f>
        <v>0</v>
      </c>
      <c r="K15" s="3">
        <f t="shared" si="2"/>
        <v>12.42</v>
      </c>
      <c r="L15" s="3">
        <f t="shared" si="6"/>
        <v>12.2</v>
      </c>
      <c r="M15" s="3">
        <f>SUMIFS( '2014Data'!I:I, '2014Data'!F:F, B15,'2014Data'!B:B, "6" )</f>
        <v>48.81</v>
      </c>
      <c r="N15" s="3">
        <f>COUNTIFS('2014Data'!F:F, B15,'2014Data'!B:B, "6" )</f>
        <v>4</v>
      </c>
      <c r="O15" s="3">
        <f t="shared" si="4"/>
        <v>13.15</v>
      </c>
      <c r="P15" s="3">
        <f>SUMIFS( historical_events_FACT!J:J, historical_events_FACT!G:G, B15,historical_events_FACT!B:B, "2015",historical_events_FACT!C:C, "6" )</f>
        <v>26.3</v>
      </c>
      <c r="Q15" s="3">
        <f>COUNTIFS(historical_events_FACT!G:G, B15,historical_events_FACT!B:B, "2015",historical_events_FACT!C:C, "6" )</f>
        <v>2</v>
      </c>
      <c r="R15" s="3">
        <f t="shared" si="5"/>
        <v>12.13</v>
      </c>
      <c r="S15" s="3">
        <f>SUMIFS( historical_events_FACT!J:J, historical_events_FACT!G:G, B15,historical_events_FACT!B:B, "2016",historical_events_FACT!C:C, "6" )</f>
        <v>24.26</v>
      </c>
      <c r="T15" s="3">
        <f>COUNTIFS(historical_events_FACT!G:G, B15,historical_events_FACT!B:B, "2016",historical_events_FACT!C:C, "6" )</f>
        <v>2</v>
      </c>
      <c r="U15" s="3">
        <f>MAXIFS( historical_events_FACT!J:J, historical_events_FACT!G:G, B15,historical_events_FACT!C:C, "6" )</f>
        <v>14.16</v>
      </c>
      <c r="V15" s="3">
        <f t="array" ref="V15">ROUND(AVERAGEIF({ IFERROR(XLOOKUP(B15, 'Surfer Stats - Event 4'!B:B, 'Surfer Stats - Event 4'!AF:AF), ""), IFERROR(XLOOKUP(B15, 'Surfer Stats - Event 5'!B:B, 'Surfer Stats - Event 5'!AA:AA), ""), IFERROR(XLOOKUP(B15, 'Surfer Stats - Event 3'!B:B, 'Surfer Stats - Event 3'!AF:AF), "") }, "&lt;&gt;"),2)</f>
        <v>30.32</v>
      </c>
      <c r="W15" s="3">
        <f t="array" ref="W15">XLOOKUP(B15, 'Surfer Stats - Event 5'!B:B, 'Surfer Stats - Event 5'!AA:AA)</f>
        <v>36.4</v>
      </c>
      <c r="X15" s="3">
        <f t="array" ref="X15">XLOOKUP(B15,'Event 6 Assist'!A:A, 'Event 6 Assist'!B:B)</f>
        <v>16000</v>
      </c>
      <c r="Y15" s="104">
        <v>21.03</v>
      </c>
    </row>
    <row r="16">
      <c r="A16" s="78">
        <v>1.0</v>
      </c>
      <c r="B16" s="66" t="s">
        <v>38</v>
      </c>
      <c r="C16" s="3" t="str">
        <f t="array" ref="C16">XLOOKUP(B16, 'Surfer Stats - Event 4'!B:B, 'Surfer Stats - Event 4'!D:D)</f>
        <v>Regular</v>
      </c>
      <c r="D16" s="3">
        <f t="shared" si="1"/>
        <v>7</v>
      </c>
      <c r="E16" s="10">
        <v>0.0</v>
      </c>
      <c r="F16" s="10">
        <v>0.0</v>
      </c>
      <c r="G16" s="10">
        <v>13.0</v>
      </c>
      <c r="H16" s="10">
        <v>13.0</v>
      </c>
      <c r="I16" s="10">
        <v>25.0</v>
      </c>
      <c r="J16" s="3">
        <f>COUNTIFS( historical_events_FACT!J:J, "&gt;16", historical_events_FACT!G:G, B16,historical_events_FACT!C:C, "6" )</f>
        <v>1</v>
      </c>
      <c r="K16" s="3">
        <f t="shared" si="2"/>
        <v>13.09</v>
      </c>
      <c r="L16" s="3">
        <f t="shared" si="6"/>
        <v>13.6</v>
      </c>
      <c r="M16" s="3">
        <f>SUMIFS( '2014Data'!I:I, '2014Data'!F:F, B16,'2014Data'!B:B, "6" )</f>
        <v>40.81</v>
      </c>
      <c r="N16" s="3">
        <f>COUNTIFS('2014Data'!F:F, B16,'2014Data'!B:B, "6" )</f>
        <v>3</v>
      </c>
      <c r="O16" s="3">
        <f t="shared" si="4"/>
        <v>10.84</v>
      </c>
      <c r="P16" s="3">
        <f>SUMIFS( historical_events_FACT!J:J, historical_events_FACT!G:G, B16,historical_events_FACT!B:B, "2015",historical_events_FACT!C:C, "6" )</f>
        <v>21.67</v>
      </c>
      <c r="Q16" s="3">
        <f>COUNTIFS(historical_events_FACT!G:G, B16,historical_events_FACT!B:B, "2015",historical_events_FACT!C:C, "6" )</f>
        <v>2</v>
      </c>
      <c r="R16" s="3">
        <f t="shared" si="5"/>
        <v>14.58</v>
      </c>
      <c r="S16" s="3">
        <f>SUMIFS( historical_events_FACT!J:J, historical_events_FACT!G:G, B16,historical_events_FACT!B:B, "2016",historical_events_FACT!C:C, "6" )</f>
        <v>29.16</v>
      </c>
      <c r="T16" s="3">
        <f>COUNTIFS(historical_events_FACT!G:G, B16,historical_events_FACT!B:B, "2016",historical_events_FACT!C:C, "6" )</f>
        <v>2</v>
      </c>
      <c r="U16" s="3">
        <f>MAXIFS( historical_events_FACT!J:J, historical_events_FACT!G:G, B16,historical_events_FACT!C:C, "6" )</f>
        <v>17.9</v>
      </c>
      <c r="V16" s="3">
        <f t="array" ref="V16">ROUND(AVERAGEIF({ IFERROR(XLOOKUP(B16, 'Surfer Stats - Event 4'!B:B, 'Surfer Stats - Event 4'!AF:AF), ""), IFERROR(XLOOKUP(B16, 'Surfer Stats - Event 5'!B:B, 'Surfer Stats - Event 5'!AA:AA), ""), IFERROR(XLOOKUP(B16, 'Surfer Stats - Event 3'!B:B, 'Surfer Stats - Event 3'!AF:AF), "") }, "&lt;&gt;"),2)</f>
        <v>54.27</v>
      </c>
      <c r="W16" s="3">
        <f t="array" ref="W16">XLOOKUP(B16, 'Surfer Stats - Event 5'!B:B, 'Surfer Stats - Event 5'!AA:AA)</f>
        <v>56.87</v>
      </c>
      <c r="X16" s="3">
        <f t="array" ref="X16">XLOOKUP(B16,'Event 6 Assist'!A:A, 'Event 6 Assist'!B:B)</f>
        <v>15500</v>
      </c>
      <c r="Y16" s="104">
        <v>25.59</v>
      </c>
    </row>
    <row r="17">
      <c r="A17" s="78">
        <v>1.0</v>
      </c>
      <c r="B17" s="66" t="s">
        <v>40</v>
      </c>
      <c r="C17" s="3" t="str">
        <f t="array" ref="C17">XLOOKUP(B17, 'Surfer Stats - Event 4'!B:B, 'Surfer Stats - Event 4'!D:D)</f>
        <v>Regular</v>
      </c>
      <c r="D17" s="3">
        <f t="shared" si="1"/>
        <v>10</v>
      </c>
      <c r="E17" s="10">
        <v>0.0</v>
      </c>
      <c r="F17" s="10">
        <v>0.0</v>
      </c>
      <c r="G17" s="10">
        <v>99.0</v>
      </c>
      <c r="H17" s="10">
        <v>13.0</v>
      </c>
      <c r="I17" s="10">
        <v>99.0</v>
      </c>
      <c r="J17" s="3">
        <f>COUNTIFS( historical_events_FACT!J:J, "&gt;16", historical_events_FACT!G:G, B17,historical_events_FACT!C:C, "6" )</f>
        <v>0</v>
      </c>
      <c r="K17" s="3">
        <f t="shared" si="2"/>
        <v>13.29</v>
      </c>
      <c r="L17" s="10">
        <v>11.92</v>
      </c>
      <c r="M17" s="3">
        <f t="shared" ref="M17:M18" si="7">L17*2</f>
        <v>23.84</v>
      </c>
      <c r="N17" s="10">
        <v>2.0</v>
      </c>
      <c r="O17" s="3">
        <f t="shared" si="4"/>
        <v>13.86</v>
      </c>
      <c r="P17" s="10">
        <v>83.16</v>
      </c>
      <c r="Q17" s="10">
        <v>6.0</v>
      </c>
      <c r="R17" s="3">
        <f t="shared" si="5"/>
        <v>12.96</v>
      </c>
      <c r="S17" s="3">
        <f>SUMIFS( historical_events_FACT!J:J, historical_events_FACT!G:G, B17,historical_events_FACT!B:B, "2016",historical_events_FACT!C:C, "6" )</f>
        <v>25.92</v>
      </c>
      <c r="T17" s="3">
        <f>COUNTIFS(historical_events_FACT!G:G, B17,historical_events_FACT!B:B, "2016",historical_events_FACT!C:C, "6" )</f>
        <v>2</v>
      </c>
      <c r="U17" s="3">
        <f>MAXIFS( historical_events_FACT!J:J, historical_events_FACT!G:G, B17,historical_events_FACT!C:C, "6" )</f>
        <v>15.26</v>
      </c>
      <c r="V17" s="3">
        <f t="array" ref="V17">ROUND(AVERAGEIF({ IFERROR(XLOOKUP(B17, 'Surfer Stats - Event 4'!B:B, 'Surfer Stats - Event 4'!AF:AF), ""), IFERROR(XLOOKUP(B17, 'Surfer Stats - Event 5'!B:B, 'Surfer Stats - Event 5'!AA:AA), ""), IFERROR(XLOOKUP(B17, 'Surfer Stats - Event 3'!B:B, 'Surfer Stats - Event 3'!AF:AF), "") }, "&lt;&gt;"),2)</f>
        <v>47.88</v>
      </c>
      <c r="W17" s="10">
        <v>47.88</v>
      </c>
      <c r="X17" s="3">
        <f t="array" ref="X17">XLOOKUP(B17,'Event 6 Assist'!A:A, 'Event 6 Assist'!B:B)</f>
        <v>13750</v>
      </c>
      <c r="Y17" s="104">
        <v>38.27</v>
      </c>
    </row>
    <row r="18">
      <c r="A18" s="78">
        <v>1.0</v>
      </c>
      <c r="B18" s="66" t="s">
        <v>52</v>
      </c>
      <c r="C18" s="3" t="str">
        <f t="array" ref="C18">XLOOKUP(B18, 'Surfer Stats - Event 4'!B:B, 'Surfer Stats - Event 4'!D:D)</f>
        <v>Regular</v>
      </c>
      <c r="D18" s="3">
        <f t="shared" si="1"/>
        <v>7</v>
      </c>
      <c r="E18" s="10">
        <v>0.0</v>
      </c>
      <c r="F18" s="10">
        <v>0.0</v>
      </c>
      <c r="G18" s="10">
        <v>99.0</v>
      </c>
      <c r="H18" s="10">
        <v>25.0</v>
      </c>
      <c r="I18" s="10">
        <v>99.0</v>
      </c>
      <c r="J18" s="3">
        <f>COUNTIFS( historical_events_FACT!J:J, "&gt;16", historical_events_FACT!G:G, B18,historical_events_FACT!C:C, "6" )</f>
        <v>0</v>
      </c>
      <c r="K18" s="3">
        <f t="shared" si="2"/>
        <v>12.75</v>
      </c>
      <c r="L18" s="10">
        <v>11.92</v>
      </c>
      <c r="M18" s="3">
        <f t="shared" si="7"/>
        <v>23.84</v>
      </c>
      <c r="N18" s="10">
        <v>2.0</v>
      </c>
      <c r="O18" s="10">
        <v>13.58</v>
      </c>
      <c r="P18" s="3">
        <f>O18*Q18</f>
        <v>40.74</v>
      </c>
      <c r="Q18" s="10">
        <v>3.0</v>
      </c>
      <c r="R18" s="3">
        <f t="shared" si="5"/>
        <v>12.32</v>
      </c>
      <c r="S18" s="3">
        <f>SUMIFS( historical_events_FACT!J:J, historical_events_FACT!G:G, B18,historical_events_FACT!B:B, "2016",historical_events_FACT!C:C, "6" )</f>
        <v>24.64</v>
      </c>
      <c r="T18" s="3">
        <f>COUNTIFS(historical_events_FACT!G:G, B18,historical_events_FACT!B:B, "2016",historical_events_FACT!C:C, "6" )</f>
        <v>2</v>
      </c>
      <c r="U18" s="3">
        <f>MAXIFS( historical_events_FACT!J:J, historical_events_FACT!G:G, B18,historical_events_FACT!C:C, "6" )</f>
        <v>14.67</v>
      </c>
      <c r="V18" s="3">
        <f t="array" ref="V18">ROUND(AVERAGEIF({ IFERROR(XLOOKUP(B18, 'Surfer Stats - Event 4'!B:B, 'Surfer Stats - Event 4'!AF:AF), ""), IFERROR(XLOOKUP(B18, 'Surfer Stats - Event 5'!B:B, 'Surfer Stats - Event 5'!AA:AA), ""), IFERROR(XLOOKUP(B18, 'Surfer Stats - Event 3'!B:B, 'Surfer Stats - Event 3'!AF:AF), "") }, "&lt;&gt;"),2)</f>
        <v>26.71</v>
      </c>
      <c r="W18" s="3">
        <f t="array" ref="W18">XLOOKUP(B18, 'Surfer Stats - Event 5'!B:B, 'Surfer Stats - Event 5'!AA:AA)</f>
        <v>25.57</v>
      </c>
      <c r="X18" s="3">
        <f t="array" ref="X18">XLOOKUP(B18,'Event 6 Assist'!A:A, 'Event 6 Assist'!B:B)</f>
        <v>9500</v>
      </c>
      <c r="Y18" s="105">
        <v>68.65</v>
      </c>
    </row>
    <row r="19">
      <c r="A19" s="78">
        <v>1.0</v>
      </c>
      <c r="B19" s="66" t="s">
        <v>47</v>
      </c>
      <c r="C19" s="3" t="str">
        <f t="array" ref="C19">XLOOKUP(B19, 'Surfer Stats - Event 4'!B:B, 'Surfer Stats - Event 4'!D:D)</f>
        <v>Goofy</v>
      </c>
      <c r="D19" s="3">
        <f t="shared" si="1"/>
        <v>11</v>
      </c>
      <c r="E19" s="10">
        <v>0.0</v>
      </c>
      <c r="F19" s="10">
        <v>0.0</v>
      </c>
      <c r="G19" s="10">
        <v>13.0</v>
      </c>
      <c r="H19" s="10">
        <v>13.0</v>
      </c>
      <c r="I19" s="10">
        <v>3.0</v>
      </c>
      <c r="J19" s="3">
        <f>COUNTIFS( historical_events_FACT!J:J, "&gt;16", historical_events_FACT!G:G, B19,historical_events_FACT!C:C, "6" )</f>
        <v>1</v>
      </c>
      <c r="K19" s="3">
        <f t="shared" si="2"/>
        <v>12.59</v>
      </c>
      <c r="L19" s="3">
        <f t="shared" ref="L19:L22" si="8">IF(M19=0,0,ROUND(M19/N19,2))</f>
        <v>11.75</v>
      </c>
      <c r="M19" s="3">
        <f>SUMIFS( '2014Data'!I:I, '2014Data'!F:F, B19,'2014Data'!B:B, "6" )</f>
        <v>35.26</v>
      </c>
      <c r="N19" s="3">
        <f>COUNTIFS('2014Data'!F:F, B19,'2014Data'!B:B, "6" )</f>
        <v>3</v>
      </c>
      <c r="O19" s="3">
        <f>IF(P19=0,0,ROUND(P19/Q19,2))</f>
        <v>15</v>
      </c>
      <c r="P19" s="3">
        <f>SUMIFS( historical_events_FACT!J:J, historical_events_FACT!G:G, B19,historical_events_FACT!B:B, "2015",historical_events_FACT!C:C, "6" )</f>
        <v>75</v>
      </c>
      <c r="Q19" s="3">
        <f>COUNTIFS(historical_events_FACT!G:G, B19,historical_events_FACT!B:B, "2015",historical_events_FACT!C:C, "6" )</f>
        <v>5</v>
      </c>
      <c r="R19" s="3">
        <f t="shared" si="5"/>
        <v>9.4</v>
      </c>
      <c r="S19" s="3">
        <f>SUMIFS( historical_events_FACT!J:J, historical_events_FACT!G:G, B19,historical_events_FACT!B:B, "2016",historical_events_FACT!C:C, "6" )</f>
        <v>28.2</v>
      </c>
      <c r="T19" s="3">
        <f>COUNTIFS(historical_events_FACT!G:G, B19,historical_events_FACT!B:B, "2016",historical_events_FACT!C:C, "6" )</f>
        <v>3</v>
      </c>
      <c r="U19" s="3">
        <f>MAXIFS( historical_events_FACT!J:J, historical_events_FACT!G:G, B19,historical_events_FACT!C:C, "6" )</f>
        <v>18</v>
      </c>
      <c r="V19" s="3">
        <f t="array" ref="V19">ROUND(AVERAGEIF({ IFERROR(XLOOKUP(B19, 'Surfer Stats - Event 4'!B:B, 'Surfer Stats - Event 4'!AF:AF), ""), IFERROR(XLOOKUP(B19, 'Surfer Stats - Event 5'!B:B, 'Surfer Stats - Event 5'!AA:AA), ""), IFERROR(XLOOKUP(B19, 'Surfer Stats - Event 3'!B:B, 'Surfer Stats - Event 3'!AF:AF), "") }, "&lt;&gt;"),2)</f>
        <v>53.39</v>
      </c>
      <c r="W19" s="3">
        <f t="array" ref="W19">XLOOKUP(B19, 'Surfer Stats - Event 5'!B:B, 'Surfer Stats - Event 5'!AA:AA)</f>
        <v>24.2</v>
      </c>
      <c r="X19" s="3">
        <f t="array" ref="X19">XLOOKUP(B19,'Event 6 Assist'!A:A, 'Event 6 Assist'!B:B)</f>
        <v>12500</v>
      </c>
      <c r="Y19" s="104">
        <v>27.66</v>
      </c>
    </row>
    <row r="20">
      <c r="A20" s="78">
        <v>1.0</v>
      </c>
      <c r="B20" s="66" t="s">
        <v>50</v>
      </c>
      <c r="C20" s="3" t="str">
        <f t="array" ref="C20">XLOOKUP(B20, 'Surfer Stats - Event 4'!B:B, 'Surfer Stats - Event 4'!D:D)</f>
        <v>Regular</v>
      </c>
      <c r="D20" s="3">
        <f t="shared" si="1"/>
        <v>7</v>
      </c>
      <c r="E20" s="10">
        <v>0.0</v>
      </c>
      <c r="F20" s="10">
        <v>0.0</v>
      </c>
      <c r="G20" s="10">
        <v>25.0</v>
      </c>
      <c r="H20" s="10">
        <v>25.0</v>
      </c>
      <c r="I20" s="10">
        <v>99.0</v>
      </c>
      <c r="J20" s="3">
        <f>COUNTIFS( historical_events_FACT!J:J, "&gt;16", historical_events_FACT!G:G, B20,historical_events_FACT!C:C, "6" )</f>
        <v>0</v>
      </c>
      <c r="K20" s="3">
        <f t="shared" si="2"/>
        <v>12.42</v>
      </c>
      <c r="L20" s="3">
        <f t="shared" si="8"/>
        <v>9.93</v>
      </c>
      <c r="M20" s="3">
        <f>SUMIFS( '2014Data'!I:I, '2014Data'!F:F, B20,'2014Data'!B:B, "6" )</f>
        <v>19.86</v>
      </c>
      <c r="N20" s="3">
        <f>COUNTIFS('2014Data'!F:F, B20,'2014Data'!B:B, "6" )</f>
        <v>2</v>
      </c>
      <c r="O20" s="10">
        <v>13.58</v>
      </c>
      <c r="P20" s="3">
        <f>O20*Q20</f>
        <v>40.74</v>
      </c>
      <c r="Q20" s="10">
        <v>3.0</v>
      </c>
      <c r="R20" s="3">
        <f t="shared" si="5"/>
        <v>13.17</v>
      </c>
      <c r="S20" s="3">
        <f>SUMIFS( historical_events_FACT!J:J, historical_events_FACT!G:G, B20,historical_events_FACT!B:B, "2016",historical_events_FACT!C:C, "6" )</f>
        <v>26.34</v>
      </c>
      <c r="T20" s="3">
        <f>COUNTIFS(historical_events_FACT!G:G, B20,historical_events_FACT!B:B, "2016",historical_events_FACT!C:C, "6" )</f>
        <v>2</v>
      </c>
      <c r="U20" s="3">
        <f>MAXIFS( historical_events_FACT!J:J, historical_events_FACT!G:G, B20,historical_events_FACT!C:C, "6" )</f>
        <v>13.44</v>
      </c>
      <c r="V20" s="3">
        <f t="array" ref="V20">ROUND(AVERAGEIF({ IFERROR(XLOOKUP(B20, 'Surfer Stats - Event 4'!B:B, 'Surfer Stats - Event 4'!AF:AF), ""), IFERROR(XLOOKUP(B20, 'Surfer Stats - Event 5'!B:B, 'Surfer Stats - Event 5'!AA:AA), ""), IFERROR(XLOOKUP(B20, 'Surfer Stats - Event 3'!B:B, 'Surfer Stats - Event 3'!AF:AF), "") }, "&lt;&gt;"),2)</f>
        <v>33.7</v>
      </c>
      <c r="W20" s="3">
        <f t="array" ref="W20">XLOOKUP(B20, 'Surfer Stats - Event 5'!B:B, 'Surfer Stats - Event 5'!AA:AA)</f>
        <v>29.15</v>
      </c>
      <c r="X20" s="3">
        <f t="array" ref="X20">XLOOKUP(B20,'Event 6 Assist'!A:A, 'Event 6 Assist'!B:B)</f>
        <v>11000</v>
      </c>
      <c r="Y20" s="104">
        <v>32.3</v>
      </c>
    </row>
    <row r="21">
      <c r="A21" s="64">
        <v>1.0</v>
      </c>
      <c r="B21" s="66" t="s">
        <v>37</v>
      </c>
      <c r="C21" s="3" t="str">
        <f t="array" ref="C21">XLOOKUP(B21, 'Surfer Stats - Event 4'!B:B, 'Surfer Stats - Event 4'!D:D)</f>
        <v>Regular</v>
      </c>
      <c r="D21" s="3">
        <f t="shared" si="1"/>
        <v>12</v>
      </c>
      <c r="E21" s="10">
        <v>0.0</v>
      </c>
      <c r="F21" s="10">
        <v>0.0</v>
      </c>
      <c r="G21" s="10">
        <v>13.0</v>
      </c>
      <c r="H21" s="10">
        <v>5.0</v>
      </c>
      <c r="I21" s="10">
        <v>3.0</v>
      </c>
      <c r="J21" s="3">
        <f>COUNTIFS( historical_events_FACT!J:J, "&gt;16", historical_events_FACT!G:G, B21,historical_events_FACT!C:C, "6" )</f>
        <v>5</v>
      </c>
      <c r="K21" s="3">
        <f t="shared" si="2"/>
        <v>14.89</v>
      </c>
      <c r="L21" s="3">
        <f t="shared" si="8"/>
        <v>14.69</v>
      </c>
      <c r="M21" s="3">
        <f>SUMIFS( '2014Data'!I:I, '2014Data'!F:F, B21,'2014Data'!B:B, "6" )</f>
        <v>29.37</v>
      </c>
      <c r="N21" s="3">
        <f>COUNTIFS('2014Data'!F:F, B21,'2014Data'!B:B, "6" )</f>
        <v>2</v>
      </c>
      <c r="O21" s="3">
        <f t="shared" ref="O21:O28" si="9">IF(P21=0,0,ROUND(P21/Q21,2))</f>
        <v>15.89</v>
      </c>
      <c r="P21" s="3">
        <f>SUMIFS( historical_events_FACT!J:J, historical_events_FACT!G:G, B21,historical_events_FACT!B:B, "2015",historical_events_FACT!C:C, "6" )</f>
        <v>95.32</v>
      </c>
      <c r="Q21" s="3">
        <f>COUNTIFS(historical_events_FACT!G:G, B21,historical_events_FACT!B:B, "2015",historical_events_FACT!C:C, "6" )</f>
        <v>6</v>
      </c>
      <c r="R21" s="3">
        <f t="shared" si="5"/>
        <v>13.51</v>
      </c>
      <c r="S21" s="3">
        <f>SUMIFS( historical_events_FACT!J:J, historical_events_FACT!G:G, B21,historical_events_FACT!B:B, "2016",historical_events_FACT!C:C, "6" )</f>
        <v>54.03</v>
      </c>
      <c r="T21" s="3">
        <f>COUNTIFS(historical_events_FACT!G:G, B21,historical_events_FACT!B:B, "2016",historical_events_FACT!C:C, "6" )</f>
        <v>4</v>
      </c>
      <c r="U21" s="3">
        <f>MAXIFS( historical_events_FACT!J:J, historical_events_FACT!G:G, B21,historical_events_FACT!C:C, "6" )</f>
        <v>18.1</v>
      </c>
      <c r="V21" s="3">
        <f t="array" ref="V21">ROUND(AVERAGEIF({ IFERROR(XLOOKUP(B21, 'Surfer Stats - Event 4'!B:B, 'Surfer Stats - Event 4'!AF:AF), ""), IFERROR(XLOOKUP(B21, 'Surfer Stats - Event 5'!B:B, 'Surfer Stats - Event 5'!AA:AA), ""), IFERROR(XLOOKUP(B21, 'Surfer Stats - Event 3'!B:B, 'Surfer Stats - Event 3'!AF:AF), "") }, "&lt;&gt;"),2)</f>
        <v>29.05</v>
      </c>
      <c r="W21" s="3">
        <f t="array" ref="W21">XLOOKUP(B21, 'Surfer Stats - Event 5'!B:B, 'Surfer Stats - Event 5'!AA:AA)</f>
        <v>31.07</v>
      </c>
      <c r="X21" s="3">
        <f t="array" ref="X21">XLOOKUP(B21,'Event 6 Assist'!A:A, 'Event 6 Assist'!B:B)</f>
        <v>10950</v>
      </c>
      <c r="Y21" s="104">
        <v>16.27</v>
      </c>
    </row>
    <row r="22">
      <c r="A22" s="78">
        <v>1.0</v>
      </c>
      <c r="B22" s="66" t="s">
        <v>59</v>
      </c>
      <c r="C22" s="3" t="str">
        <f t="array" ref="C22">XLOOKUP(B22, 'Surfer Stats - Event 4'!B:B, 'Surfer Stats - Event 4'!D:D)</f>
        <v>Regular</v>
      </c>
      <c r="D22" s="3">
        <f t="shared" si="1"/>
        <v>6</v>
      </c>
      <c r="E22" s="10">
        <v>0.0</v>
      </c>
      <c r="F22" s="10">
        <v>0.0</v>
      </c>
      <c r="G22" s="10">
        <v>25.0</v>
      </c>
      <c r="H22" s="10">
        <v>99.0</v>
      </c>
      <c r="I22" s="10">
        <v>13.0</v>
      </c>
      <c r="J22" s="3">
        <f>COUNTIFS( historical_events_FACT!J:J, "&gt;16", historical_events_FACT!G:G, B22,historical_events_FACT!C:C, "6" )</f>
        <v>0</v>
      </c>
      <c r="K22" s="3">
        <f t="shared" si="2"/>
        <v>13.93</v>
      </c>
      <c r="L22" s="3">
        <f t="shared" si="8"/>
        <v>13.02</v>
      </c>
      <c r="M22" s="3">
        <f>SUMIFS( '2014Data'!I:I, '2014Data'!F:F, B22,'2014Data'!B:B, "6" )</f>
        <v>26.03</v>
      </c>
      <c r="N22" s="3">
        <f>COUNTIFS('2014Data'!F:F, B22,'2014Data'!B:B, "6" )</f>
        <v>2</v>
      </c>
      <c r="O22" s="3">
        <f t="shared" si="9"/>
        <v>14.84</v>
      </c>
      <c r="P22" s="3">
        <f>SUMIFS( historical_events_FACT!J:J, historical_events_FACT!G:G, B22,historical_events_FACT!B:B, "2015",historical_events_FACT!C:C, "6" )</f>
        <v>29.67</v>
      </c>
      <c r="Q22" s="3">
        <f>COUNTIFS(historical_events_FACT!G:G, B22,historical_events_FACT!B:B, "2015",historical_events_FACT!C:C, "6" )</f>
        <v>2</v>
      </c>
      <c r="R22" s="3">
        <f t="shared" si="5"/>
        <v>13.93</v>
      </c>
      <c r="S22" s="10">
        <v>27.85</v>
      </c>
      <c r="T22" s="10">
        <v>2.0</v>
      </c>
      <c r="U22" s="3">
        <f>MAXIFS( historical_events_FACT!J:J, historical_events_FACT!G:G, B22,historical_events_FACT!C:C, "6" )</f>
        <v>15.67</v>
      </c>
      <c r="V22" s="3">
        <f t="array" ref="V22">ROUND(AVERAGEIF({ IFERROR(XLOOKUP(B22, 'Surfer Stats - Event 4'!B:B, 'Surfer Stats - Event 4'!AF:AF), ""), IFERROR(XLOOKUP(B22, 'Surfer Stats - Event 5'!B:B, 'Surfer Stats - Event 5'!AA:AA), ""), IFERROR(XLOOKUP(B22, 'Surfer Stats - Event 3'!B:B, 'Surfer Stats - Event 3'!AF:AF), "") }, "&lt;&gt;"),2)</f>
        <v>49</v>
      </c>
      <c r="W22" s="3">
        <f t="array" ref="W22">XLOOKUP(B22, 'Surfer Stats - Event 5'!B:B, 'Surfer Stats - Event 5'!AA:AA)</f>
        <v>60.66</v>
      </c>
      <c r="X22" s="3">
        <f t="array" ref="X22">XLOOKUP(B22,'Event 6 Assist'!A:A, 'Event 6 Assist'!B:B)</f>
        <v>10950</v>
      </c>
      <c r="Y22" s="104">
        <v>26.41</v>
      </c>
    </row>
    <row r="23">
      <c r="A23" s="78">
        <v>1.0</v>
      </c>
      <c r="B23" s="66" t="s">
        <v>17</v>
      </c>
      <c r="C23" s="3" t="str">
        <f t="array" ref="C23">XLOOKUP(B23, 'Surfer Stats - Event 4'!B:B, 'Surfer Stats - Event 4'!D:D)</f>
        <v>Goofy</v>
      </c>
      <c r="D23" s="3">
        <f t="shared" si="1"/>
        <v>7</v>
      </c>
      <c r="E23" s="10">
        <v>0.0</v>
      </c>
      <c r="F23" s="10">
        <v>0.0</v>
      </c>
      <c r="G23" s="10">
        <v>99.0</v>
      </c>
      <c r="H23" s="10">
        <v>13.0</v>
      </c>
      <c r="I23" s="10">
        <v>13.0</v>
      </c>
      <c r="J23" s="3">
        <f>COUNTIFS( historical_events_FACT!J:J, "&gt;16", historical_events_FACT!G:G, B23,historical_events_FACT!C:C, "6" )</f>
        <v>0</v>
      </c>
      <c r="K23" s="3">
        <f t="shared" si="2"/>
        <v>12.96</v>
      </c>
      <c r="L23" s="10">
        <v>11.92</v>
      </c>
      <c r="M23" s="3">
        <f t="shared" ref="M23:M32" si="10">L23*2</f>
        <v>23.84</v>
      </c>
      <c r="N23" s="10">
        <v>2.0</v>
      </c>
      <c r="O23" s="3">
        <f t="shared" si="9"/>
        <v>13.11</v>
      </c>
      <c r="P23" s="3">
        <f>SUMIFS( historical_events_FACT!J:J, historical_events_FACT!G:G, B23,historical_events_FACT!B:B, "2015",historical_events_FACT!C:C, "6" )</f>
        <v>39.32</v>
      </c>
      <c r="Q23" s="3">
        <f>COUNTIFS(historical_events_FACT!G:G, B23,historical_events_FACT!B:B, "2015",historical_events_FACT!C:C, "6" )</f>
        <v>3</v>
      </c>
      <c r="R23" s="3">
        <f t="shared" si="5"/>
        <v>13.77</v>
      </c>
      <c r="S23" s="3">
        <f>SUMIFS( historical_events_FACT!J:J, historical_events_FACT!G:G, B23,historical_events_FACT!B:B, "2016",historical_events_FACT!C:C, "6" )</f>
        <v>27.53</v>
      </c>
      <c r="T23" s="3">
        <f>COUNTIFS(historical_events_FACT!G:G, B23,historical_events_FACT!B:B, "2016",historical_events_FACT!C:C, "6" )</f>
        <v>2</v>
      </c>
      <c r="U23" s="3">
        <f>MAXIFS( historical_events_FACT!J:J, historical_events_FACT!G:G, B23,historical_events_FACT!C:C, "6" )</f>
        <v>15.96</v>
      </c>
      <c r="V23" s="3">
        <f t="array" ref="V23">ROUND(AVERAGEIF({ IFERROR(XLOOKUP(B23, 'Surfer Stats - Event 4'!B:B, 'Surfer Stats - Event 4'!AF:AF), ""), IFERROR(XLOOKUP(B23, 'Surfer Stats - Event 5'!B:B, 'Surfer Stats - Event 5'!AA:AA), ""), IFERROR(XLOOKUP(B23, 'Surfer Stats - Event 3'!B:B, 'Surfer Stats - Event 3'!AF:AF), "") }, "&lt;&gt;"),2)</f>
        <v>21.55</v>
      </c>
      <c r="W23" s="3">
        <f t="array" ref="W23">XLOOKUP(B23, 'Surfer Stats - Event 5'!B:B, 'Surfer Stats - Event 5'!AA:AA)</f>
        <v>43.1</v>
      </c>
      <c r="X23" s="3">
        <f t="array" ref="X23">XLOOKUP(B23,'Event 6 Assist'!A:A, 'Event 6 Assist'!B:B)</f>
        <v>10700</v>
      </c>
      <c r="Y23" s="104">
        <v>31.34</v>
      </c>
    </row>
    <row r="24">
      <c r="A24" s="78">
        <v>1.0</v>
      </c>
      <c r="B24" s="66" t="s">
        <v>65</v>
      </c>
      <c r="C24" s="3" t="str">
        <f t="array" ref="C24">XLOOKUP(B24, 'Surfer Stats - Event 4'!B:B, 'Surfer Stats - Event 4'!D:D)</f>
        <v>Goofy</v>
      </c>
      <c r="D24" s="3">
        <f t="shared" si="1"/>
        <v>13</v>
      </c>
      <c r="E24" s="10">
        <v>0.0</v>
      </c>
      <c r="F24" s="10">
        <v>0.0</v>
      </c>
      <c r="G24" s="10">
        <v>99.0</v>
      </c>
      <c r="H24" s="10">
        <v>99.0</v>
      </c>
      <c r="I24" s="10">
        <v>99.0</v>
      </c>
      <c r="J24" s="3">
        <f>COUNTIFS( historical_events_FACT!J:J, "&gt;16", historical_events_FACT!G:G, B24,historical_events_FACT!C:C, "6" )</f>
        <v>0</v>
      </c>
      <c r="K24" s="3">
        <f t="shared" si="2"/>
        <v>14.59</v>
      </c>
      <c r="L24" s="10">
        <v>11.92</v>
      </c>
      <c r="M24" s="3">
        <f t="shared" si="10"/>
        <v>23.84</v>
      </c>
      <c r="N24" s="10">
        <v>2.0</v>
      </c>
      <c r="O24" s="3">
        <f t="shared" si="9"/>
        <v>13.98</v>
      </c>
      <c r="P24" s="10">
        <v>55.93</v>
      </c>
      <c r="Q24" s="10">
        <v>4.0</v>
      </c>
      <c r="R24" s="3">
        <f t="shared" si="5"/>
        <v>15.71</v>
      </c>
      <c r="S24" s="10">
        <v>109.94</v>
      </c>
      <c r="T24" s="10">
        <v>7.0</v>
      </c>
      <c r="U24" s="10">
        <v>19.2</v>
      </c>
      <c r="V24" s="3">
        <f t="array" ref="V24">ROUND(AVERAGEIF({ IFERROR(XLOOKUP(B24, 'Surfer Stats - Event 4'!B:B, 'Surfer Stats - Event 4'!AF:AF), ""), IFERROR(XLOOKUP(B24, 'Surfer Stats - Event 5'!B:B, 'Surfer Stats - Event 5'!AA:AA), ""), IFERROR(XLOOKUP(B24, 'Surfer Stats - Event 3'!B:B, 'Surfer Stats - Event 3'!AF:AF), "") }, "&lt;&gt;"),2)</f>
        <v>49.67</v>
      </c>
      <c r="W24" s="3">
        <f t="array" ref="W24">XLOOKUP(B24, 'Surfer Stats - Event 5'!B:B, 'Surfer Stats - Event 5'!AA:AA)</f>
        <v>76.07</v>
      </c>
      <c r="X24" s="3">
        <f t="array" ref="X24">XLOOKUP(B24,'Event 6 Assist'!A:A, 'Event 6 Assist'!B:B)</f>
        <v>8450</v>
      </c>
      <c r="Y24" s="105">
        <v>68.88</v>
      </c>
    </row>
    <row r="25">
      <c r="A25" s="64">
        <v>1.0</v>
      </c>
      <c r="B25" s="66" t="s">
        <v>69</v>
      </c>
      <c r="C25" s="3" t="str">
        <f t="array" ref="C25">XLOOKUP(B25, 'Surfer Stats - Event 4'!B:B, 'Surfer Stats - Event 4'!D:D)</f>
        <v>Regular</v>
      </c>
      <c r="D25" s="3">
        <f t="shared" si="1"/>
        <v>12</v>
      </c>
      <c r="E25" s="10">
        <v>0.0</v>
      </c>
      <c r="F25" s="10">
        <v>0.0</v>
      </c>
      <c r="G25" s="10">
        <v>99.0</v>
      </c>
      <c r="H25" s="10">
        <v>99.0</v>
      </c>
      <c r="I25" s="10">
        <v>99.0</v>
      </c>
      <c r="J25" s="3">
        <f>COUNTIFS( historical_events_FACT!J:J, "&gt;16", historical_events_FACT!G:G, B25,historical_events_FACT!C:C, "6" )</f>
        <v>0</v>
      </c>
      <c r="K25" s="3">
        <f t="shared" si="2"/>
        <v>13.14</v>
      </c>
      <c r="L25" s="10">
        <v>11.92</v>
      </c>
      <c r="M25" s="3">
        <f t="shared" si="10"/>
        <v>23.84</v>
      </c>
      <c r="N25" s="10">
        <v>2.0</v>
      </c>
      <c r="O25" s="3">
        <f t="shared" si="9"/>
        <v>11.59</v>
      </c>
      <c r="P25" s="10">
        <v>46.35</v>
      </c>
      <c r="Q25" s="10">
        <v>4.0</v>
      </c>
      <c r="R25" s="3">
        <f t="shared" si="5"/>
        <v>14.57</v>
      </c>
      <c r="S25" s="10">
        <v>87.43</v>
      </c>
      <c r="T25" s="10">
        <v>6.0</v>
      </c>
      <c r="U25" s="10">
        <v>16.1</v>
      </c>
      <c r="V25" s="3">
        <f t="array" ref="V25">ROUND(AVERAGEIF({ IFERROR(XLOOKUP(B25, 'Surfer Stats - Event 4'!B:B, 'Surfer Stats - Event 4'!AF:AF), ""), IFERROR(XLOOKUP(B25, 'Surfer Stats - Event 5'!B:B, 'Surfer Stats - Event 5'!AA:AA), ""), IFERROR(XLOOKUP(B25, 'Surfer Stats - Event 3'!B:B, 'Surfer Stats - Event 3'!AF:AF), "") }, "&lt;&gt;"),2)</f>
        <v>45.27</v>
      </c>
      <c r="W25" s="3">
        <f t="array" ref="W25">XLOOKUP(B25, 'Surfer Stats - Event 5'!B:B, 'Surfer Stats - Event 5'!AA:AA)</f>
        <v>17.27</v>
      </c>
      <c r="X25" s="3">
        <f t="array" ref="X25">XLOOKUP(B25,'Event 6 Assist'!A:A, 'Event 6 Assist'!B:B)</f>
        <v>9750</v>
      </c>
      <c r="Y25" s="104">
        <v>37.3</v>
      </c>
    </row>
    <row r="26">
      <c r="A26" s="78">
        <v>1.0</v>
      </c>
      <c r="B26" s="66" t="s">
        <v>54</v>
      </c>
      <c r="C26" s="3" t="str">
        <f t="array" ref="C26">XLOOKUP(B26, 'Surfer Stats - Event 4'!B:B, 'Surfer Stats - Event 4'!D:D)</f>
        <v>Goofy</v>
      </c>
      <c r="D26" s="3">
        <f t="shared" si="1"/>
        <v>12</v>
      </c>
      <c r="E26" s="10">
        <v>0.0</v>
      </c>
      <c r="F26" s="10">
        <v>0.0</v>
      </c>
      <c r="G26" s="10">
        <v>99.0</v>
      </c>
      <c r="H26" s="10">
        <v>9.0</v>
      </c>
      <c r="I26" s="10">
        <v>9.0</v>
      </c>
      <c r="J26" s="3">
        <f>COUNTIFS( historical_events_FACT!J:J, "&gt;16", historical_events_FACT!G:G, B26,historical_events_FACT!C:C, "6" )</f>
        <v>3</v>
      </c>
      <c r="K26" s="3">
        <f t="shared" si="2"/>
        <v>13.88</v>
      </c>
      <c r="L26" s="10">
        <v>11.92</v>
      </c>
      <c r="M26" s="3">
        <f t="shared" si="10"/>
        <v>23.84</v>
      </c>
      <c r="N26" s="10">
        <v>2.0</v>
      </c>
      <c r="O26" s="3">
        <f t="shared" si="9"/>
        <v>13.63</v>
      </c>
      <c r="P26" s="3">
        <f>SUMIFS( historical_events_FACT!J:J, historical_events_FACT!G:G, B26,historical_events_FACT!B:B, "2015",historical_events_FACT!C:C, "6" )</f>
        <v>68.17</v>
      </c>
      <c r="Q26" s="3">
        <f>COUNTIFS(historical_events_FACT!G:G, B26,historical_events_FACT!B:B, "2015",historical_events_FACT!C:C, "6" )</f>
        <v>5</v>
      </c>
      <c r="R26" s="3">
        <f t="shared" si="5"/>
        <v>14.91</v>
      </c>
      <c r="S26" s="3">
        <f>SUMIFS( historical_events_FACT!J:J, historical_events_FACT!G:G, B26,historical_events_FACT!B:B, "2016",historical_events_FACT!C:C, "6" )</f>
        <v>74.55</v>
      </c>
      <c r="T26" s="3">
        <f>COUNTIFS(historical_events_FACT!G:G, B26,historical_events_FACT!B:B, "2016",historical_events_FACT!C:C, "6" )</f>
        <v>5</v>
      </c>
      <c r="U26" s="3">
        <f>MAXIFS( historical_events_FACT!J:J, historical_events_FACT!G:G, B26,historical_events_FACT!C:C, "6" )</f>
        <v>18.32</v>
      </c>
      <c r="V26" s="3">
        <f t="array" ref="V26">ROUND(AVERAGEIF({ IFERROR(XLOOKUP(B26, 'Surfer Stats - Event 4'!B:B, 'Surfer Stats - Event 4'!AF:AF), ""), IFERROR(XLOOKUP(B26, 'Surfer Stats - Event 5'!B:B, 'Surfer Stats - Event 5'!AA:AA), ""), IFERROR(XLOOKUP(B26, 'Surfer Stats - Event 3'!B:B, 'Surfer Stats - Event 3'!AF:AF), "") }, "&lt;&gt;"),2)</f>
        <v>61.29</v>
      </c>
      <c r="W26" s="3">
        <f t="array" ref="W26">XLOOKUP(B26, 'Surfer Stats - Event 5'!B:B, 'Surfer Stats - Event 5'!AA:AA)</f>
        <v>33.2</v>
      </c>
      <c r="X26" s="3">
        <f t="array" ref="X26">XLOOKUP(B26,'Event 6 Assist'!A:A, 'Event 6 Assist'!B:B)</f>
        <v>10750</v>
      </c>
      <c r="Y26" s="104">
        <v>29.97</v>
      </c>
    </row>
    <row r="27">
      <c r="A27" s="64">
        <v>1.0</v>
      </c>
      <c r="B27" s="66" t="s">
        <v>67</v>
      </c>
      <c r="C27" s="3" t="str">
        <f t="array" ref="C27">XLOOKUP(B27, 'Surfer Stats - Event 4'!B:B, 'Surfer Stats - Event 4'!D:D)</f>
        <v>Goofy</v>
      </c>
      <c r="D27" s="3">
        <f t="shared" si="1"/>
        <v>4</v>
      </c>
      <c r="E27" s="10">
        <v>0.0</v>
      </c>
      <c r="F27" s="10">
        <v>0.0</v>
      </c>
      <c r="G27" s="10">
        <v>99.0</v>
      </c>
      <c r="H27" s="10">
        <v>99.0</v>
      </c>
      <c r="I27" s="10">
        <v>99.0</v>
      </c>
      <c r="J27" s="3">
        <f>COUNTIFS( historical_events_FACT!J:J, "&gt;16", historical_events_FACT!G:G, B27,historical_events_FACT!C:C, "6" )</f>
        <v>0</v>
      </c>
      <c r="K27" s="3">
        <f t="shared" si="2"/>
        <v>11.46</v>
      </c>
      <c r="L27" s="10">
        <v>11.92</v>
      </c>
      <c r="M27" s="3">
        <f t="shared" si="10"/>
        <v>23.84</v>
      </c>
      <c r="N27" s="10">
        <v>2.0</v>
      </c>
      <c r="O27" s="3">
        <f t="shared" si="9"/>
        <v>11.67</v>
      </c>
      <c r="P27" s="10">
        <v>11.67</v>
      </c>
      <c r="Q27" s="10">
        <v>1.0</v>
      </c>
      <c r="R27" s="3">
        <f t="shared" si="5"/>
        <v>10.33</v>
      </c>
      <c r="S27" s="10">
        <v>10.33</v>
      </c>
      <c r="T27" s="10">
        <v>1.0</v>
      </c>
      <c r="U27" s="10">
        <v>10.33</v>
      </c>
      <c r="V27" s="3">
        <f t="array" ref="V27">ROUND(AVERAGEIF({ IFERROR(XLOOKUP(B27, 'Surfer Stats - Event 4'!B:B, 'Surfer Stats - Event 4'!AF:AF), ""), IFERROR(XLOOKUP(B27, 'Surfer Stats - Event 5'!B:B, 'Surfer Stats - Event 5'!AA:AA), ""), IFERROR(XLOOKUP(B27, 'Surfer Stats - Event 3'!B:B, 'Surfer Stats - Event 3'!AF:AF), "") }, "&lt;&gt;"),2)</f>
        <v>37.69</v>
      </c>
      <c r="W27" s="3">
        <f t="array" ref="W27">XLOOKUP(B27, 'Surfer Stats - Event 5'!B:B, 'Surfer Stats - Event 5'!AA:AA)</f>
        <v>61.66</v>
      </c>
      <c r="X27" s="3">
        <f t="array" ref="X27">XLOOKUP(B27,'Event 6 Assist'!A:A, 'Event 6 Assist'!B:B)</f>
        <v>9750</v>
      </c>
      <c r="Y27" s="104">
        <v>27.07</v>
      </c>
    </row>
    <row r="28">
      <c r="A28" s="51">
        <v>1.0</v>
      </c>
      <c r="B28" s="66" t="s">
        <v>68</v>
      </c>
      <c r="C28" s="3" t="str">
        <f t="array" ref="C28">XLOOKUP(B28, 'Surfer Stats - Event 4'!B:B, 'Surfer Stats - Event 4'!D:D)</f>
        <v>Regular</v>
      </c>
      <c r="D28" s="3">
        <f t="shared" si="1"/>
        <v>5</v>
      </c>
      <c r="E28" s="10">
        <v>0.0</v>
      </c>
      <c r="F28" s="10">
        <v>0.0</v>
      </c>
      <c r="G28" s="10">
        <v>99.0</v>
      </c>
      <c r="H28" s="10">
        <v>25.0</v>
      </c>
      <c r="I28" s="10">
        <v>99.0</v>
      </c>
      <c r="J28" s="3">
        <f>COUNTIFS( historical_events_FACT!J:J, "&gt;16", historical_events_FACT!G:G, B28,historical_events_FACT!C:C, "6" )</f>
        <v>0</v>
      </c>
      <c r="K28" s="3">
        <f t="shared" si="2"/>
        <v>12.1</v>
      </c>
      <c r="L28" s="10">
        <v>11.92</v>
      </c>
      <c r="M28" s="3">
        <f t="shared" si="10"/>
        <v>23.84</v>
      </c>
      <c r="N28" s="10">
        <v>2.0</v>
      </c>
      <c r="O28" s="3">
        <f t="shared" si="9"/>
        <v>11.23</v>
      </c>
      <c r="P28" s="10">
        <v>11.23</v>
      </c>
      <c r="Q28" s="10">
        <v>1.0</v>
      </c>
      <c r="R28" s="3">
        <f t="shared" si="5"/>
        <v>12.72</v>
      </c>
      <c r="S28" s="3">
        <f>SUMIFS( historical_events_FACT!J:J, historical_events_FACT!G:G, B28,historical_events_FACT!B:B, "2016",historical_events_FACT!C:C, "6" )</f>
        <v>25.43</v>
      </c>
      <c r="T28" s="3">
        <f>COUNTIFS(historical_events_FACT!G:G, B28,historical_events_FACT!B:B, "2016",historical_events_FACT!C:C, "6" )</f>
        <v>2</v>
      </c>
      <c r="U28" s="3">
        <f>MAXIFS( historical_events_FACT!J:J, historical_events_FACT!G:G, B28,historical_events_FACT!C:C, "6" )</f>
        <v>15.26</v>
      </c>
      <c r="V28" s="3">
        <f t="array" ref="V28">ROUND(AVERAGEIF({ IFERROR(XLOOKUP(B28, 'Surfer Stats - Event 4'!B:B, 'Surfer Stats - Event 4'!AF:AF), ""), IFERROR(XLOOKUP(B28, 'Surfer Stats - Event 5'!B:B, 'Surfer Stats - Event 5'!AA:AA), ""), IFERROR(XLOOKUP(B28, 'Surfer Stats - Event 3'!B:B, 'Surfer Stats - Event 3'!AF:AF), "") }, "&lt;&gt;"),2)</f>
        <v>21.39</v>
      </c>
      <c r="W28" s="3">
        <f t="array" ref="W28">XLOOKUP(B28, 'Surfer Stats - Event 5'!B:B, 'Surfer Stats - Event 5'!AA:AA)</f>
        <v>14.33</v>
      </c>
      <c r="X28" s="3">
        <f t="array" ref="X28">XLOOKUP(B28,'Event 6 Assist'!A:A, 'Event 6 Assist'!B:B)</f>
        <v>8500</v>
      </c>
      <c r="Y28" s="105">
        <v>29.47</v>
      </c>
    </row>
    <row r="29">
      <c r="A29" s="78">
        <v>1.0</v>
      </c>
      <c r="B29" s="62" t="s">
        <v>285</v>
      </c>
      <c r="C29" s="3" t="str">
        <f t="array" ref="C29">XLOOKUP(B29, 'Surfer Stats - Event 4'!B:B, 'Surfer Stats - Event 4'!D:D)</f>
        <v>Regular</v>
      </c>
      <c r="D29" s="3">
        <f t="shared" si="1"/>
        <v>9</v>
      </c>
      <c r="E29" s="10">
        <v>0.0</v>
      </c>
      <c r="F29" s="10">
        <v>0.0</v>
      </c>
      <c r="G29" s="10">
        <v>99.0</v>
      </c>
      <c r="H29" s="10">
        <v>99.0</v>
      </c>
      <c r="I29" s="10">
        <v>99.0</v>
      </c>
      <c r="J29" s="3">
        <f>COUNTIFS( historical_events_FACT!J:J, "&gt;16", historical_events_FACT!G:G, B29,historical_events_FACT!C:C, "6" )</f>
        <v>0</v>
      </c>
      <c r="K29" s="3">
        <f t="shared" si="2"/>
        <v>13.28</v>
      </c>
      <c r="L29" s="10">
        <v>11.92</v>
      </c>
      <c r="M29" s="3">
        <f t="shared" si="10"/>
        <v>23.84</v>
      </c>
      <c r="N29" s="10">
        <v>2.0</v>
      </c>
      <c r="O29" s="10">
        <v>13.58</v>
      </c>
      <c r="P29" s="3">
        <f>O29*Q29</f>
        <v>40.74</v>
      </c>
      <c r="Q29" s="10">
        <v>3.0</v>
      </c>
      <c r="R29" s="3">
        <f t="shared" si="5"/>
        <v>13.74</v>
      </c>
      <c r="S29" s="10">
        <v>54.96</v>
      </c>
      <c r="T29" s="10">
        <v>4.0</v>
      </c>
      <c r="U29" s="10">
        <v>16.13</v>
      </c>
      <c r="V29" s="3">
        <f t="array" ref="V29">ROUND(AVERAGEIF({ IFERROR(XLOOKUP(B29, 'Surfer Stats - Event 4'!B:B, 'Surfer Stats - Event 4'!AF:AF), ""), IFERROR(XLOOKUP(B29, 'Surfer Stats - Event 5'!B:B, 'Surfer Stats - Event 5'!AA:AA), ""), IFERROR(XLOOKUP(B29, 'Surfer Stats - Event 3'!B:B, 'Surfer Stats - Event 3'!AF:AF), "") }, "&lt;&gt;"),2)</f>
        <v>14.51</v>
      </c>
      <c r="W29" s="10">
        <v>14.51</v>
      </c>
      <c r="X29" s="3">
        <f t="array" ref="X29">XLOOKUP(B29,'Event 6 Assist'!A:A, 'Event 6 Assist'!B:B)</f>
        <v>7200</v>
      </c>
      <c r="Y29" s="105">
        <v>44.04</v>
      </c>
    </row>
    <row r="30">
      <c r="A30" s="78">
        <v>1.0</v>
      </c>
      <c r="B30" s="66" t="s">
        <v>53</v>
      </c>
      <c r="C30" s="3" t="str">
        <f t="array" ref="C30">XLOOKUP(B30, 'Surfer Stats - Event 4'!B:B, 'Surfer Stats - Event 4'!D:D)</f>
        <v>Regular</v>
      </c>
      <c r="D30" s="3">
        <f t="shared" si="1"/>
        <v>9</v>
      </c>
      <c r="E30" s="10">
        <v>0.0</v>
      </c>
      <c r="F30" s="10">
        <v>0.0</v>
      </c>
      <c r="G30" s="10">
        <v>99.0</v>
      </c>
      <c r="H30" s="10">
        <v>13.0</v>
      </c>
      <c r="I30" s="10">
        <v>99.0</v>
      </c>
      <c r="J30" s="3">
        <f>COUNTIFS( historical_events_FACT!J:J, "&gt;16", historical_events_FACT!G:G, B30,historical_events_FACT!C:C, "6" )</f>
        <v>0</v>
      </c>
      <c r="K30" s="3">
        <f t="shared" si="2"/>
        <v>13.76</v>
      </c>
      <c r="L30" s="10">
        <v>11.92</v>
      </c>
      <c r="M30" s="3">
        <f t="shared" si="10"/>
        <v>23.84</v>
      </c>
      <c r="N30" s="10">
        <v>2.0</v>
      </c>
      <c r="O30" s="3">
        <f t="shared" ref="O30:O31" si="11">IF(P30=0,0,ROUND(P30/Q30,2))</f>
        <v>13.95</v>
      </c>
      <c r="P30" s="10">
        <v>69.76</v>
      </c>
      <c r="Q30" s="10">
        <v>5.0</v>
      </c>
      <c r="R30" s="3">
        <f t="shared" si="5"/>
        <v>15.12</v>
      </c>
      <c r="S30" s="3">
        <f>SUMIFS( historical_events_FACT!J:J, historical_events_FACT!G:G, B30,historical_events_FACT!B:B, "2016",historical_events_FACT!C:C, "6" )</f>
        <v>30.24</v>
      </c>
      <c r="T30" s="3">
        <f>COUNTIFS(historical_events_FACT!G:G, B30,historical_events_FACT!B:B, "2016",historical_events_FACT!C:C, "6" )</f>
        <v>2</v>
      </c>
      <c r="U30" s="3">
        <f>MAXIFS( historical_events_FACT!J:J, historical_events_FACT!G:G, B30,historical_events_FACT!C:C, "6" )</f>
        <v>15.64</v>
      </c>
      <c r="V30" s="3">
        <f t="array" ref="V30">ROUND(AVERAGEIF({ IFERROR(XLOOKUP(B30, 'Surfer Stats - Event 4'!B:B, 'Surfer Stats - Event 4'!AF:AF), ""), IFERROR(XLOOKUP(B30, 'Surfer Stats - Event 5'!B:B, 'Surfer Stats - Event 5'!AA:AA), ""), IFERROR(XLOOKUP(B30, 'Surfer Stats - Event 3'!B:B, 'Surfer Stats - Event 3'!AF:AF), "") }, "&lt;&gt;"),2)</f>
        <v>32.31</v>
      </c>
      <c r="W30" s="3">
        <f t="array" ref="W30">XLOOKUP(B30, 'Surfer Stats - Event 5'!B:B, 'Surfer Stats - Event 5'!AA:AA)</f>
        <v>14.56</v>
      </c>
      <c r="X30" s="3">
        <f t="array" ref="X30">XLOOKUP(B30,'Event 6 Assist'!A:A, 'Event 6 Assist'!B:B)</f>
        <v>7250</v>
      </c>
      <c r="Y30" s="105">
        <v>21.6</v>
      </c>
    </row>
    <row r="31">
      <c r="A31" s="78">
        <v>1.0</v>
      </c>
      <c r="B31" s="66" t="s">
        <v>36</v>
      </c>
      <c r="C31" s="3" t="str">
        <f t="array" ref="C31">XLOOKUP(B31, 'Surfer Stats - Event 4'!B:B, 'Surfer Stats - Event 4'!D:D)</f>
        <v>Regular</v>
      </c>
      <c r="D31" s="3">
        <f t="shared" si="1"/>
        <v>7</v>
      </c>
      <c r="E31" s="10">
        <v>0.0</v>
      </c>
      <c r="F31" s="10">
        <v>0.0</v>
      </c>
      <c r="G31" s="10">
        <v>99.0</v>
      </c>
      <c r="H31" s="10">
        <v>25.0</v>
      </c>
      <c r="I31" s="10">
        <v>99.0</v>
      </c>
      <c r="J31" s="3">
        <f>COUNTIFS( historical_events_FACT!J:J, "&gt;16", historical_events_FACT!G:G, B31,historical_events_FACT!C:C, "6" )</f>
        <v>0</v>
      </c>
      <c r="K31" s="3">
        <f t="shared" si="2"/>
        <v>12.67</v>
      </c>
      <c r="L31" s="10">
        <v>11.92</v>
      </c>
      <c r="M31" s="3">
        <f t="shared" si="10"/>
        <v>23.84</v>
      </c>
      <c r="N31" s="10">
        <v>2.0</v>
      </c>
      <c r="O31" s="3">
        <f t="shared" si="11"/>
        <v>14.57</v>
      </c>
      <c r="P31" s="10">
        <v>43.7</v>
      </c>
      <c r="Q31" s="10">
        <v>3.0</v>
      </c>
      <c r="R31" s="3">
        <f t="shared" si="5"/>
        <v>10.59</v>
      </c>
      <c r="S31" s="3">
        <f>SUMIFS( historical_events_FACT!J:J, historical_events_FACT!G:G, B31,historical_events_FACT!B:B, "2016",historical_events_FACT!C:C, "6" )</f>
        <v>21.18</v>
      </c>
      <c r="T31" s="3">
        <f>COUNTIFS(historical_events_FACT!G:G, B31,historical_events_FACT!B:B, "2016",historical_events_FACT!C:C, "6" )</f>
        <v>2</v>
      </c>
      <c r="U31" s="3">
        <f>MAXIFS( historical_events_FACT!J:J, historical_events_FACT!G:G, B31,historical_events_FACT!C:C, "6" )</f>
        <v>11.44</v>
      </c>
      <c r="V31" s="3">
        <f t="array" ref="V31">ROUND(AVERAGEIF({ IFERROR(XLOOKUP(B31, 'Surfer Stats - Event 4'!B:B, 'Surfer Stats - Event 4'!AF:AF), ""), IFERROR(XLOOKUP(B31, 'Surfer Stats - Event 5'!B:B, 'Surfer Stats - Event 5'!AA:AA), ""), IFERROR(XLOOKUP(B31, 'Surfer Stats - Event 3'!B:B, 'Surfer Stats - Event 3'!AF:AF), "") }, "&lt;&gt;"),2)</f>
        <v>35.39</v>
      </c>
      <c r="W31" s="3">
        <f t="array" ref="W31">XLOOKUP(B31, 'Surfer Stats - Event 5'!B:B, 'Surfer Stats - Event 5'!AA:AA)</f>
        <v>52.37</v>
      </c>
      <c r="X31" s="3">
        <f t="array" ref="X31">XLOOKUP(B31,'Event 6 Assist'!A:A, 'Event 6 Assist'!B:B)</f>
        <v>7250</v>
      </c>
      <c r="Y31" s="105">
        <v>29.57</v>
      </c>
    </row>
    <row r="32">
      <c r="A32" s="64">
        <v>0.0</v>
      </c>
      <c r="B32" s="82" t="s">
        <v>169</v>
      </c>
      <c r="C32" s="3" t="str">
        <f t="array" ref="C32">XLOOKUP(B32, 'Surfer Stats - Event 4'!B:B, 'Surfer Stats - Event 4'!D:D)</f>
        <v>Goofy</v>
      </c>
      <c r="D32" s="3">
        <f t="shared" si="1"/>
        <v>5</v>
      </c>
      <c r="E32" s="10">
        <v>0.0</v>
      </c>
      <c r="F32" s="10">
        <v>0.0</v>
      </c>
      <c r="G32" s="10">
        <v>99.0</v>
      </c>
      <c r="H32" s="10">
        <v>99.0</v>
      </c>
      <c r="I32" s="10">
        <v>99.0</v>
      </c>
      <c r="J32" s="3">
        <f>COUNTIFS( historical_events_FACT!J:J, "&gt;16", historical_events_FACT!G:G, B32,historical_events_FACT!C:C, "6" )</f>
        <v>0</v>
      </c>
      <c r="K32" s="3">
        <f t="shared" si="2"/>
        <v>12.92</v>
      </c>
      <c r="L32" s="10">
        <v>11.92</v>
      </c>
      <c r="M32" s="3">
        <f t="shared" si="10"/>
        <v>23.84</v>
      </c>
      <c r="N32" s="10">
        <v>2.0</v>
      </c>
      <c r="O32" s="10">
        <v>13.58</v>
      </c>
      <c r="P32" s="3">
        <f>O32*Q32</f>
        <v>40.74</v>
      </c>
      <c r="Q32" s="10">
        <v>3.0</v>
      </c>
      <c r="R32" s="3">
        <f t="shared" si="5"/>
        <v>0</v>
      </c>
      <c r="S32" s="3">
        <f>SUMIFS( historical_events_FACT!J:J, historical_events_FACT!G:G, B32,historical_events_FACT!B:B, "2016",historical_events_FACT!C:C, "6" )</f>
        <v>0</v>
      </c>
      <c r="T32" s="3">
        <f>COUNTIFS(historical_events_FACT!G:G, B32,historical_events_FACT!B:B, "2016",historical_events_FACT!C:C, "6" )</f>
        <v>0</v>
      </c>
      <c r="U32" s="3">
        <f>MAXIFS( historical_events_FACT!J:J, historical_events_FACT!G:G, B32,historical_events_FACT!C:C, "6" )</f>
        <v>0</v>
      </c>
      <c r="V32" s="3">
        <f t="array" ref="V32">ROUND(AVERAGEIF({ IFERROR(XLOOKUP(B32, 'Surfer Stats - Event 4'!B:B, 'Surfer Stats - Event 4'!AF:AF), ""), IFERROR(XLOOKUP(B32, 'Surfer Stats - Event 5'!B:B, 'Surfer Stats - Event 5'!AA:AA), ""), IFERROR(XLOOKUP(B32, 'Surfer Stats - Event 3'!B:B, 'Surfer Stats - Event 3'!AF:AF), "") }, "&lt;&gt;"),2)</f>
        <v>59.69</v>
      </c>
      <c r="W32" s="3">
        <f t="array" ref="W32">XLOOKUP(B32, 'Surfer Stats - Event 5'!B:B, 'Surfer Stats - Event 5'!AA:AA)</f>
        <v>19.76</v>
      </c>
      <c r="X32" s="3">
        <f t="array" ref="X32">XLOOKUP(B32,'Event 6 Assist'!A:A, 'Event 6 Assist'!B:B)</f>
        <v>7000</v>
      </c>
      <c r="Y32" s="93"/>
    </row>
    <row r="33">
      <c r="A33" s="78">
        <v>1.0</v>
      </c>
      <c r="B33" s="66" t="s">
        <v>55</v>
      </c>
      <c r="C33" s="3" t="str">
        <f t="array" ref="C33">XLOOKUP(B33, 'Surfer Stats - Event 4'!B:B, 'Surfer Stats - Event 4'!D:D)</f>
        <v>Goofy</v>
      </c>
      <c r="D33" s="3">
        <f t="shared" si="1"/>
        <v>8</v>
      </c>
      <c r="E33" s="10">
        <v>0.0</v>
      </c>
      <c r="F33" s="10">
        <v>0.0</v>
      </c>
      <c r="G33" s="10">
        <v>13.0</v>
      </c>
      <c r="H33" s="10">
        <v>13.0</v>
      </c>
      <c r="I33" s="10">
        <v>25.0</v>
      </c>
      <c r="J33" s="3">
        <f>COUNTIFS( historical_events_FACT!J:J, "&gt;16", historical_events_FACT!G:G, B33,historical_events_FACT!C:C, "6" )</f>
        <v>0</v>
      </c>
      <c r="K33" s="3">
        <f t="shared" si="2"/>
        <v>11.41</v>
      </c>
      <c r="L33" s="3">
        <f t="shared" ref="L33:L36" si="12">IF(M33=0,0,ROUND(M33/N33,2))</f>
        <v>12.23</v>
      </c>
      <c r="M33" s="3">
        <f>SUMIFS( '2014Data'!I:I, '2014Data'!F:F, B33,'2014Data'!B:B, "6" )</f>
        <v>36.68</v>
      </c>
      <c r="N33" s="3">
        <f>COUNTIFS('2014Data'!F:F, B33,'2014Data'!B:B, "6" )</f>
        <v>3</v>
      </c>
      <c r="O33" s="3">
        <f t="shared" ref="O33:O46" si="13">IF(P33=0,0,ROUND(P33/Q33,2))</f>
        <v>10.42</v>
      </c>
      <c r="P33" s="3">
        <f>SUMIFS( historical_events_FACT!J:J, historical_events_FACT!G:G, B33,historical_events_FACT!B:B, "2015",historical_events_FACT!C:C, "6" )</f>
        <v>20.83</v>
      </c>
      <c r="Q33" s="3">
        <f>COUNTIFS(historical_events_FACT!G:G, B33,historical_events_FACT!B:B, "2015",historical_events_FACT!C:C, "6" )</f>
        <v>2</v>
      </c>
      <c r="R33" s="3">
        <f t="shared" si="5"/>
        <v>11.26</v>
      </c>
      <c r="S33" s="3">
        <f>SUMIFS( historical_events_FACT!J:J, historical_events_FACT!G:G, B33,historical_events_FACT!B:B, "2016",historical_events_FACT!C:C, "6" )</f>
        <v>33.77</v>
      </c>
      <c r="T33" s="3">
        <f>COUNTIFS(historical_events_FACT!G:G, B33,historical_events_FACT!B:B, "2016",historical_events_FACT!C:C, "6" )</f>
        <v>3</v>
      </c>
      <c r="U33" s="3">
        <f>MAXIFS( historical_events_FACT!J:J, historical_events_FACT!G:G, B33,historical_events_FACT!C:C, "6" )</f>
        <v>15.67</v>
      </c>
      <c r="V33" s="3">
        <f t="array" ref="V33">ROUND(AVERAGEIF({ IFERROR(XLOOKUP(B33, 'Surfer Stats - Event 4'!B:B, 'Surfer Stats - Event 4'!AF:AF), ""), IFERROR(XLOOKUP(B33, 'Surfer Stats - Event 5'!B:B, 'Surfer Stats - Event 5'!AA:AA), ""), IFERROR(XLOOKUP(B33, 'Surfer Stats - Event 3'!B:B, 'Surfer Stats - Event 3'!AF:AF), "") }, "&lt;&gt;"),2)</f>
        <v>29.81</v>
      </c>
      <c r="W33" s="3">
        <f t="array" ref="W33">XLOOKUP(B33, 'Surfer Stats - Event 5'!B:B, 'Surfer Stats - Event 5'!AA:AA)</f>
        <v>35.17</v>
      </c>
      <c r="X33" s="3">
        <f t="array" ref="X33">XLOOKUP(B33,'Event 6 Assist'!A:A, 'Event 6 Assist'!B:B)</f>
        <v>6250</v>
      </c>
      <c r="Y33" s="105">
        <v>23.43</v>
      </c>
    </row>
    <row r="34">
      <c r="A34" s="78">
        <v>1.0</v>
      </c>
      <c r="B34" s="66" t="s">
        <v>35</v>
      </c>
      <c r="C34" s="3" t="str">
        <f t="array" ref="C34">XLOOKUP(B34, 'Surfer Stats - Event 4'!B:B, 'Surfer Stats - Event 4'!D:D)</f>
        <v>Goofy</v>
      </c>
      <c r="D34" s="3">
        <f t="shared" si="1"/>
        <v>6</v>
      </c>
      <c r="E34" s="10">
        <v>0.0</v>
      </c>
      <c r="F34" s="10">
        <v>0.0</v>
      </c>
      <c r="G34" s="10">
        <v>25.0</v>
      </c>
      <c r="H34" s="10">
        <v>25.0</v>
      </c>
      <c r="I34" s="10">
        <v>25.0</v>
      </c>
      <c r="J34" s="3">
        <f>COUNTIFS( historical_events_FACT!J:J, "&gt;16", historical_events_FACT!G:G, B34,historical_events_FACT!C:C, "6" )</f>
        <v>2</v>
      </c>
      <c r="K34" s="3">
        <f t="shared" si="2"/>
        <v>14.35</v>
      </c>
      <c r="L34" s="3">
        <f t="shared" si="12"/>
        <v>12.31</v>
      </c>
      <c r="M34" s="3">
        <f>SUMIFS( '2014Data'!I:I, '2014Data'!F:F, B34,'2014Data'!B:B, "6" )</f>
        <v>24.61</v>
      </c>
      <c r="N34" s="3">
        <f>COUNTIFS('2014Data'!F:F, B34,'2014Data'!B:B, "6" )</f>
        <v>2</v>
      </c>
      <c r="O34" s="3">
        <f t="shared" si="13"/>
        <v>15.84</v>
      </c>
      <c r="P34" s="3">
        <f>SUMIFS( historical_events_FACT!J:J, historical_events_FACT!G:G, B34,historical_events_FACT!B:B, "2015",historical_events_FACT!C:C, "6" )</f>
        <v>31.67</v>
      </c>
      <c r="Q34" s="3">
        <f>COUNTIFS(historical_events_FACT!G:G, B34,historical_events_FACT!B:B, "2015",historical_events_FACT!C:C, "6" )</f>
        <v>2</v>
      </c>
      <c r="R34" s="3">
        <f t="shared" si="5"/>
        <v>14.9</v>
      </c>
      <c r="S34" s="3">
        <f>SUMIFS( historical_events_FACT!J:J, historical_events_FACT!G:G, B34,historical_events_FACT!B:B, "2016",historical_events_FACT!C:C, "6" )</f>
        <v>29.79</v>
      </c>
      <c r="T34" s="3">
        <f>COUNTIFS(historical_events_FACT!G:G, B34,historical_events_FACT!B:B, "2016",historical_events_FACT!C:C, "6" )</f>
        <v>2</v>
      </c>
      <c r="U34" s="3">
        <f>MAXIFS( historical_events_FACT!J:J, historical_events_FACT!G:G, B34,historical_events_FACT!C:C, "6" )</f>
        <v>17.13</v>
      </c>
      <c r="V34" s="3">
        <f t="array" ref="V34">ROUND(AVERAGEIF({ IFERROR(XLOOKUP(B34, 'Surfer Stats - Event 4'!B:B, 'Surfer Stats - Event 4'!AF:AF), ""), IFERROR(XLOOKUP(B34, 'Surfer Stats - Event 5'!B:B, 'Surfer Stats - Event 5'!AA:AA), ""), IFERROR(XLOOKUP(B34, 'Surfer Stats - Event 3'!B:B, 'Surfer Stats - Event 3'!AF:AF), "") }, "&lt;&gt;"),2)</f>
        <v>25.02</v>
      </c>
      <c r="W34" s="3">
        <f t="array" ref="W34">XLOOKUP(B34, 'Surfer Stats - Event 5'!B:B, 'Surfer Stats - Event 5'!AA:AA)</f>
        <v>21.6</v>
      </c>
      <c r="X34" s="3">
        <f t="array" ref="X34">XLOOKUP(B34,'Event 6 Assist'!A:A, 'Event 6 Assist'!B:B)</f>
        <v>5000</v>
      </c>
      <c r="Y34" s="105">
        <v>38.31</v>
      </c>
    </row>
    <row r="35">
      <c r="A35" s="64">
        <v>0.0</v>
      </c>
      <c r="B35" s="82" t="s">
        <v>56</v>
      </c>
      <c r="C35" s="3" t="str">
        <f t="array" ref="C35">XLOOKUP(B35, 'Surfer Stats - Event 4'!B:B, 'Surfer Stats - Event 4'!D:D)</f>
        <v>Goofy</v>
      </c>
      <c r="D35" s="3">
        <f t="shared" si="1"/>
        <v>10</v>
      </c>
      <c r="E35" s="10">
        <v>0.0</v>
      </c>
      <c r="F35" s="10">
        <v>0.0</v>
      </c>
      <c r="G35" s="10">
        <v>13.0</v>
      </c>
      <c r="H35" s="10">
        <v>25.0</v>
      </c>
      <c r="I35" s="10">
        <v>9.0</v>
      </c>
      <c r="J35" s="3">
        <f>COUNTIFS( historical_events_FACT!J:J, "&gt;16", historical_events_FACT!G:G, B35,historical_events_FACT!C:C, "6" )</f>
        <v>2</v>
      </c>
      <c r="K35" s="3">
        <f t="shared" si="2"/>
        <v>11.51</v>
      </c>
      <c r="L35" s="3">
        <f t="shared" si="12"/>
        <v>10.21</v>
      </c>
      <c r="M35" s="3">
        <f>SUMIFS( '2014Data'!I:I, '2014Data'!F:F, B35,'2014Data'!B:B, "6" )</f>
        <v>30.64</v>
      </c>
      <c r="N35" s="3">
        <f>COUNTIFS('2014Data'!F:F, B35,'2014Data'!B:B, "6" )</f>
        <v>3</v>
      </c>
      <c r="O35" s="3">
        <f t="shared" si="13"/>
        <v>12.8</v>
      </c>
      <c r="P35" s="3">
        <f>SUMIFS( historical_events_FACT!J:J, historical_events_FACT!G:G, B35,historical_events_FACT!B:B, "2015",historical_events_FACT!C:C, "6" )</f>
        <v>64.01</v>
      </c>
      <c r="Q35" s="3">
        <f>COUNTIFS(historical_events_FACT!G:G, B35,historical_events_FACT!B:B, "2015",historical_events_FACT!C:C, "6" )</f>
        <v>5</v>
      </c>
      <c r="R35" s="3">
        <f t="shared" si="5"/>
        <v>10.22</v>
      </c>
      <c r="S35" s="3">
        <f>SUMIFS( historical_events_FACT!J:J, historical_events_FACT!G:G, B35,historical_events_FACT!B:B, "2016",historical_events_FACT!C:C, "6" )</f>
        <v>20.43</v>
      </c>
      <c r="T35" s="3">
        <f>COUNTIFS(historical_events_FACT!G:G, B35,historical_events_FACT!B:B, "2016",historical_events_FACT!C:C, "6" )</f>
        <v>2</v>
      </c>
      <c r="U35" s="3">
        <f>MAXIFS( historical_events_FACT!J:J, historical_events_FACT!G:G, B35,historical_events_FACT!C:C, "6" )</f>
        <v>17.03</v>
      </c>
      <c r="V35" s="3">
        <f t="array" ref="V35">ROUND(AVERAGEIF({ IFERROR(XLOOKUP(B35, 'Surfer Stats - Event 4'!B:B, 'Surfer Stats - Event 4'!AF:AF), ""), IFERROR(XLOOKUP(B35, 'Surfer Stats - Event 5'!B:B, 'Surfer Stats - Event 5'!AA:AA), ""), IFERROR(XLOOKUP(B35, 'Surfer Stats - Event 3'!B:B, 'Surfer Stats - Event 3'!AF:AF), "") }, "&lt;&gt;"),2)</f>
        <v>25.44</v>
      </c>
      <c r="W35" s="3">
        <f t="array" ref="W35">XLOOKUP(B35, 'Surfer Stats - Event 5'!B:B, 'Surfer Stats - Event 5'!AA:AA)</f>
        <v>18.53</v>
      </c>
      <c r="X35" s="3">
        <f t="array" ref="X35">XLOOKUP(B35,'Event 6 Assist'!A:A, 'Event 6 Assist'!B:B)</f>
        <v>6250</v>
      </c>
      <c r="Y35" s="93"/>
    </row>
    <row r="36">
      <c r="A36" s="51">
        <v>1.0</v>
      </c>
      <c r="B36" s="66" t="s">
        <v>45</v>
      </c>
      <c r="C36" s="3" t="str">
        <f t="array" ref="C36">XLOOKUP(B36, 'Surfer Stats - Event 4'!B:B, 'Surfer Stats - Event 4'!D:D)</f>
        <v>Regular</v>
      </c>
      <c r="D36" s="3">
        <f t="shared" si="1"/>
        <v>13</v>
      </c>
      <c r="E36" s="10">
        <v>0.0</v>
      </c>
      <c r="F36" s="10">
        <v>0.0</v>
      </c>
      <c r="G36" s="10">
        <v>9.0</v>
      </c>
      <c r="H36" s="10">
        <v>3.0</v>
      </c>
      <c r="I36" s="10">
        <v>13.0</v>
      </c>
      <c r="J36" s="3">
        <f>COUNTIFS( historical_events_FACT!J:J, "&gt;16", historical_events_FACT!G:G, B36,historical_events_FACT!C:C, "6" )</f>
        <v>2</v>
      </c>
      <c r="K36" s="3">
        <f t="shared" si="2"/>
        <v>12.83</v>
      </c>
      <c r="L36" s="3">
        <f t="shared" si="12"/>
        <v>11.39</v>
      </c>
      <c r="M36" s="3">
        <f>SUMIFS( '2014Data'!I:I, '2014Data'!F:F, B36,'2014Data'!B:B, "6" )</f>
        <v>45.57</v>
      </c>
      <c r="N36" s="3">
        <f>COUNTIFS('2014Data'!F:F, B36,'2014Data'!B:B, "6" )</f>
        <v>4</v>
      </c>
      <c r="O36" s="3">
        <f t="shared" si="13"/>
        <v>12.64</v>
      </c>
      <c r="P36" s="3">
        <f>SUMIFS( historical_events_FACT!J:J, historical_events_FACT!G:G, B36,historical_events_FACT!B:B, "2015",historical_events_FACT!C:C, "6" )</f>
        <v>25.27</v>
      </c>
      <c r="Q36" s="3">
        <f>COUNTIFS(historical_events_FACT!G:G, B36,historical_events_FACT!B:B, "2015",historical_events_FACT!C:C, "6" )</f>
        <v>2</v>
      </c>
      <c r="R36" s="3">
        <f t="shared" si="5"/>
        <v>13.7</v>
      </c>
      <c r="S36" s="3">
        <f>SUMIFS( historical_events_FACT!J:J, historical_events_FACT!G:G, B36,historical_events_FACT!B:B, "2016",historical_events_FACT!C:C, "6" )</f>
        <v>95.9</v>
      </c>
      <c r="T36" s="3">
        <f>COUNTIFS(historical_events_FACT!G:G, B36,historical_events_FACT!B:B, "2016",historical_events_FACT!C:C, "6" )</f>
        <v>7</v>
      </c>
      <c r="U36" s="3">
        <f>MAXIFS( historical_events_FACT!J:J, historical_events_FACT!G:G, B36,historical_events_FACT!C:C, "6" )</f>
        <v>18.06</v>
      </c>
      <c r="V36" s="3">
        <f t="array" ref="V36">ROUND(AVERAGEIF({ IFERROR(XLOOKUP(B36, 'Surfer Stats - Event 4'!B:B, 'Surfer Stats - Event 4'!AF:AF), ""), IFERROR(XLOOKUP(B36, 'Surfer Stats - Event 5'!B:B, 'Surfer Stats - Event 5'!AA:AA), ""), IFERROR(XLOOKUP(B36, 'Surfer Stats - Event 3'!B:B, 'Surfer Stats - Event 3'!AF:AF), "") }, "&lt;&gt;"),2)</f>
        <v>24.04</v>
      </c>
      <c r="W36" s="3">
        <f t="array" ref="W36">XLOOKUP(B36, 'Surfer Stats - Event 5'!B:B, 'Surfer Stats - Event 5'!AA:AA)</f>
        <v>18.23</v>
      </c>
      <c r="X36" s="3">
        <f t="array" ref="X36">XLOOKUP(B36,'Event 6 Assist'!A:A, 'Event 6 Assist'!B:B)</f>
        <v>3750</v>
      </c>
      <c r="Y36" s="105">
        <v>21.53</v>
      </c>
    </row>
    <row r="37">
      <c r="A37" s="78">
        <v>1.0</v>
      </c>
      <c r="B37" s="66" t="s">
        <v>63</v>
      </c>
      <c r="C37" s="3" t="str">
        <f t="array" ref="C37">XLOOKUP(B37, 'Surfer Stats - Event 4'!B:B, 'Surfer Stats - Event 4'!D:D)</f>
        <v>Regular</v>
      </c>
      <c r="D37" s="3">
        <f t="shared" si="1"/>
        <v>7</v>
      </c>
      <c r="E37" s="10">
        <v>0.0</v>
      </c>
      <c r="F37" s="10">
        <v>0.0</v>
      </c>
      <c r="G37" s="10">
        <v>99.0</v>
      </c>
      <c r="H37" s="10">
        <v>99.0</v>
      </c>
      <c r="I37" s="10">
        <v>99.0</v>
      </c>
      <c r="J37" s="3">
        <f>COUNTIFS( historical_events_FACT!J:J, "&gt;16", historical_events_FACT!G:G, B37,historical_events_FACT!C:C, "6" )</f>
        <v>0</v>
      </c>
      <c r="K37" s="3">
        <f t="shared" si="2"/>
        <v>13.87</v>
      </c>
      <c r="L37" s="10">
        <v>11.92</v>
      </c>
      <c r="M37" s="3">
        <f>L37*2</f>
        <v>23.84</v>
      </c>
      <c r="N37" s="10">
        <v>2.0</v>
      </c>
      <c r="O37" s="3">
        <f t="shared" si="13"/>
        <v>0</v>
      </c>
      <c r="P37" s="3">
        <f>SUMIFS( historical_events_FACT!J:J, historical_events_FACT!G:G, B37,historical_events_FACT!B:B, "2015",historical_events_FACT!C:C, "6" )</f>
        <v>0</v>
      </c>
      <c r="Q37" s="3">
        <f>COUNTIFS(historical_events_FACT!G:G, B37,historical_events_FACT!B:B, "2015",historical_events_FACT!C:C, "6" )</f>
        <v>0</v>
      </c>
      <c r="R37" s="3">
        <f t="shared" si="5"/>
        <v>14.65</v>
      </c>
      <c r="S37" s="10">
        <v>73.26</v>
      </c>
      <c r="T37" s="10">
        <v>5.0</v>
      </c>
      <c r="U37" s="10">
        <v>15.3</v>
      </c>
      <c r="V37" s="3">
        <f t="array" ref="V37">ROUND(AVERAGEIF({ IFERROR(XLOOKUP(B37, 'Surfer Stats - Event 4'!B:B, 'Surfer Stats - Event 4'!AF:AF), ""), IFERROR(XLOOKUP(B37, 'Surfer Stats - Event 5'!B:B, 'Surfer Stats - Event 5'!AA:AA), ""), IFERROR(XLOOKUP(B37, 'Surfer Stats - Event 3'!B:B, 'Surfer Stats - Event 3'!AF:AF), "") }, "&lt;&gt;"),2)</f>
        <v>19.57</v>
      </c>
      <c r="W37" s="3">
        <f t="array" ref="W37">XLOOKUP(B37, 'Surfer Stats - Event 5'!B:B, 'Surfer Stats - Event 5'!AA:AA)</f>
        <v>15.9</v>
      </c>
      <c r="X37" s="3">
        <f t="array" ref="X37">XLOOKUP(B37,'Event 6 Assist'!A:A, 'Event 6 Assist'!B:B)</f>
        <v>2500</v>
      </c>
      <c r="Y37" s="105">
        <v>21.03</v>
      </c>
    </row>
    <row r="38">
      <c r="A38" s="51">
        <v>0.0</v>
      </c>
      <c r="B38" s="82" t="s">
        <v>142</v>
      </c>
      <c r="C38" s="3" t="str">
        <f t="array" ref="C38">XLOOKUP(B38, 'Surfer Stats - Event 4'!B:B, 'Surfer Stats - Event 4'!D:D)</f>
        <v>Goofy</v>
      </c>
      <c r="D38" s="3">
        <f t="shared" si="1"/>
        <v>0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"6" )</f>
        <v>0</v>
      </c>
      <c r="K38" s="3">
        <f t="shared" si="2"/>
        <v>0</v>
      </c>
      <c r="L38" s="3">
        <f t="shared" ref="L38:L45" si="14">IF(M38=0,0,ROUND(M38/N38,2))</f>
        <v>0</v>
      </c>
      <c r="M38" s="3">
        <f>SUMIFS( '2014Data'!I:I, '2014Data'!F:F, B38,'2014Data'!B:B, "6" )</f>
        <v>0</v>
      </c>
      <c r="N38" s="3">
        <f>COUNTIFS('2014Data'!F:F, B38,'2014Data'!B:B, "6" )</f>
        <v>0</v>
      </c>
      <c r="O38" s="3">
        <f t="shared" si="13"/>
        <v>0</v>
      </c>
      <c r="P38" s="3">
        <f>SUMIFS( historical_events_FACT!J:J, historical_events_FACT!G:G, B38,historical_events_FACT!B:B, "2015",historical_events_FACT!C:C, "6" )</f>
        <v>0</v>
      </c>
      <c r="Q38" s="3">
        <f>COUNTIFS(historical_events_FACT!G:G, B38,historical_events_FACT!B:B, "2015",historical_events_FACT!C:C, "6" )</f>
        <v>0</v>
      </c>
      <c r="R38" s="3">
        <f t="shared" si="5"/>
        <v>0</v>
      </c>
      <c r="S38" s="3">
        <f>SUMIFS( historical_events_FACT!J:J, historical_events_FACT!G:G, B38,historical_events_FACT!B:B, "2016",historical_events_FACT!C:C, "6" )</f>
        <v>0</v>
      </c>
      <c r="T38" s="3">
        <f>COUNTIFS(historical_events_FACT!G:G, B38,historical_events_FACT!B:B, "2016",historical_events_FACT!C:C, "6" )</f>
        <v>0</v>
      </c>
      <c r="U38" s="3">
        <f>MAXIFS( historical_events_FACT!J:J, historical_events_FACT!G:G, B38,historical_events_FACT!C:C, "6" )</f>
        <v>0</v>
      </c>
      <c r="V38" s="3">
        <f t="array" ref="V38">ROUND(AVERAGEIF({ IFERROR(XLOOKUP(B38, 'Surfer Stats - Event 4'!B:B, 'Surfer Stats - Event 4'!AF:AF), ""), IFERROR(XLOOKUP(B38, 'Surfer Stats - Event 5'!B:B, 'Surfer Stats - Event 5'!AA:AA), ""), IFERROR(XLOOKUP(B38, 'Surfer Stats - Event 3'!B:B, 'Surfer Stats - Event 3'!AF:AF), "") }, "&lt;&gt;"),2)</f>
        <v>7.76</v>
      </c>
      <c r="W38" s="3">
        <f t="array" ref="W38">XLOOKUP(B38, 'Surfer Stats - Event 5'!B:B, 'Surfer Stats - Event 5'!AA:AA)</f>
        <v>0</v>
      </c>
      <c r="X38" s="3">
        <f t="array" ref="X38">XLOOKUP(B38,'Event 6 Assist'!A:A, 'Event 6 Assist'!B:B)</f>
        <v>2250</v>
      </c>
      <c r="Y38" s="93"/>
    </row>
    <row r="39">
      <c r="A39" s="51">
        <v>0.0</v>
      </c>
      <c r="B39" s="93" t="s">
        <v>262</v>
      </c>
      <c r="C39" s="3" t="str">
        <f t="array" ref="C39">XLOOKUP(B39, 'Surfer Stats - Event 4'!B:B, 'Surfer Stats - Event 4'!D:D)</f>
        <v>Goofy</v>
      </c>
      <c r="D39" s="3">
        <f t="shared" si="1"/>
        <v>0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"6" )</f>
        <v>0</v>
      </c>
      <c r="K39" s="3">
        <f t="shared" si="2"/>
        <v>0</v>
      </c>
      <c r="L39" s="3">
        <f t="shared" si="14"/>
        <v>0</v>
      </c>
      <c r="M39" s="3">
        <f>SUMIFS( '2014Data'!I:I, '2014Data'!F:F, B39,'2014Data'!B:B, "6" )</f>
        <v>0</v>
      </c>
      <c r="N39" s="3">
        <f>COUNTIFS('2014Data'!F:F, B39,'2014Data'!B:B, "6" )</f>
        <v>0</v>
      </c>
      <c r="O39" s="3">
        <f t="shared" si="13"/>
        <v>0</v>
      </c>
      <c r="P39" s="3">
        <f>SUMIFS( historical_events_FACT!J:J, historical_events_FACT!G:G, B39,historical_events_FACT!B:B, "2015",historical_events_FACT!C:C, "6" )</f>
        <v>0</v>
      </c>
      <c r="Q39" s="3">
        <f>COUNTIFS(historical_events_FACT!G:G, B39,historical_events_FACT!B:B, "2015",historical_events_FACT!C:C, "6" )</f>
        <v>0</v>
      </c>
      <c r="R39" s="3">
        <f t="shared" si="5"/>
        <v>0</v>
      </c>
      <c r="S39" s="3">
        <f>SUMIFS( historical_events_FACT!J:J, historical_events_FACT!G:G, B39,historical_events_FACT!B:B, "2016",historical_events_FACT!C:C, "6" )</f>
        <v>0</v>
      </c>
      <c r="T39" s="3">
        <f>COUNTIFS(historical_events_FACT!G:G, B39,historical_events_FACT!B:B, "2016",historical_events_FACT!C:C, "6" )</f>
        <v>0</v>
      </c>
      <c r="U39" s="3">
        <f>MAXIFS( historical_events_FACT!J:J, historical_events_FACT!G:G, B39,historical_events_FACT!C:C, "6" )</f>
        <v>0</v>
      </c>
      <c r="V39" s="3">
        <f t="array" ref="V39">ROUND(AVERAGEIF({ IFERROR(XLOOKUP(B39, 'Surfer Stats - Event 4'!B:B, 'Surfer Stats - Event 4'!AF:AF), ""), IFERROR(XLOOKUP(B39, 'Surfer Stats - Event 5'!B:B, 'Surfer Stats - Event 5'!AA:AA), ""), IFERROR(XLOOKUP(B39, 'Surfer Stats - Event 3'!B:B, 'Surfer Stats - Event 3'!AF:AF), "") }, "&lt;&gt;"),2)</f>
        <v>0</v>
      </c>
      <c r="W39" s="3">
        <f t="array" ref="W39">XLOOKUP(B39, 'Surfer Stats - Event 5'!B:B, 'Surfer Stats - Event 5'!AA:AA)</f>
        <v>0</v>
      </c>
      <c r="X39" s="3">
        <f t="array" ref="X39">XLOOKUP(B39,'Event 6 Assist'!A:A, 'Event 6 Assist'!B:B)</f>
        <v>1750</v>
      </c>
      <c r="Y39" s="93"/>
    </row>
    <row r="40">
      <c r="A40" s="51">
        <v>0.0</v>
      </c>
      <c r="B40" s="93" t="s">
        <v>46</v>
      </c>
      <c r="C40" s="3" t="str">
        <f t="array" ref="C40">XLOOKUP(B40, 'Surfer Stats - Event 4'!B:B, 'Surfer Stats - Event 4'!D:D)</f>
        <v>Regular</v>
      </c>
      <c r="D40" s="3">
        <f t="shared" si="1"/>
        <v>0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"6" )</f>
        <v>0</v>
      </c>
      <c r="K40" s="3">
        <f t="shared" si="2"/>
        <v>0</v>
      </c>
      <c r="L40" s="3">
        <f t="shared" si="14"/>
        <v>0</v>
      </c>
      <c r="M40" s="3">
        <f>SUMIFS( '2014Data'!I:I, '2014Data'!F:F, B40,'2014Data'!B:B, "6" )</f>
        <v>0</v>
      </c>
      <c r="N40" s="3">
        <f>COUNTIFS('2014Data'!F:F, B40,'2014Data'!B:B, "6" )</f>
        <v>0</v>
      </c>
      <c r="O40" s="3">
        <f t="shared" si="13"/>
        <v>0</v>
      </c>
      <c r="P40" s="3">
        <f>SUMIFS( historical_events_FACT!J:J, historical_events_FACT!G:G, B40,historical_events_FACT!B:B, "2015",historical_events_FACT!C:C, "6" )</f>
        <v>0</v>
      </c>
      <c r="Q40" s="3">
        <f>COUNTIFS(historical_events_FACT!G:G, B40,historical_events_FACT!B:B, "2015",historical_events_FACT!C:C, "6" )</f>
        <v>0</v>
      </c>
      <c r="R40" s="3">
        <f t="shared" si="5"/>
        <v>0</v>
      </c>
      <c r="S40" s="3">
        <f>SUMIFS( historical_events_FACT!J:J, historical_events_FACT!G:G, B40,historical_events_FACT!B:B, "2016",historical_events_FACT!C:C, "6" )</f>
        <v>0</v>
      </c>
      <c r="T40" s="3">
        <f>COUNTIFS(historical_events_FACT!G:G, B40,historical_events_FACT!B:B, "2016",historical_events_FACT!C:C, "6" )</f>
        <v>0</v>
      </c>
      <c r="U40" s="3">
        <f>MAXIFS( historical_events_FACT!J:J, historical_events_FACT!G:G, B40,historical_events_FACT!C:C, "6" )</f>
        <v>0</v>
      </c>
      <c r="V40" s="3">
        <f t="array" ref="V40">ROUND(AVERAGEIF({ IFERROR(XLOOKUP(B40, 'Surfer Stats - Event 4'!B:B, 'Surfer Stats - Event 4'!AF:AF), ""), IFERROR(XLOOKUP(B40, 'Surfer Stats - Event 5'!B:B, 'Surfer Stats - Event 5'!AA:AA), ""), IFERROR(XLOOKUP(B40, 'Surfer Stats - Event 3'!B:B, 'Surfer Stats - Event 3'!AF:AF), "") }, "&lt;&gt;"),2)</f>
        <v>0</v>
      </c>
      <c r="W40" s="3">
        <f t="array" ref="W40">XLOOKUP(B40, 'Surfer Stats - Event 5'!B:B, 'Surfer Stats - Event 5'!AA:AA)</f>
        <v>0</v>
      </c>
      <c r="X40" s="3">
        <f t="array" ref="X40">XLOOKUP(B40,'Event 6 Assist'!A:A, 'Event 6 Assist'!B:B)</f>
        <v>1750</v>
      </c>
      <c r="Y40" s="93"/>
    </row>
    <row r="41">
      <c r="A41" s="51">
        <v>0.0</v>
      </c>
      <c r="B41" s="82" t="s">
        <v>168</v>
      </c>
      <c r="C41" s="3" t="str">
        <f t="array" ref="C41">XLOOKUP(B41, 'Surfer Stats - Event 4'!B:B, 'Surfer Stats - Event 4'!D:D)</f>
        <v>Regular</v>
      </c>
      <c r="D41" s="3">
        <f t="shared" si="1"/>
        <v>0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"6" )</f>
        <v>0</v>
      </c>
      <c r="K41" s="3">
        <f t="shared" si="2"/>
        <v>0</v>
      </c>
      <c r="L41" s="3">
        <f t="shared" si="14"/>
        <v>0</v>
      </c>
      <c r="M41" s="3">
        <f>SUMIFS( '2014Data'!I:I, '2014Data'!F:F, B41,'2014Data'!B:B, "6" )</f>
        <v>0</v>
      </c>
      <c r="N41" s="3">
        <f>COUNTIFS('2014Data'!F:F, B41,'2014Data'!B:B, "6" )</f>
        <v>0</v>
      </c>
      <c r="O41" s="3">
        <f t="shared" si="13"/>
        <v>0</v>
      </c>
      <c r="P41" s="3">
        <f>SUMIFS( historical_events_FACT!J:J, historical_events_FACT!G:G, B41,historical_events_FACT!B:B, "2015",historical_events_FACT!C:C, "6" )</f>
        <v>0</v>
      </c>
      <c r="Q41" s="3">
        <f>COUNTIFS(historical_events_FACT!G:G, B41,historical_events_FACT!B:B, "2015",historical_events_FACT!C:C, "6" )</f>
        <v>0</v>
      </c>
      <c r="R41" s="3">
        <f t="shared" si="5"/>
        <v>0</v>
      </c>
      <c r="S41" s="3">
        <f>SUMIFS( historical_events_FACT!J:J, historical_events_FACT!G:G, B41,historical_events_FACT!B:B, "2016",historical_events_FACT!C:C, "6" )</f>
        <v>0</v>
      </c>
      <c r="T41" s="3">
        <f>COUNTIFS(historical_events_FACT!G:G, B41,historical_events_FACT!B:B, "2016",historical_events_FACT!C:C, "6" )</f>
        <v>0</v>
      </c>
      <c r="U41" s="3">
        <f>MAXIFS( historical_events_FACT!J:J, historical_events_FACT!G:G, B41,historical_events_FACT!C:C, "6" )</f>
        <v>0</v>
      </c>
      <c r="V41" s="3">
        <f t="array" ref="V41">ROUND(AVERAGEIF({ IFERROR(XLOOKUP(B41, 'Surfer Stats - Event 4'!B:B, 'Surfer Stats - Event 4'!AF:AF), ""), IFERROR(XLOOKUP(B41, 'Surfer Stats - Event 5'!B:B, 'Surfer Stats - Event 5'!AA:AA), ""), IFERROR(XLOOKUP(B41, 'Surfer Stats - Event 3'!B:B, 'Surfer Stats - Event 3'!AF:AF), "") }, "&lt;&gt;"),2)</f>
        <v>16.43</v>
      </c>
      <c r="W41" s="3">
        <f t="array" ref="W41">XLOOKUP(B41, 'Surfer Stats - Event 5'!B:B, 'Surfer Stats - Event 5'!AA:AA)</f>
        <v>12.83</v>
      </c>
      <c r="X41" s="3">
        <f t="array" ref="X41">XLOOKUP(B41,'Event 6 Assist'!A:A, 'Event 6 Assist'!B:B)</f>
        <v>1000</v>
      </c>
      <c r="Y41" s="93"/>
    </row>
    <row r="42">
      <c r="A42" s="51">
        <v>0.0</v>
      </c>
      <c r="B42" s="82" t="s">
        <v>144</v>
      </c>
      <c r="C42" s="3" t="str">
        <f t="array" ref="C42">XLOOKUP(B42, 'Surfer Stats - Event 4'!B:B, 'Surfer Stats - Event 4'!D:D)</f>
        <v>Regular</v>
      </c>
      <c r="D42" s="3">
        <f t="shared" si="1"/>
        <v>0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"6" )</f>
        <v>0</v>
      </c>
      <c r="K42" s="3">
        <f t="shared" si="2"/>
        <v>0</v>
      </c>
      <c r="L42" s="3">
        <f t="shared" si="14"/>
        <v>0</v>
      </c>
      <c r="M42" s="3">
        <f>SUMIFS( '2014Data'!I:I, '2014Data'!F:F, B42,'2014Data'!B:B, "6" )</f>
        <v>0</v>
      </c>
      <c r="N42" s="3">
        <f>COUNTIFS('2014Data'!F:F, B42,'2014Data'!B:B, "6" )</f>
        <v>0</v>
      </c>
      <c r="O42" s="3">
        <f t="shared" si="13"/>
        <v>0</v>
      </c>
      <c r="P42" s="3">
        <f>SUMIFS( historical_events_FACT!J:J, historical_events_FACT!G:G, B42,historical_events_FACT!B:B, "2015",historical_events_FACT!C:C, "6" )</f>
        <v>0</v>
      </c>
      <c r="Q42" s="3">
        <f>COUNTIFS(historical_events_FACT!G:G, B42,historical_events_FACT!B:B, "2015",historical_events_FACT!C:C, "6" )</f>
        <v>0</v>
      </c>
      <c r="R42" s="3">
        <f t="shared" si="5"/>
        <v>0</v>
      </c>
      <c r="S42" s="3">
        <f>SUMIFS( historical_events_FACT!J:J, historical_events_FACT!G:G, B42,historical_events_FACT!B:B, "2016",historical_events_FACT!C:C, "6" )</f>
        <v>0</v>
      </c>
      <c r="T42" s="3">
        <f>COUNTIFS(historical_events_FACT!G:G, B42,historical_events_FACT!B:B, "2016",historical_events_FACT!C:C, "6" )</f>
        <v>0</v>
      </c>
      <c r="U42" s="3">
        <f>MAXIFS( historical_events_FACT!J:J, historical_events_FACT!G:G, B42,historical_events_FACT!C:C, "6" )</f>
        <v>0</v>
      </c>
      <c r="V42" s="3">
        <f t="array" ref="V42">ROUND(AVERAGEIF({ IFERROR(XLOOKUP(B42, 'Surfer Stats - Event 4'!B:B, 'Surfer Stats - Event 4'!AF:AF), ""), IFERROR(XLOOKUP(B42, 'Surfer Stats - Event 5'!B:B, 'Surfer Stats - Event 5'!AA:AA), ""), IFERROR(XLOOKUP(B42, 'Surfer Stats - Event 3'!B:B, 'Surfer Stats - Event 3'!AF:AF), "") }, "&lt;&gt;"),2)</f>
        <v>10.04</v>
      </c>
      <c r="W42" s="3">
        <f t="array" ref="W42">XLOOKUP(B42, 'Surfer Stats - Event 5'!B:B, 'Surfer Stats - Event 5'!AA:AA)</f>
        <v>0</v>
      </c>
      <c r="X42" s="3">
        <f t="array" ref="X42">XLOOKUP(B42,'Event 6 Assist'!A:A, 'Event 6 Assist'!B:B)</f>
        <v>500</v>
      </c>
      <c r="Y42" s="93"/>
    </row>
    <row r="43">
      <c r="A43" s="51">
        <v>0.0</v>
      </c>
      <c r="B43" s="82" t="s">
        <v>143</v>
      </c>
      <c r="C43" s="3" t="str">
        <f t="array" ref="C43">XLOOKUP(B43, 'Surfer Stats - Event 4'!B:B, 'Surfer Stats - Event 4'!D:D)</f>
        <v>Regular</v>
      </c>
      <c r="D43" s="3">
        <f t="shared" si="1"/>
        <v>0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"6" )</f>
        <v>0</v>
      </c>
      <c r="K43" s="3">
        <f t="shared" si="2"/>
        <v>0</v>
      </c>
      <c r="L43" s="3">
        <f t="shared" si="14"/>
        <v>0</v>
      </c>
      <c r="M43" s="3">
        <f>SUMIFS( '2014Data'!I:I, '2014Data'!F:F, B43,'2014Data'!B:B, "6" )</f>
        <v>0</v>
      </c>
      <c r="N43" s="3">
        <f>COUNTIFS('2014Data'!F:F, B43,'2014Data'!B:B, "6" )</f>
        <v>0</v>
      </c>
      <c r="O43" s="3">
        <f t="shared" si="13"/>
        <v>0</v>
      </c>
      <c r="P43" s="3">
        <f>SUMIFS( historical_events_FACT!J:J, historical_events_FACT!G:G, B43,historical_events_FACT!B:B, "2015",historical_events_FACT!C:C, "6" )</f>
        <v>0</v>
      </c>
      <c r="Q43" s="3">
        <f>COUNTIFS(historical_events_FACT!G:G, B43,historical_events_FACT!B:B, "2015",historical_events_FACT!C:C, "6" )</f>
        <v>0</v>
      </c>
      <c r="R43" s="3">
        <f t="shared" si="5"/>
        <v>0</v>
      </c>
      <c r="S43" s="3">
        <f>SUMIFS( historical_events_FACT!J:J, historical_events_FACT!G:G, B43,historical_events_FACT!B:B, "2016",historical_events_FACT!C:C, "6" )</f>
        <v>0</v>
      </c>
      <c r="T43" s="3">
        <f>COUNTIFS(historical_events_FACT!G:G, B43,historical_events_FACT!B:B, "2016",historical_events_FACT!C:C, "6" )</f>
        <v>0</v>
      </c>
      <c r="U43" s="3">
        <f>MAXIFS( historical_events_FACT!J:J, historical_events_FACT!G:G, B43,historical_events_FACT!C:C, "6" )</f>
        <v>0</v>
      </c>
      <c r="V43" s="3">
        <f t="array" ref="V43">ROUND(AVERAGEIF({ IFERROR(XLOOKUP(B43, 'Surfer Stats - Event 4'!B:B, 'Surfer Stats - Event 4'!AF:AF), ""), IFERROR(XLOOKUP(B43, 'Surfer Stats - Event 5'!B:B, 'Surfer Stats - Event 5'!AA:AA), ""), IFERROR(XLOOKUP(B43, 'Surfer Stats - Event 3'!B:B, 'Surfer Stats - Event 3'!AF:AF), "") }, "&lt;&gt;"),2)</f>
        <v>9.52</v>
      </c>
      <c r="W43" s="3">
        <f t="array" ref="W43">XLOOKUP(B43, 'Surfer Stats - Event 5'!B:B, 'Surfer Stats - Event 5'!AA:AA)</f>
        <v>0</v>
      </c>
      <c r="X43" s="3">
        <f t="array" ref="X43">XLOOKUP(B43,'Event 6 Assist'!A:A, 'Event 6 Assist'!B:B)</f>
        <v>500</v>
      </c>
      <c r="Y43" s="93"/>
    </row>
    <row r="44">
      <c r="A44" s="51">
        <v>0.0</v>
      </c>
      <c r="B44" s="82" t="s">
        <v>82</v>
      </c>
      <c r="C44" s="10" t="s">
        <v>247</v>
      </c>
      <c r="D44" s="3">
        <f t="shared" si="1"/>
        <v>0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"6" )</f>
        <v>0</v>
      </c>
      <c r="K44" s="3">
        <f t="shared" si="2"/>
        <v>0</v>
      </c>
      <c r="L44" s="3">
        <f t="shared" si="14"/>
        <v>0</v>
      </c>
      <c r="M44" s="3">
        <f>SUMIFS( '2014Data'!I:I, '2014Data'!F:F, B44,'2014Data'!B:B, "6" )</f>
        <v>0</v>
      </c>
      <c r="N44" s="3">
        <f>COUNTIFS('2014Data'!F:F, B44,'2014Data'!B:B, "6" )</f>
        <v>0</v>
      </c>
      <c r="O44" s="3">
        <f t="shared" si="13"/>
        <v>0</v>
      </c>
      <c r="P44" s="3">
        <f>SUMIFS( historical_events_FACT!J:J, historical_events_FACT!G:G, B44,historical_events_FACT!B:B, "2015",historical_events_FACT!C:C, "6" )</f>
        <v>0</v>
      </c>
      <c r="Q44" s="3">
        <f>COUNTIFS(historical_events_FACT!G:G, B44,historical_events_FACT!B:B, "2015",historical_events_FACT!C:C, "6" )</f>
        <v>0</v>
      </c>
      <c r="R44" s="3">
        <f t="shared" si="5"/>
        <v>0</v>
      </c>
      <c r="S44" s="3">
        <f>SUMIFS( historical_events_FACT!J:J, historical_events_FACT!G:G, B44,historical_events_FACT!B:B, "2016",historical_events_FACT!C:C, "6" )</f>
        <v>0</v>
      </c>
      <c r="T44" s="3">
        <f>COUNTIFS(historical_events_FACT!G:G, B44,historical_events_FACT!B:B, "2016",historical_events_FACT!C:C, "6" )</f>
        <v>0</v>
      </c>
      <c r="U44" s="3">
        <f>MAXIFS( historical_events_FACT!J:J, historical_events_FACT!G:G, B44,historical_events_FACT!C:C, "6" )</f>
        <v>0</v>
      </c>
      <c r="V44" s="3">
        <f t="array" ref="V44">ROUND(AVERAGEIF({ IFERROR(XLOOKUP(B44, 'Surfer Stats - Event 4'!B:B, 'Surfer Stats - Event 4'!AF:AF), ""), IFERROR(XLOOKUP(B44, 'Surfer Stats - Event 5'!B:B, 'Surfer Stats - Event 5'!AA:AA), ""), IFERROR(XLOOKUP(B44, 'Surfer Stats - Event 3'!B:B, 'Surfer Stats - Event 3'!AF:AF), "") }, "&lt;&gt;"),2)</f>
        <v>14.33</v>
      </c>
      <c r="W44" s="3">
        <f t="array" ref="W44">XLOOKUP(B44, 'Surfer Stats - Event 5'!B:B, 'Surfer Stats - Event 5'!AA:AA)</f>
        <v>14.33</v>
      </c>
      <c r="X44" s="3">
        <f t="array" ref="X44">XLOOKUP(B44,'Event 6 Assist'!A:A, 'Event 6 Assist'!B:B)</f>
        <v>500</v>
      </c>
      <c r="Y44" s="93"/>
    </row>
    <row r="45">
      <c r="A45" s="78">
        <v>1.0</v>
      </c>
      <c r="B45" s="66" t="s">
        <v>110</v>
      </c>
      <c r="C45" s="10" t="s">
        <v>244</v>
      </c>
      <c r="D45" s="3">
        <f t="shared" si="1"/>
        <v>6</v>
      </c>
      <c r="E45" s="10">
        <v>0.0</v>
      </c>
      <c r="F45" s="10">
        <v>1.0</v>
      </c>
      <c r="G45" s="10">
        <v>99.0</v>
      </c>
      <c r="H45" s="10">
        <v>99.0</v>
      </c>
      <c r="I45" s="10">
        <v>25.0</v>
      </c>
      <c r="J45" s="3">
        <f>COUNTIFS( historical_events_FACT!J:J, "&gt;16", historical_events_FACT!G:G, B45,historical_events_FACT!C:C, "6" )</f>
        <v>0</v>
      </c>
      <c r="K45" s="3">
        <f t="shared" si="2"/>
        <v>9.67</v>
      </c>
      <c r="L45" s="3">
        <f t="shared" si="14"/>
        <v>9.67</v>
      </c>
      <c r="M45" s="10">
        <v>19.33</v>
      </c>
      <c r="N45" s="10">
        <v>2.0</v>
      </c>
      <c r="O45" s="3">
        <f t="shared" si="13"/>
        <v>9.67</v>
      </c>
      <c r="P45" s="3">
        <f>SUMIFS( historical_events_FACT!J:J, historical_events_FACT!G:G, B45,historical_events_FACT!B:B, "2015",historical_events_FACT!C:C, "6" )</f>
        <v>19.33</v>
      </c>
      <c r="Q45" s="3">
        <f>COUNTIFS(historical_events_FACT!G:G, B45,historical_events_FACT!B:B, "2015",historical_events_FACT!C:C, "6" )</f>
        <v>2</v>
      </c>
      <c r="R45" s="10">
        <v>9.67</v>
      </c>
      <c r="S45" s="10">
        <v>19.33</v>
      </c>
      <c r="T45" s="10">
        <v>2.0</v>
      </c>
      <c r="U45" s="3">
        <f>MAXIFS( historical_events_FACT!J:J, historical_events_FACT!G:G, B45,historical_events_FACT!C:C, "6" )</f>
        <v>11.33</v>
      </c>
      <c r="V45" s="10">
        <v>30.99</v>
      </c>
      <c r="W45" s="10">
        <v>13.58</v>
      </c>
      <c r="X45" s="10">
        <v>0.0</v>
      </c>
      <c r="Y45" s="105">
        <v>24.07</v>
      </c>
    </row>
    <row r="46">
      <c r="A46" s="78">
        <v>1.0</v>
      </c>
      <c r="B46" s="66" t="s">
        <v>286</v>
      </c>
      <c r="C46" s="10" t="s">
        <v>244</v>
      </c>
      <c r="D46" s="3">
        <f t="shared" si="1"/>
        <v>4</v>
      </c>
      <c r="E46" s="10">
        <v>0.0</v>
      </c>
      <c r="F46" s="10">
        <v>1.0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"6" )</f>
        <v>0</v>
      </c>
      <c r="K46" s="3">
        <f t="shared" si="2"/>
        <v>9.77</v>
      </c>
      <c r="L46" s="10">
        <v>11.92</v>
      </c>
      <c r="M46" s="3">
        <f>L46*2</f>
        <v>23.84</v>
      </c>
      <c r="N46" s="10">
        <v>2.0</v>
      </c>
      <c r="O46" s="3">
        <f t="shared" si="13"/>
        <v>5.9</v>
      </c>
      <c r="P46" s="10">
        <v>5.9</v>
      </c>
      <c r="Q46" s="10">
        <v>1.0</v>
      </c>
      <c r="R46" s="3">
        <f>IF(T46=0,0,ROUND(S46/T46,2))</f>
        <v>9.33</v>
      </c>
      <c r="S46" s="10">
        <v>9.33</v>
      </c>
      <c r="T46" s="10">
        <v>1.0</v>
      </c>
      <c r="U46" s="10">
        <v>9.46</v>
      </c>
      <c r="V46" s="10">
        <v>30.99</v>
      </c>
      <c r="W46" s="10">
        <v>13.58</v>
      </c>
      <c r="X46" s="10">
        <v>0.0</v>
      </c>
      <c r="Y46" s="105">
        <v>26.3</v>
      </c>
    </row>
    <row r="47">
      <c r="A47" s="78"/>
    </row>
    <row r="48">
      <c r="A48" s="78"/>
    </row>
    <row r="49">
      <c r="A49" s="78"/>
    </row>
    <row r="50">
      <c r="A50" s="78"/>
      <c r="B50" s="62" t="s">
        <v>124</v>
      </c>
      <c r="L50" s="3">
        <f t="shared" ref="L50:L55" si="15">IF(M50=0,0,ROUND(M50/N50,2))</f>
        <v>9.89</v>
      </c>
      <c r="M50" s="3">
        <f>SUMIFS( '2014Data'!I:I, '2014Data'!F:F, B50,'2014Data'!B:B, "6" )</f>
        <v>19.77</v>
      </c>
      <c r="N50" s="3">
        <f>COUNTIFS('2014Data'!F:F, B50,'2014Data'!B:B, "6" )</f>
        <v>2</v>
      </c>
      <c r="O50" s="3">
        <f t="shared" ref="O50:O55" si="16">IF(P50=0,0,ROUND(P50/Q50,2))</f>
        <v>0</v>
      </c>
      <c r="P50" s="3">
        <f>SUMIFS( historical_events_FACT!J:J, historical_events_FACT!G:G, B50,historical_events_FACT!B:B, "2015",historical_events_FACT!C:C, "6" )</f>
        <v>0</v>
      </c>
      <c r="Q50" s="3">
        <f>COUNTIFS(historical_events_FACT!G:G, B50,historical_events_FACT!B:B, "2015",historical_events_FACT!C:C, "6" )</f>
        <v>0</v>
      </c>
      <c r="R50" s="3">
        <f t="shared" ref="R50:R55" si="17">IF(T50=0,0,ROUND(S50/T50,2))</f>
        <v>0</v>
      </c>
      <c r="S50" s="3">
        <f>SUMIFS( historical_events_FACT!J:J, historical_events_FACT!G:G, B50,historical_events_FACT!B:B, "2016",historical_events_FACT!C:C, "6" )</f>
        <v>0</v>
      </c>
      <c r="T50" s="3">
        <f>COUNTIFS(historical_events_FACT!G:G, B50,historical_events_FACT!B:B, "2016",historical_events_FACT!C:C, "6" )</f>
        <v>0</v>
      </c>
      <c r="U50" s="3">
        <f>MAXIFS( historical_events_FACT!J:J, historical_events_FACT!G:G, B50,historical_events_FACT!C:C, "6" )</f>
        <v>0</v>
      </c>
    </row>
    <row r="51">
      <c r="A51" s="78"/>
      <c r="B51" s="62" t="s">
        <v>126</v>
      </c>
      <c r="L51" s="3">
        <f t="shared" si="15"/>
        <v>10.34</v>
      </c>
      <c r="M51" s="3">
        <f>SUMIFS( '2014Data'!I:I, '2014Data'!F:F, B51,'2014Data'!B:B, "6" )</f>
        <v>20.67</v>
      </c>
      <c r="N51" s="3">
        <f>COUNTIFS('2014Data'!F:F, B51,'2014Data'!B:B, "6" )</f>
        <v>2</v>
      </c>
      <c r="O51" s="3">
        <f t="shared" si="16"/>
        <v>0</v>
      </c>
      <c r="P51" s="3">
        <f>SUMIFS( historical_events_FACT!J:J, historical_events_FACT!G:G, B51,historical_events_FACT!B:B, "2015",historical_events_FACT!C:C, "6" )</f>
        <v>0</v>
      </c>
      <c r="Q51" s="3">
        <f>COUNTIFS(historical_events_FACT!G:G, B51,historical_events_FACT!B:B, "2015",historical_events_FACT!C:C, "6" )</f>
        <v>0</v>
      </c>
      <c r="R51" s="3">
        <f t="shared" si="17"/>
        <v>0</v>
      </c>
      <c r="S51" s="3">
        <f>SUMIFS( historical_events_FACT!J:J, historical_events_FACT!G:G, B51,historical_events_FACT!B:B, "2016",historical_events_FACT!C:C, "6" )</f>
        <v>0</v>
      </c>
      <c r="T51" s="3">
        <f>COUNTIFS(historical_events_FACT!G:G, B51,historical_events_FACT!B:B, "2016",historical_events_FACT!C:C, "6" )</f>
        <v>0</v>
      </c>
      <c r="U51" s="3">
        <f>MAXIFS( historical_events_FACT!J:J, historical_events_FACT!G:G, B51,historical_events_FACT!C:C, "6" )</f>
        <v>0</v>
      </c>
    </row>
    <row r="52">
      <c r="A52" s="78"/>
      <c r="B52" s="62" t="s">
        <v>107</v>
      </c>
      <c r="L52" s="3">
        <f t="shared" si="15"/>
        <v>15.52</v>
      </c>
      <c r="M52" s="3">
        <f>SUMIFS( '2014Data'!I:I, '2014Data'!F:F, B52,'2014Data'!B:B, "6" )</f>
        <v>31.03</v>
      </c>
      <c r="N52" s="3">
        <f>COUNTIFS('2014Data'!F:F, B52,'2014Data'!B:B, "6" )</f>
        <v>2</v>
      </c>
      <c r="O52" s="3">
        <f t="shared" si="16"/>
        <v>0</v>
      </c>
      <c r="P52" s="3">
        <f>SUMIFS( historical_events_FACT!J:J, historical_events_FACT!G:G, B52,historical_events_FACT!B:B, "2015",historical_events_FACT!C:C, "6" )</f>
        <v>0</v>
      </c>
      <c r="Q52" s="3">
        <f>COUNTIFS(historical_events_FACT!G:G, B52,historical_events_FACT!B:B, "2015",historical_events_FACT!C:C, "6" )</f>
        <v>0</v>
      </c>
      <c r="R52" s="3">
        <f t="shared" si="17"/>
        <v>0</v>
      </c>
      <c r="S52" s="3">
        <f>SUMIFS( historical_events_FACT!J:J, historical_events_FACT!G:G, B52,historical_events_FACT!B:B, "2016",historical_events_FACT!C:C, "6" )</f>
        <v>0</v>
      </c>
      <c r="T52" s="3">
        <f>COUNTIFS(historical_events_FACT!G:G, B52,historical_events_FACT!B:B, "2016",historical_events_FACT!C:C, "6" )</f>
        <v>0</v>
      </c>
      <c r="U52" s="3">
        <f>MAXIFS( historical_events_FACT!J:J, historical_events_FACT!G:G, B52,historical_events_FACT!C:C, "6" )</f>
        <v>15.17</v>
      </c>
    </row>
    <row r="53">
      <c r="A53" s="78"/>
      <c r="L53" s="3">
        <f t="shared" si="15"/>
        <v>0</v>
      </c>
      <c r="M53" s="3">
        <f>SUMIFS( '2014Data'!I:I, '2014Data'!F:F, B53,'2014Data'!B:B, "6" )</f>
        <v>0</v>
      </c>
      <c r="N53" s="3">
        <f>COUNTIFS('2014Data'!F:F, B53,'2014Data'!B:B, "6" )</f>
        <v>0</v>
      </c>
      <c r="O53" s="3">
        <f t="shared" si="16"/>
        <v>0</v>
      </c>
      <c r="P53" s="3">
        <f>SUMIFS( historical_events_FACT!J:J, historical_events_FACT!G:G, B53,historical_events_FACT!B:B, "2015",historical_events_FACT!C:C, "6" )</f>
        <v>0</v>
      </c>
      <c r="Q53" s="3">
        <f>COUNTIFS(historical_events_FACT!G:G, B53,historical_events_FACT!B:B, "2015",historical_events_FACT!C:C, "6" )</f>
        <v>0</v>
      </c>
      <c r="R53" s="3">
        <f t="shared" si="17"/>
        <v>0</v>
      </c>
      <c r="S53" s="3">
        <f>SUMIFS( historical_events_FACT!J:J, historical_events_FACT!G:G, B53,historical_events_FACT!B:B, "2016",historical_events_FACT!C:C, "6" )</f>
        <v>0</v>
      </c>
      <c r="T53" s="3">
        <f>COUNTIFS(historical_events_FACT!G:G, B53,historical_events_FACT!B:B, "2016",historical_events_FACT!C:C, "6" )</f>
        <v>0</v>
      </c>
      <c r="U53" s="3">
        <f>MAXIFS( historical_events_FACT!J:J, historical_events_FACT!G:G, B53,historical_events_FACT!C:C, "6" )</f>
        <v>0</v>
      </c>
    </row>
    <row r="54">
      <c r="A54" s="78"/>
      <c r="L54" s="3">
        <f t="shared" si="15"/>
        <v>0</v>
      </c>
      <c r="M54" s="3">
        <f>SUMIFS( '2014Data'!I:I, '2014Data'!F:F, B54,'2014Data'!B:B, "6" )</f>
        <v>0</v>
      </c>
      <c r="N54" s="3">
        <f>COUNTIFS('2014Data'!F:F, B54,'2014Data'!B:B, "6" )</f>
        <v>0</v>
      </c>
      <c r="O54" s="3">
        <f t="shared" si="16"/>
        <v>0</v>
      </c>
      <c r="P54" s="3">
        <f>SUMIFS( historical_events_FACT!J:J, historical_events_FACT!G:G, B54,historical_events_FACT!B:B, "2015",historical_events_FACT!C:C, "6" )</f>
        <v>0</v>
      </c>
      <c r="Q54" s="3">
        <f>COUNTIFS(historical_events_FACT!G:G, B54,historical_events_FACT!B:B, "2015",historical_events_FACT!C:C, "6" )</f>
        <v>0</v>
      </c>
      <c r="R54" s="3">
        <f t="shared" si="17"/>
        <v>0</v>
      </c>
      <c r="S54" s="3">
        <f>SUMIFS( historical_events_FACT!J:J, historical_events_FACT!G:G, B54,historical_events_FACT!B:B, "2016",historical_events_FACT!C:C, "6" )</f>
        <v>0</v>
      </c>
      <c r="T54" s="3">
        <f>COUNTIFS(historical_events_FACT!G:G, B54,historical_events_FACT!B:B, "2016",historical_events_FACT!C:C, "6" )</f>
        <v>0</v>
      </c>
      <c r="U54" s="3">
        <f>MAXIFS( historical_events_FACT!J:J, historical_events_FACT!G:G, B54,historical_events_FACT!C:C, "6" )</f>
        <v>0</v>
      </c>
    </row>
    <row r="55">
      <c r="A55" s="75"/>
      <c r="L55" s="3">
        <f t="shared" si="15"/>
        <v>0</v>
      </c>
      <c r="M55" s="3">
        <f>SUMIFS( '2014Data'!I:I, '2014Data'!F:F, B55,'2014Data'!B:B, "6" )</f>
        <v>0</v>
      </c>
      <c r="N55" s="3">
        <f>COUNTIFS('2014Data'!F:F, B55,'2014Data'!B:B, "6" )</f>
        <v>0</v>
      </c>
      <c r="O55" s="3">
        <f t="shared" si="16"/>
        <v>0</v>
      </c>
      <c r="P55" s="3">
        <f>SUMIFS( historical_events_FACT!J:J, historical_events_FACT!G:G, B55,historical_events_FACT!B:B, "2015",historical_events_FACT!C:C, "6" )</f>
        <v>0</v>
      </c>
      <c r="Q55" s="3">
        <f>COUNTIFS(historical_events_FACT!G:G, B55,historical_events_FACT!B:B, "2015",historical_events_FACT!C:C, "6" )</f>
        <v>0</v>
      </c>
      <c r="R55" s="3">
        <f t="shared" si="17"/>
        <v>0</v>
      </c>
      <c r="S55" s="3">
        <f>SUMIFS( historical_events_FACT!J:J, historical_events_FACT!G:G, B55,historical_events_FACT!B:B, "2016",historical_events_FACT!C:C, "6" )</f>
        <v>0</v>
      </c>
      <c r="T55" s="3">
        <f>COUNTIFS(historical_events_FACT!G:G, B55,historical_events_FACT!B:B, "2016",historical_events_FACT!C:C, "6" )</f>
        <v>0</v>
      </c>
      <c r="U55" s="3">
        <f>MAXIFS( historical_events_FACT!J:J, historical_events_FACT!G:G, B55,historical_events_FACT!C:C, "6" )</f>
        <v>0</v>
      </c>
    </row>
    <row r="56">
      <c r="A56" s="74"/>
    </row>
    <row r="57">
      <c r="A57" s="74"/>
      <c r="L57" s="3">
        <f>IF(M57=0,0,ROUND(M57/N57,2))</f>
        <v>0</v>
      </c>
      <c r="M57" s="3">
        <f>SUMIFS( '2014Data'!I:I, '2014Data'!F:F, B57,'2014Data'!B:B, "6" )</f>
        <v>0</v>
      </c>
      <c r="N57" s="3">
        <f>COUNTIFS('2014Data'!F:F, B57,'2014Data'!B:B, "6" )</f>
        <v>0</v>
      </c>
      <c r="O57" s="3">
        <f>IF(P57=0,0,ROUND(P57/Q57,2))</f>
        <v>0</v>
      </c>
      <c r="P57" s="3">
        <f>SUMIFS( historical_events_FACT!J:J, historical_events_FACT!G:G, B57,historical_events_FACT!B:B, "2015",historical_events_FACT!C:C, "6" )</f>
        <v>0</v>
      </c>
      <c r="Q57" s="3">
        <f>COUNTIFS(historical_events_FACT!G:G, B57,historical_events_FACT!B:B, "2015",historical_events_FACT!C:C, "6" )</f>
        <v>0</v>
      </c>
      <c r="R57" s="3">
        <f>IF(T57=0,0,ROUND(S57/T57,2))</f>
        <v>0</v>
      </c>
      <c r="S57" s="3">
        <f>SUMIFS( historical_events_FACT!J:J, historical_events_FACT!G:G, B57,historical_events_FACT!B:B, "2016",historical_events_FACT!C:C, "6" )</f>
        <v>0</v>
      </c>
      <c r="T57" s="3">
        <f>COUNTIFS(historical_events_FACT!G:G, B57,historical_events_FACT!B:B, "2016",historical_events_FACT!C:C, "6" )</f>
        <v>0</v>
      </c>
      <c r="U57" s="3">
        <f>MAXIFS( historical_events_FACT!J:J, historical_events_FACT!G:G, B57,historical_events_FACT!C:C, "6" )</f>
        <v>0</v>
      </c>
    </row>
    <row r="58">
      <c r="A58" s="74"/>
      <c r="O58" s="10">
        <v>13.58</v>
      </c>
      <c r="P58" s="3">
        <f>O58*Q58</f>
        <v>40.74</v>
      </c>
      <c r="Q58" s="10">
        <v>3.0</v>
      </c>
    </row>
    <row r="59">
      <c r="A59" s="74"/>
      <c r="L59" s="10">
        <v>11.92</v>
      </c>
      <c r="M59" s="3">
        <f>L59*2</f>
        <v>23.84</v>
      </c>
      <c r="N59" s="10">
        <v>2.0</v>
      </c>
      <c r="R59" s="10">
        <v>12.52</v>
      </c>
      <c r="S59" s="3">
        <f>R59*T59</f>
        <v>25.04</v>
      </c>
      <c r="T59" s="10">
        <v>2.0</v>
      </c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278</v>
      </c>
      <c r="B1" s="69" t="s">
        <v>6</v>
      </c>
      <c r="C1" s="77" t="s">
        <v>271</v>
      </c>
      <c r="D1" s="69" t="s">
        <v>287</v>
      </c>
      <c r="E1" s="69" t="s">
        <v>283</v>
      </c>
      <c r="F1" s="32" t="s">
        <v>208</v>
      </c>
      <c r="G1" s="32" t="s">
        <v>206</v>
      </c>
      <c r="H1" s="32" t="s">
        <v>207</v>
      </c>
      <c r="I1" s="69" t="s">
        <v>258</v>
      </c>
      <c r="J1" s="32" t="s">
        <v>225</v>
      </c>
      <c r="K1" s="32" t="s">
        <v>227</v>
      </c>
      <c r="L1" s="32" t="s">
        <v>228</v>
      </c>
      <c r="M1" s="32" t="s">
        <v>229</v>
      </c>
      <c r="N1" s="32" t="s">
        <v>230</v>
      </c>
      <c r="O1" s="32" t="s">
        <v>231</v>
      </c>
      <c r="P1" s="32" t="s">
        <v>232</v>
      </c>
      <c r="Q1" s="32" t="s">
        <v>233</v>
      </c>
      <c r="R1" s="32" t="s">
        <v>234</v>
      </c>
      <c r="S1" s="32" t="s">
        <v>235</v>
      </c>
      <c r="T1" s="32" t="s">
        <v>236</v>
      </c>
      <c r="U1" s="69" t="s">
        <v>288</v>
      </c>
      <c r="V1" s="69" t="s">
        <v>273</v>
      </c>
      <c r="W1" s="106" t="s">
        <v>289</v>
      </c>
      <c r="X1" s="77" t="s">
        <v>243</v>
      </c>
    </row>
    <row r="2">
      <c r="A2" s="66" t="s">
        <v>34</v>
      </c>
      <c r="B2" s="75">
        <f>10250+6500+10000</f>
        <v>26750</v>
      </c>
      <c r="E2" s="10">
        <v>0.0</v>
      </c>
    </row>
    <row r="3">
      <c r="A3" s="66" t="s">
        <v>26</v>
      </c>
      <c r="B3" s="75">
        <f>23000+1750+1750</f>
        <v>26500</v>
      </c>
      <c r="E3" s="10">
        <v>0.0</v>
      </c>
    </row>
    <row r="4">
      <c r="A4" s="66" t="s">
        <v>28</v>
      </c>
      <c r="B4" s="75">
        <f>19200+5200+1750</f>
        <v>26150</v>
      </c>
      <c r="E4" s="10">
        <v>1.0</v>
      </c>
    </row>
    <row r="5">
      <c r="A5" s="66" t="s">
        <v>57</v>
      </c>
      <c r="B5" s="75">
        <f>19200++5200+1750</f>
        <v>26150</v>
      </c>
      <c r="E5" s="10">
        <v>0.0</v>
      </c>
    </row>
    <row r="6">
      <c r="A6" s="66" t="s">
        <v>42</v>
      </c>
      <c r="B6" s="75">
        <f>14400+10000+1750</f>
        <v>26150</v>
      </c>
      <c r="E6" s="10">
        <v>0.0</v>
      </c>
    </row>
    <row r="7">
      <c r="A7" s="66" t="s">
        <v>39</v>
      </c>
      <c r="B7" s="75">
        <f>10950+5200+6500</f>
        <v>22650</v>
      </c>
      <c r="E7" s="10">
        <v>0.0</v>
      </c>
    </row>
    <row r="8">
      <c r="A8" s="66" t="s">
        <v>61</v>
      </c>
      <c r="B8" s="75">
        <f>8700+1750+8000</f>
        <v>18450</v>
      </c>
      <c r="E8" s="10">
        <v>0.0</v>
      </c>
    </row>
    <row r="9">
      <c r="A9" s="66" t="s">
        <v>31</v>
      </c>
      <c r="B9" s="75">
        <f>7500+4000+5200</f>
        <v>16700</v>
      </c>
      <c r="E9" s="10">
        <v>0.0</v>
      </c>
    </row>
    <row r="10">
      <c r="A10" s="66" t="s">
        <v>32</v>
      </c>
      <c r="B10" s="75">
        <f>13750+500+1750</f>
        <v>16000</v>
      </c>
      <c r="E10" s="10">
        <v>0.0</v>
      </c>
    </row>
    <row r="11">
      <c r="A11" s="66" t="s">
        <v>38</v>
      </c>
      <c r="B11" s="75">
        <f>9750+1750+4000</f>
        <v>15500</v>
      </c>
      <c r="E11" s="10">
        <v>0.0</v>
      </c>
    </row>
    <row r="12">
      <c r="A12" s="66" t="s">
        <v>30</v>
      </c>
      <c r="B12" s="75">
        <f>8750+4000+1750</f>
        <v>14500</v>
      </c>
      <c r="E12" s="10">
        <v>0.0</v>
      </c>
    </row>
    <row r="13">
      <c r="A13" s="66" t="s">
        <v>33</v>
      </c>
      <c r="B13" s="75">
        <f>12200+1750+500</f>
        <v>14450</v>
      </c>
      <c r="E13" s="10">
        <v>0.0</v>
      </c>
    </row>
    <row r="14">
      <c r="A14" s="66" t="s">
        <v>27</v>
      </c>
      <c r="B14" s="75">
        <f>7450+500+6500</f>
        <v>14450</v>
      </c>
      <c r="E14" s="10">
        <v>0.0</v>
      </c>
    </row>
    <row r="15">
      <c r="A15" s="66" t="s">
        <v>41</v>
      </c>
      <c r="B15" s="75">
        <f>7450+5200+1750</f>
        <v>14400</v>
      </c>
      <c r="E15" s="10">
        <v>0.0</v>
      </c>
    </row>
    <row r="16">
      <c r="A16" s="66" t="s">
        <v>40</v>
      </c>
      <c r="B16" s="75">
        <f>11500+1750+500</f>
        <v>13750</v>
      </c>
      <c r="E16" s="10">
        <v>0.0</v>
      </c>
    </row>
    <row r="17">
      <c r="A17" s="66" t="s">
        <v>47</v>
      </c>
      <c r="B17" s="75">
        <f>4000+8000+500</f>
        <v>12500</v>
      </c>
      <c r="E17" s="10">
        <v>0.0</v>
      </c>
    </row>
    <row r="18">
      <c r="A18" s="66" t="s">
        <v>50</v>
      </c>
      <c r="B18" s="75">
        <f>7500+1750+1750</f>
        <v>11000</v>
      </c>
      <c r="E18" s="10">
        <v>0.0</v>
      </c>
    </row>
    <row r="19">
      <c r="A19" s="66" t="s">
        <v>37</v>
      </c>
      <c r="B19" s="75">
        <f>8700+500+1750</f>
        <v>10950</v>
      </c>
      <c r="E19" s="10">
        <v>0.0</v>
      </c>
    </row>
    <row r="20">
      <c r="A20" s="66" t="s">
        <v>64</v>
      </c>
      <c r="B20" s="75">
        <f>7450+1750+1750</f>
        <v>10950</v>
      </c>
      <c r="E20" s="10">
        <v>0.0</v>
      </c>
    </row>
    <row r="21">
      <c r="A21" s="66" t="s">
        <v>59</v>
      </c>
      <c r="B21" s="75">
        <f>4000+1750+5200</f>
        <v>10950</v>
      </c>
      <c r="E21" s="10">
        <v>0.0</v>
      </c>
    </row>
    <row r="22">
      <c r="A22" s="66" t="s">
        <v>54</v>
      </c>
      <c r="B22" s="75">
        <f>5000+4000+1750</f>
        <v>10750</v>
      </c>
      <c r="E22" s="10">
        <v>0.0</v>
      </c>
    </row>
    <row r="23">
      <c r="A23" s="66" t="s">
        <v>17</v>
      </c>
      <c r="B23" s="75">
        <f>6200+500+4000</f>
        <v>10700</v>
      </c>
      <c r="E23" s="10">
        <v>0.0</v>
      </c>
    </row>
    <row r="24">
      <c r="A24" s="66" t="s">
        <v>69</v>
      </c>
      <c r="B24" s="75">
        <f>8750+500+500</f>
        <v>9750</v>
      </c>
      <c r="E24" s="10">
        <v>0.0</v>
      </c>
    </row>
    <row r="25">
      <c r="A25" s="66" t="s">
        <v>67</v>
      </c>
      <c r="B25" s="75">
        <f>4000+1750+4000</f>
        <v>9750</v>
      </c>
      <c r="E25" s="10">
        <v>0.0</v>
      </c>
    </row>
    <row r="26">
      <c r="A26" s="66" t="s">
        <v>52</v>
      </c>
      <c r="B26" s="75">
        <f>+500+8500+500</f>
        <v>9500</v>
      </c>
      <c r="E26" s="10">
        <v>0.0</v>
      </c>
    </row>
    <row r="27">
      <c r="A27" s="66" t="s">
        <v>68</v>
      </c>
      <c r="B27" s="75">
        <f>7500+500+500</f>
        <v>8500</v>
      </c>
      <c r="E27" s="10">
        <v>0.0</v>
      </c>
    </row>
    <row r="28">
      <c r="A28" s="66" t="s">
        <v>65</v>
      </c>
      <c r="B28" s="75">
        <f>2750+500+5200</f>
        <v>8450</v>
      </c>
      <c r="E28" s="10">
        <v>0.0</v>
      </c>
    </row>
    <row r="29">
      <c r="A29" s="66" t="s">
        <v>53</v>
      </c>
      <c r="B29" s="75">
        <f>2750+4000+500</f>
        <v>7250</v>
      </c>
      <c r="E29" s="10">
        <v>0.0</v>
      </c>
    </row>
    <row r="30">
      <c r="A30" s="66" t="s">
        <v>36</v>
      </c>
      <c r="B30" s="75">
        <f>2750+500+4000</f>
        <v>7250</v>
      </c>
      <c r="E30" s="10">
        <v>0.0</v>
      </c>
    </row>
    <row r="31">
      <c r="A31" s="107" t="s">
        <v>66</v>
      </c>
      <c r="B31" s="75">
        <f>1500+500+5200</f>
        <v>7200</v>
      </c>
      <c r="E31" s="10">
        <v>0.0</v>
      </c>
    </row>
    <row r="32">
      <c r="A32" s="82" t="s">
        <v>169</v>
      </c>
      <c r="B32" s="91">
        <f>6500+500</f>
        <v>7000</v>
      </c>
      <c r="E32" s="10">
        <v>0.0</v>
      </c>
    </row>
    <row r="33">
      <c r="A33" s="82" t="s">
        <v>56</v>
      </c>
      <c r="B33" s="83">
        <f>4000+1750+500</f>
        <v>6250</v>
      </c>
      <c r="E33" s="10">
        <v>0.0</v>
      </c>
    </row>
    <row r="34">
      <c r="A34" s="66" t="s">
        <v>55</v>
      </c>
      <c r="B34" s="75">
        <f>500+4000+1750</f>
        <v>6250</v>
      </c>
      <c r="E34" s="10">
        <v>0.0</v>
      </c>
    </row>
    <row r="35">
      <c r="A35" s="66" t="s">
        <v>35</v>
      </c>
      <c r="B35" s="75">
        <f>2750+1750+500</f>
        <v>5000</v>
      </c>
      <c r="E35" s="10">
        <v>0.0</v>
      </c>
    </row>
    <row r="36">
      <c r="A36" s="66" t="s">
        <v>45</v>
      </c>
      <c r="B36" s="75">
        <f>1500+1750+500</f>
        <v>3750</v>
      </c>
      <c r="E36" s="10">
        <v>0.0</v>
      </c>
    </row>
    <row r="37">
      <c r="A37" s="66" t="s">
        <v>63</v>
      </c>
      <c r="B37" s="75">
        <f>1500+500+500</f>
        <v>2500</v>
      </c>
      <c r="E37" s="10">
        <v>0.0</v>
      </c>
    </row>
    <row r="38">
      <c r="A38" s="82" t="s">
        <v>142</v>
      </c>
      <c r="B38" s="83">
        <f>1750+500</f>
        <v>2250</v>
      </c>
      <c r="E38" s="10">
        <v>0.0</v>
      </c>
    </row>
    <row r="39">
      <c r="A39" s="93" t="s">
        <v>262</v>
      </c>
      <c r="B39" s="83">
        <v>1750.0</v>
      </c>
      <c r="E39" s="10">
        <v>0.0</v>
      </c>
    </row>
    <row r="40">
      <c r="A40" s="93" t="s">
        <v>46</v>
      </c>
      <c r="B40" s="83">
        <v>1750.0</v>
      </c>
      <c r="E40" s="10">
        <v>0.0</v>
      </c>
    </row>
    <row r="41">
      <c r="A41" s="82" t="s">
        <v>168</v>
      </c>
      <c r="B41" s="91">
        <f>0+500+500</f>
        <v>1000</v>
      </c>
      <c r="E41" s="10">
        <v>0.0</v>
      </c>
    </row>
    <row r="42">
      <c r="A42" s="82" t="s">
        <v>144</v>
      </c>
      <c r="B42" s="83">
        <v>500.0</v>
      </c>
      <c r="E42" s="10">
        <v>0.0</v>
      </c>
    </row>
    <row r="43">
      <c r="A43" s="82" t="s">
        <v>143</v>
      </c>
      <c r="B43" s="83">
        <v>500.0</v>
      </c>
      <c r="E43" s="10">
        <v>0.0</v>
      </c>
    </row>
    <row r="44">
      <c r="A44" s="82" t="s">
        <v>82</v>
      </c>
      <c r="B44" s="91">
        <v>500.0</v>
      </c>
      <c r="E44" s="10">
        <v>0.0</v>
      </c>
    </row>
    <row r="45">
      <c r="A45" s="66" t="s">
        <v>110</v>
      </c>
      <c r="B45" s="66" t="s">
        <v>251</v>
      </c>
      <c r="E45" s="10">
        <v>1.0</v>
      </c>
    </row>
    <row r="46">
      <c r="A46" s="66" t="s">
        <v>286</v>
      </c>
      <c r="B46" s="66" t="s">
        <v>251</v>
      </c>
      <c r="E46" s="10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6" t="s">
        <v>252</v>
      </c>
      <c r="B1" s="69" t="s">
        <v>6</v>
      </c>
      <c r="C1" s="77" t="s">
        <v>271</v>
      </c>
      <c r="D1" s="69" t="s">
        <v>290</v>
      </c>
      <c r="E1" s="69" t="s">
        <v>203</v>
      </c>
      <c r="F1" s="69" t="s">
        <v>283</v>
      </c>
      <c r="G1" s="32" t="s">
        <v>208</v>
      </c>
      <c r="H1" s="32" t="s">
        <v>206</v>
      </c>
      <c r="I1" s="32" t="s">
        <v>207</v>
      </c>
      <c r="J1" s="69" t="s">
        <v>291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69" t="s">
        <v>292</v>
      </c>
      <c r="V1" s="32" t="s">
        <v>236</v>
      </c>
      <c r="W1" s="70" t="s">
        <v>239</v>
      </c>
      <c r="X1" s="69" t="s">
        <v>273</v>
      </c>
      <c r="Y1" s="70" t="s">
        <v>240</v>
      </c>
      <c r="Z1" s="77" t="s">
        <v>243</v>
      </c>
    </row>
    <row r="2">
      <c r="A2" s="78">
        <v>1.0</v>
      </c>
      <c r="B2" s="66" t="s">
        <v>34</v>
      </c>
      <c r="C2" s="3" t="str">
        <f t="array" ref="C2">XLOOKUP(B2, 'Surfer Stats - Event 4'!B:B, 'Surfer Stats - Event 4'!D:D)</f>
        <v>Goofy</v>
      </c>
      <c r="D2" s="3">
        <f t="shared" ref="D2:D48" si="1">SUM(N2,Q2,T2)</f>
        <v>9</v>
      </c>
      <c r="E2" s="10">
        <v>0.0</v>
      </c>
      <c r="F2" s="10">
        <v>0.0</v>
      </c>
      <c r="G2" s="10">
        <v>13.0</v>
      </c>
      <c r="H2" s="10">
        <v>25.0</v>
      </c>
      <c r="I2" s="10">
        <v>13.0</v>
      </c>
      <c r="J2" s="3">
        <f>COUNTIFS( historical_events_FACT!J:J, "&gt;16", historical_events_FACT!G:G, B2,historical_events_FACT!C:C, "7" )</f>
        <v>0</v>
      </c>
      <c r="K2" s="3">
        <f t="shared" ref="K2:K48" si="2">IF(D2=0,0, ROUND(SUM(P2,S2,M2)/D2,2))</f>
        <v>9.55</v>
      </c>
      <c r="L2" s="3">
        <f t="shared" ref="L2:L10" si="3">IF(M2=0,0,ROUND(M2/N2,2))</f>
        <v>8.75</v>
      </c>
      <c r="M2" s="3">
        <f>SUMIFS( '2014Data'!I:I, '2014Data'!F:F, B2,'2014Data'!B:B, "7" )</f>
        <v>26.26</v>
      </c>
      <c r="N2" s="3">
        <f>COUNTIFS('2014Data'!F:F, B2,'2014Data'!B:B, "7" )</f>
        <v>3</v>
      </c>
      <c r="O2" s="3">
        <f t="shared" ref="O2:O12" si="4">IF(P2=0,0,ROUND(P2/Q2,2))</f>
        <v>10.05</v>
      </c>
      <c r="P2" s="3">
        <f>SUMIFS( historical_events_FACT!J:J, historical_events_FACT!G:G, B2,historical_events_FACT!B:B, "2015",historical_events_FACT!C:C, "7" )</f>
        <v>30.16</v>
      </c>
      <c r="Q2" s="3">
        <f>COUNTIFS(historical_events_FACT!G:G, B2,historical_events_FACT!B:B, "2015",historical_events_FACT!C:C, "7" )</f>
        <v>3</v>
      </c>
      <c r="R2" s="3">
        <f t="shared" ref="R2:R10" si="5">IF(T2=0,0,ROUND(S2/T2,2))</f>
        <v>9.83</v>
      </c>
      <c r="S2" s="3">
        <f>SUMIFS( historical_events_FACT!J:J, historical_events_FACT!G:G, B2,historical_events_FACT!B:B, "2016",historical_events_FACT!C:C, "7" )</f>
        <v>29.5</v>
      </c>
      <c r="T2" s="3">
        <f>COUNTIFS(historical_events_FACT!G:G, B2,historical_events_FACT!B:B, "2016",historical_events_FACT!C:C, "7" )</f>
        <v>3</v>
      </c>
      <c r="U2" s="3">
        <f t="shared" ref="U2:U48" si="6">IF(H2=99,1,0)</f>
        <v>0</v>
      </c>
      <c r="V2" s="3">
        <f>MAXIFS( historical_events_FACT!J:J, historical_events_FACT!G:G, B2,historical_events_FACT!C:C, "7" )</f>
        <v>14.17</v>
      </c>
      <c r="W2" s="3">
        <f t="array" ref="W2">ROUND(AVERAGEIF({ IFERROR(XLOOKUP(B2, 'Surfer Stats - Event 4'!B:B, 'Surfer Stats - Event 4'!AF:AF), ""), IFERROR(XLOOKUP(B2, 'Surfer Stats - Event 5'!B:B, 'Surfer Stats - Event 5'!AA:AA), ""), IFERROR(XLOOKUP(B2, 'Surfer Stats - Event 6'!B:B, 'Surfer Stats - Event 6'!Y:Y), "") }, "&lt;&gt;"),2)</f>
        <v>84.03</v>
      </c>
      <c r="X2" s="3">
        <f t="array" ref="X2">XLOOKUP(B2, 'Surfer Stats - Event 6'!B:B, 'Surfer Stats - Event 6'!Y:Y)</f>
        <v>74.61</v>
      </c>
      <c r="Y2" s="75">
        <f>10250+6500+10000+5200</f>
        <v>31950</v>
      </c>
      <c r="Z2" s="3">
        <f t="array" ref="Z2">XLOOKUP(B2,'Event 7 Assist'!A:A, 'Event 7 Assist'!E:E)</f>
        <v>43.4</v>
      </c>
    </row>
    <row r="3">
      <c r="A3" s="78">
        <v>1.0</v>
      </c>
      <c r="B3" s="66" t="s">
        <v>26</v>
      </c>
      <c r="C3" s="3" t="str">
        <f t="array" ref="C3">XLOOKUP(B3, 'Surfer Stats - Event 4'!B:B, 'Surfer Stats - Event 4'!D:D)</f>
        <v>Regular</v>
      </c>
      <c r="D3" s="3">
        <f t="shared" si="1"/>
        <v>15</v>
      </c>
      <c r="E3" s="10">
        <v>0.0</v>
      </c>
      <c r="F3" s="10">
        <v>0.0</v>
      </c>
      <c r="G3" s="10">
        <v>3.0</v>
      </c>
      <c r="H3" s="10">
        <v>2.0</v>
      </c>
      <c r="I3" s="10">
        <v>13.0</v>
      </c>
      <c r="J3" s="3">
        <f>COUNTIFS( historical_events_FACT!J:J, "&gt;16", historical_events_FACT!G:G, B3,historical_events_FACT!C:C, "7" )</f>
        <v>10</v>
      </c>
      <c r="K3" s="3">
        <f t="shared" si="2"/>
        <v>16.43</v>
      </c>
      <c r="L3" s="3">
        <f t="shared" si="3"/>
        <v>17.39</v>
      </c>
      <c r="M3" s="3">
        <f>SUMIFS( '2014Data'!I:I, '2014Data'!F:F, B3,'2014Data'!B:B, "7" )</f>
        <v>104.36</v>
      </c>
      <c r="N3" s="3">
        <f>COUNTIFS('2014Data'!F:F, B3,'2014Data'!B:B, "7" )</f>
        <v>6</v>
      </c>
      <c r="O3" s="3">
        <f t="shared" si="4"/>
        <v>18.4</v>
      </c>
      <c r="P3" s="3">
        <f>SUMIFS( historical_events_FACT!J:J, historical_events_FACT!G:G, B3,historical_events_FACT!B:B, "2015",historical_events_FACT!C:C, "7" )</f>
        <v>36.8</v>
      </c>
      <c r="Q3" s="3">
        <f>COUNTIFS(historical_events_FACT!G:G, B3,historical_events_FACT!B:B, "2015",historical_events_FACT!C:C, "7" )</f>
        <v>2</v>
      </c>
      <c r="R3" s="3">
        <f t="shared" si="5"/>
        <v>15.03</v>
      </c>
      <c r="S3" s="3">
        <f>SUMIFS( historical_events_FACT!J:J, historical_events_FACT!G:G, B3,historical_events_FACT!B:B, "2016",historical_events_FACT!C:C, "7" )</f>
        <v>105.22</v>
      </c>
      <c r="T3" s="3">
        <f>COUNTIFS(historical_events_FACT!G:G, B3,historical_events_FACT!B:B, "2016",historical_events_FACT!C:C, "7" )</f>
        <v>7</v>
      </c>
      <c r="U3" s="3">
        <f t="shared" si="6"/>
        <v>0</v>
      </c>
      <c r="V3" s="3">
        <f>MAXIFS( historical_events_FACT!J:J, historical_events_FACT!G:G, B3,historical_events_FACT!C:C, "7" )</f>
        <v>19.93</v>
      </c>
      <c r="W3" s="3">
        <f t="array" ref="W3">ROUND(AVERAGEIF({ IFERROR(XLOOKUP(B3, 'Surfer Stats - Event 4'!B:B, 'Surfer Stats - Event 4'!AF:AF), ""), IFERROR(XLOOKUP(B3, 'Surfer Stats - Event 5'!B:B, 'Surfer Stats - Event 5'!AA:AA), ""), IFERROR(XLOOKUP(B3, 'Surfer Stats - Event 6'!B:B, 'Surfer Stats - Event 6'!Y:Y), "") }, "&lt;&gt;"),2)</f>
        <v>47.66</v>
      </c>
      <c r="X3" s="3">
        <f t="array" ref="X3">XLOOKUP(B3, 'Surfer Stats - Event 6'!B:B, 'Surfer Stats - Event 6'!Y:Y)</f>
        <v>89.98</v>
      </c>
      <c r="Y3" s="75">
        <f>23000+1750+1750+5200</f>
        <v>31700</v>
      </c>
      <c r="Z3" s="3">
        <f t="array" ref="Z3">XLOOKUP(B3,'Event 7 Assist'!A:A, 'Event 7 Assist'!E:E)</f>
        <v>62.46</v>
      </c>
    </row>
    <row r="4">
      <c r="A4" s="78">
        <v>1.0</v>
      </c>
      <c r="B4" s="66" t="s">
        <v>28</v>
      </c>
      <c r="C4" s="3" t="str">
        <f t="array" ref="C4">XLOOKUP(B4, 'Surfer Stats - Event 4'!B:B, 'Surfer Stats - Event 4'!D:D)</f>
        <v>Regular</v>
      </c>
      <c r="D4" s="3">
        <f t="shared" si="1"/>
        <v>9</v>
      </c>
      <c r="E4" s="10">
        <v>0.0</v>
      </c>
      <c r="F4" s="10">
        <v>0.0</v>
      </c>
      <c r="G4" s="10">
        <v>25.0</v>
      </c>
      <c r="H4" s="10">
        <v>9.0</v>
      </c>
      <c r="I4" s="10">
        <v>99.0</v>
      </c>
      <c r="J4" s="3">
        <f>COUNTIFS( historical_events_FACT!J:J, "&gt;16", historical_events_FACT!G:G, B4,historical_events_FACT!C:C, "7" )</f>
        <v>0</v>
      </c>
      <c r="K4" s="3">
        <f t="shared" si="2"/>
        <v>9.05</v>
      </c>
      <c r="L4" s="3">
        <f t="shared" si="3"/>
        <v>7.03</v>
      </c>
      <c r="M4" s="3">
        <f>SUMIFS( '2014Data'!I:I, '2014Data'!F:F, B4,'2014Data'!B:B, "7" )</f>
        <v>14.06</v>
      </c>
      <c r="N4" s="3">
        <f>COUNTIFS('2014Data'!F:F, B4,'2014Data'!B:B, "7" )</f>
        <v>2</v>
      </c>
      <c r="O4" s="3">
        <f t="shared" si="4"/>
        <v>9.05</v>
      </c>
      <c r="P4" s="10">
        <v>27.15</v>
      </c>
      <c r="Q4" s="10">
        <v>3.0</v>
      </c>
      <c r="R4" s="3">
        <f t="shared" si="5"/>
        <v>10.06</v>
      </c>
      <c r="S4" s="3">
        <f>SUMIFS( historical_events_FACT!J:J, historical_events_FACT!G:G, B4,historical_events_FACT!B:B, "2016",historical_events_FACT!C:C, "7" )</f>
        <v>40.23</v>
      </c>
      <c r="T4" s="3">
        <f>COUNTIFS(historical_events_FACT!G:G, B4,historical_events_FACT!B:B, "2016",historical_events_FACT!C:C, "7" )</f>
        <v>4</v>
      </c>
      <c r="U4" s="3">
        <f t="shared" si="6"/>
        <v>0</v>
      </c>
      <c r="V4" s="3">
        <f>MAXIFS( historical_events_FACT!J:J, historical_events_FACT!G:G, B4,historical_events_FACT!C:C, "7" )</f>
        <v>12.63</v>
      </c>
      <c r="W4" s="3">
        <f t="array" ref="W4">ROUND(AVERAGEIF({ IFERROR(XLOOKUP(B4, 'Surfer Stats - Event 4'!B:B, 'Surfer Stats - Event 4'!AF:AF), ""), IFERROR(XLOOKUP(B4, 'Surfer Stats - Event 5'!B:B, 'Surfer Stats - Event 5'!AA:AA), ""), IFERROR(XLOOKUP(B4, 'Surfer Stats - Event 6'!B:B, 'Surfer Stats - Event 6'!Y:Y), "") }, "&lt;&gt;"),2)</f>
        <v>63.29</v>
      </c>
      <c r="X4" s="3">
        <f t="array" ref="X4">XLOOKUP(B4, 'Surfer Stats - Event 6'!B:B, 'Surfer Stats - Event 6'!Y:Y)</f>
        <v>95.46</v>
      </c>
      <c r="Y4" s="75">
        <f>19200+5200+1750+5200</f>
        <v>31350</v>
      </c>
      <c r="Z4" s="3">
        <f t="array" ref="Z4">XLOOKUP(B4,'Event 7 Assist'!A:A, 'Event 7 Assist'!E:E)</f>
        <v>76.82</v>
      </c>
    </row>
    <row r="5">
      <c r="A5" s="78">
        <v>1.0</v>
      </c>
      <c r="B5" s="66" t="s">
        <v>57</v>
      </c>
      <c r="C5" s="3" t="str">
        <f t="array" ref="C5">XLOOKUP(B5, 'Surfer Stats - Event 4'!B:B, 'Surfer Stats - Event 4'!D:D)</f>
        <v>Goofy</v>
      </c>
      <c r="D5" s="3">
        <f t="shared" si="1"/>
        <v>15</v>
      </c>
      <c r="E5" s="10">
        <v>0.0</v>
      </c>
      <c r="F5" s="10">
        <v>0.0</v>
      </c>
      <c r="G5" s="10">
        <v>5.0</v>
      </c>
      <c r="H5" s="10">
        <v>99.0</v>
      </c>
      <c r="I5" s="10">
        <v>3.0</v>
      </c>
      <c r="J5" s="3">
        <f>COUNTIFS( historical_events_FACT!J:J, "&gt;16", historical_events_FACT!G:G, B5,historical_events_FACT!C:C, "7" )</f>
        <v>6</v>
      </c>
      <c r="K5" s="3">
        <f t="shared" si="2"/>
        <v>14.78</v>
      </c>
      <c r="L5" s="3">
        <f t="shared" si="3"/>
        <v>15.48</v>
      </c>
      <c r="M5" s="3">
        <f>SUMIFS( '2014Data'!I:I, '2014Data'!F:F, B5,'2014Data'!B:B, "7" )</f>
        <v>77.41</v>
      </c>
      <c r="N5" s="3">
        <f>COUNTIFS('2014Data'!F:F, B5,'2014Data'!B:B, "7" )</f>
        <v>5</v>
      </c>
      <c r="O5" s="3">
        <f t="shared" si="4"/>
        <v>14.07</v>
      </c>
      <c r="P5" s="3">
        <f>SUMIFS( historical_events_FACT!J:J, historical_events_FACT!G:G, B5,historical_events_FACT!B:B, "2015",historical_events_FACT!C:C, "7" )</f>
        <v>70.37</v>
      </c>
      <c r="Q5" s="3">
        <f>COUNTIFS(historical_events_FACT!G:G, B5,historical_events_FACT!B:B, "2015",historical_events_FACT!C:C, "7" )</f>
        <v>5</v>
      </c>
      <c r="R5" s="3">
        <f t="shared" si="5"/>
        <v>14.78</v>
      </c>
      <c r="S5" s="10">
        <v>73.89</v>
      </c>
      <c r="T5" s="10">
        <v>5.0</v>
      </c>
      <c r="U5" s="3">
        <f t="shared" si="6"/>
        <v>1</v>
      </c>
      <c r="V5" s="3">
        <f>MAXIFS( historical_events_FACT!J:J, historical_events_FACT!G:G, B5,historical_events_FACT!C:C, "7" )</f>
        <v>19.87</v>
      </c>
      <c r="W5" s="3">
        <f t="array" ref="W5">ROUND(AVERAGEIF({ IFERROR(XLOOKUP(B5, 'Surfer Stats - Event 4'!B:B, 'Surfer Stats - Event 4'!AF:AF), ""), IFERROR(XLOOKUP(B5, 'Surfer Stats - Event 5'!B:B, 'Surfer Stats - Event 5'!AA:AA), ""), IFERROR(XLOOKUP(B5, 'Surfer Stats - Event 6'!B:B, 'Surfer Stats - Event 6'!Y:Y), "") }, "&lt;&gt;"),2)</f>
        <v>58.7</v>
      </c>
      <c r="X5" s="3">
        <f t="array" ref="X5">XLOOKUP(B5, 'Surfer Stats - Event 6'!B:B, 'Surfer Stats - Event 6'!Y:Y)</f>
        <v>67.93</v>
      </c>
      <c r="Y5" s="75">
        <f>19200++5200+1750+4000</f>
        <v>30150</v>
      </c>
      <c r="Z5" s="3">
        <f t="array" ref="Z5">XLOOKUP(B5,'Event 7 Assist'!A:A, 'Event 7 Assist'!E:E)</f>
        <v>66.11</v>
      </c>
    </row>
    <row r="6">
      <c r="A6" s="78">
        <v>1.0</v>
      </c>
      <c r="B6" s="66" t="s">
        <v>42</v>
      </c>
      <c r="C6" s="3" t="str">
        <f t="array" ref="C6">XLOOKUP(B6, 'Surfer Stats - Event 4'!B:B, 'Surfer Stats - Event 4'!D:D)</f>
        <v>Regular</v>
      </c>
      <c r="D6" s="3">
        <f t="shared" si="1"/>
        <v>7</v>
      </c>
      <c r="E6" s="10">
        <v>0.0</v>
      </c>
      <c r="F6" s="10">
        <v>0.0</v>
      </c>
      <c r="G6" s="10">
        <v>25.0</v>
      </c>
      <c r="H6" s="10">
        <v>25.0</v>
      </c>
      <c r="I6" s="10">
        <v>13.0</v>
      </c>
      <c r="J6" s="3">
        <f>COUNTIFS( historical_events_FACT!J:J, "&gt;16", historical_events_FACT!G:G, B6,historical_events_FACT!C:C, "7" )</f>
        <v>1</v>
      </c>
      <c r="K6" s="3">
        <f t="shared" si="2"/>
        <v>10.17</v>
      </c>
      <c r="L6" s="3">
        <f t="shared" si="3"/>
        <v>12.44</v>
      </c>
      <c r="M6" s="3">
        <f>SUMIFS( '2014Data'!I:I, '2014Data'!F:F, B6,'2014Data'!B:B, "7" )</f>
        <v>24.87</v>
      </c>
      <c r="N6" s="3">
        <f>COUNTIFS('2014Data'!F:F, B6,'2014Data'!B:B, "7" )</f>
        <v>2</v>
      </c>
      <c r="O6" s="3">
        <f t="shared" si="4"/>
        <v>11.75</v>
      </c>
      <c r="P6" s="3">
        <f>SUMIFS( historical_events_FACT!J:J, historical_events_FACT!G:G, B6,historical_events_FACT!B:B, "2015",historical_events_FACT!C:C, "7" )</f>
        <v>35.26</v>
      </c>
      <c r="Q6" s="3">
        <f>COUNTIFS(historical_events_FACT!G:G, B6,historical_events_FACT!B:B, "2015",historical_events_FACT!C:C, "7" )</f>
        <v>3</v>
      </c>
      <c r="R6" s="3">
        <f t="shared" si="5"/>
        <v>5.52</v>
      </c>
      <c r="S6" s="3">
        <f>SUMIFS( historical_events_FACT!J:J, historical_events_FACT!G:G, B6,historical_events_FACT!B:B, "2016",historical_events_FACT!C:C, "7" )</f>
        <v>11.03</v>
      </c>
      <c r="T6" s="3">
        <f>COUNTIFS(historical_events_FACT!G:G, B6,historical_events_FACT!B:B, "2016",historical_events_FACT!C:C, "7" )</f>
        <v>2</v>
      </c>
      <c r="U6" s="3">
        <f t="shared" si="6"/>
        <v>0</v>
      </c>
      <c r="V6" s="3">
        <f>MAXIFS( historical_events_FACT!J:J, historical_events_FACT!G:G, B6,historical_events_FACT!C:C, "7" )</f>
        <v>16.26</v>
      </c>
      <c r="W6" s="3">
        <f t="array" ref="W6">ROUND(AVERAGEIF({ IFERROR(XLOOKUP(B6, 'Surfer Stats - Event 4'!B:B, 'Surfer Stats - Event 4'!AF:AF), ""), IFERROR(XLOOKUP(B6, 'Surfer Stats - Event 5'!B:B, 'Surfer Stats - Event 5'!AA:AA), ""), IFERROR(XLOOKUP(B6, 'Surfer Stats - Event 6'!B:B, 'Surfer Stats - Event 6'!Y:Y), "") }, "&lt;&gt;"),2)</f>
        <v>50.9</v>
      </c>
      <c r="X6" s="3">
        <f t="array" ref="X6">XLOOKUP(B6, 'Surfer Stats - Event 6'!B:B, 'Surfer Stats - Event 6'!Y:Y)</f>
        <v>28.23</v>
      </c>
      <c r="Y6" s="75">
        <f>14400+10000+1750+1750</f>
        <v>27900</v>
      </c>
      <c r="Z6" s="3">
        <f t="array" ref="Z6">XLOOKUP(B6,'Event 7 Assist'!A:A, 'Event 7 Assist'!E:E)</f>
        <v>18.34</v>
      </c>
    </row>
    <row r="7">
      <c r="A7" s="78">
        <v>1.0</v>
      </c>
      <c r="B7" s="66" t="s">
        <v>33</v>
      </c>
      <c r="C7" s="3" t="str">
        <f t="array" ref="C7">XLOOKUP(B7, 'Surfer Stats - Event 4'!B:B, 'Surfer Stats - Event 4'!D:D)</f>
        <v>Regular</v>
      </c>
      <c r="D7" s="3">
        <f t="shared" si="1"/>
        <v>11</v>
      </c>
      <c r="E7" s="10">
        <v>0.0</v>
      </c>
      <c r="F7" s="10">
        <v>0.0</v>
      </c>
      <c r="G7" s="10">
        <v>99.0</v>
      </c>
      <c r="H7" s="10">
        <v>25.0</v>
      </c>
      <c r="I7" s="10">
        <v>9.0</v>
      </c>
      <c r="J7" s="3">
        <f>COUNTIFS( historical_events_FACT!J:J, "&gt;16", historical_events_FACT!G:G, B7,historical_events_FACT!C:C, "7" )</f>
        <v>1</v>
      </c>
      <c r="K7" s="3">
        <f t="shared" si="2"/>
        <v>8.14</v>
      </c>
      <c r="L7" s="3">
        <f t="shared" si="3"/>
        <v>7.46</v>
      </c>
      <c r="M7" s="10">
        <v>29.85</v>
      </c>
      <c r="N7" s="10">
        <v>4.0</v>
      </c>
      <c r="O7" s="3">
        <f t="shared" si="4"/>
        <v>8.79</v>
      </c>
      <c r="P7" s="3">
        <f>SUMIFS( historical_events_FACT!J:J, historical_events_FACT!G:G, B7,historical_events_FACT!B:B, "2015",historical_events_FACT!C:C, "7" )</f>
        <v>43.97</v>
      </c>
      <c r="Q7" s="3">
        <f>COUNTIFS(historical_events_FACT!G:G, B7,historical_events_FACT!B:B, "2015",historical_events_FACT!C:C, "7" )</f>
        <v>5</v>
      </c>
      <c r="R7" s="3">
        <f t="shared" si="5"/>
        <v>7.87</v>
      </c>
      <c r="S7" s="3">
        <f>SUMIFS( historical_events_FACT!J:J, historical_events_FACT!G:G, B7,historical_events_FACT!B:B, "2016",historical_events_FACT!C:C, "7" )</f>
        <v>15.73</v>
      </c>
      <c r="T7" s="3">
        <f>COUNTIFS(historical_events_FACT!G:G, B7,historical_events_FACT!B:B, "2016",historical_events_FACT!C:C, "7" )</f>
        <v>2</v>
      </c>
      <c r="U7" s="3">
        <f t="shared" si="6"/>
        <v>0</v>
      </c>
      <c r="V7" s="3">
        <f>MAXIFS( historical_events_FACT!J:J, historical_events_FACT!G:G, B7,historical_events_FACT!C:C, "7" )</f>
        <v>16.97</v>
      </c>
      <c r="W7" s="3">
        <f t="array" ref="W7">ROUND(AVERAGEIF({ IFERROR(XLOOKUP(B7, 'Surfer Stats - Event 4'!B:B, 'Surfer Stats - Event 4'!AF:AF), ""), IFERROR(XLOOKUP(B7, 'Surfer Stats - Event 5'!B:B, 'Surfer Stats - Event 5'!AA:AA), ""), IFERROR(XLOOKUP(B7, 'Surfer Stats - Event 6'!B:B, 'Surfer Stats - Event 6'!Y:Y), "") }, "&lt;&gt;"),2)</f>
        <v>45.04</v>
      </c>
      <c r="X7" s="3">
        <f t="array" ref="X7">XLOOKUP(B7, 'Surfer Stats - Event 6'!B:B, 'Surfer Stats - Event 6'!Y:Y)</f>
        <v>107.13</v>
      </c>
      <c r="Y7" s="75">
        <f>12200+1750+500+10000</f>
        <v>24450</v>
      </c>
      <c r="Z7" s="3">
        <f t="array" ref="Z7">XLOOKUP(B7,'Event 7 Assist'!A:A, 'Event 7 Assist'!E:E)</f>
        <v>14.89</v>
      </c>
    </row>
    <row r="8">
      <c r="A8" s="78">
        <v>1.0</v>
      </c>
      <c r="B8" s="66" t="s">
        <v>39</v>
      </c>
      <c r="C8" s="3" t="str">
        <f t="array" ref="C8">XLOOKUP(B8, 'Surfer Stats - Event 4'!B:B, 'Surfer Stats - Event 4'!D:D)</f>
        <v>Regular</v>
      </c>
      <c r="D8" s="3">
        <f t="shared" si="1"/>
        <v>10</v>
      </c>
      <c r="E8" s="10">
        <v>0.0</v>
      </c>
      <c r="F8" s="10">
        <v>0.0</v>
      </c>
      <c r="G8" s="10">
        <v>13.0</v>
      </c>
      <c r="H8" s="10">
        <v>9.0</v>
      </c>
      <c r="I8" s="10">
        <v>13.0</v>
      </c>
      <c r="J8" s="3">
        <f>COUNTIFS( historical_events_FACT!J:J, "&gt;16", historical_events_FACT!G:G, B8,historical_events_FACT!C:C, "7" )</f>
        <v>2</v>
      </c>
      <c r="K8" s="3">
        <f t="shared" si="2"/>
        <v>13.64</v>
      </c>
      <c r="L8" s="3">
        <f t="shared" si="3"/>
        <v>15.55</v>
      </c>
      <c r="M8" s="3">
        <f>SUMIFS( '2014Data'!I:I, '2014Data'!F:F, B8,'2014Data'!B:B, "7" )</f>
        <v>46.64</v>
      </c>
      <c r="N8" s="3">
        <f>COUNTIFS('2014Data'!F:F, B8,'2014Data'!B:B, "7" )</f>
        <v>3</v>
      </c>
      <c r="O8" s="3">
        <f t="shared" si="4"/>
        <v>12.72</v>
      </c>
      <c r="P8" s="3">
        <f>SUMIFS( historical_events_FACT!J:J, historical_events_FACT!G:G, B8,historical_events_FACT!B:B, "2015",historical_events_FACT!C:C, "7" )</f>
        <v>25.43</v>
      </c>
      <c r="Q8" s="3">
        <f>COUNTIFS(historical_events_FACT!G:G, B8,historical_events_FACT!B:B, "2015",historical_events_FACT!C:C, "7" )</f>
        <v>2</v>
      </c>
      <c r="R8" s="3">
        <f t="shared" si="5"/>
        <v>12.87</v>
      </c>
      <c r="S8" s="3">
        <f>SUMIFS( historical_events_FACT!J:J, historical_events_FACT!G:G, B8,historical_events_FACT!B:B, "2016",historical_events_FACT!C:C, "7" )</f>
        <v>64.34</v>
      </c>
      <c r="T8" s="3">
        <f>COUNTIFS(historical_events_FACT!G:G, B8,historical_events_FACT!B:B, "2016",historical_events_FACT!C:C, "7" )</f>
        <v>5</v>
      </c>
      <c r="U8" s="3">
        <f t="shared" si="6"/>
        <v>0</v>
      </c>
      <c r="V8" s="3">
        <f>MAXIFS( historical_events_FACT!J:J, historical_events_FACT!G:G, B8,historical_events_FACT!C:C, "7" )</f>
        <v>17.17</v>
      </c>
      <c r="W8" s="3">
        <f t="array" ref="W8">ROUND(AVERAGEIF({ IFERROR(XLOOKUP(B8, 'Surfer Stats - Event 4'!B:B, 'Surfer Stats - Event 4'!AF:AF), ""), IFERROR(XLOOKUP(B8, 'Surfer Stats - Event 5'!B:B, 'Surfer Stats - Event 5'!AA:AA), ""), IFERROR(XLOOKUP(B8, 'Surfer Stats - Event 6'!B:B, 'Surfer Stats - Event 6'!Y:Y), "") }, "&lt;&gt;"),2)</f>
        <v>60.43</v>
      </c>
      <c r="X8" s="3">
        <f t="array" ref="X8">XLOOKUP(B8, 'Surfer Stats - Event 6'!B:B, 'Surfer Stats - Event 6'!Y:Y)</f>
        <v>30.13</v>
      </c>
      <c r="Y8" s="75">
        <f>10950+5200+6500+1750</f>
        <v>24400</v>
      </c>
      <c r="Z8" s="3">
        <f t="array" ref="Z8">XLOOKUP(B8,'Event 7 Assist'!A:A, 'Event 7 Assist'!E:E)</f>
        <v>24.4</v>
      </c>
    </row>
    <row r="9">
      <c r="A9" s="78">
        <v>1.0</v>
      </c>
      <c r="B9" s="66" t="s">
        <v>31</v>
      </c>
      <c r="C9" s="3" t="str">
        <f t="array" ref="C9">XLOOKUP(B9, 'Surfer Stats - Event 4'!B:B, 'Surfer Stats - Event 4'!D:D)</f>
        <v>Regular</v>
      </c>
      <c r="D9" s="3">
        <f t="shared" si="1"/>
        <v>9</v>
      </c>
      <c r="E9" s="10">
        <v>0.0</v>
      </c>
      <c r="F9" s="10">
        <v>0.0</v>
      </c>
      <c r="G9" s="10">
        <v>25.0</v>
      </c>
      <c r="H9" s="10">
        <v>5.0</v>
      </c>
      <c r="I9" s="10">
        <v>13.0</v>
      </c>
      <c r="J9" s="3">
        <f>COUNTIFS( historical_events_FACT!J:J, "&gt;16", historical_events_FACT!G:G, B9,historical_events_FACT!C:C, "7" )</f>
        <v>3</v>
      </c>
      <c r="K9" s="3">
        <f t="shared" si="2"/>
        <v>12.93</v>
      </c>
      <c r="L9" s="3">
        <f t="shared" si="3"/>
        <v>11.77</v>
      </c>
      <c r="M9" s="3">
        <f>SUMIFS( '2014Data'!I:I, '2014Data'!F:F, B9,'2014Data'!B:B, "7" )</f>
        <v>23.54</v>
      </c>
      <c r="N9" s="3">
        <f>COUNTIFS('2014Data'!F:F, B9,'2014Data'!B:B, "7" )</f>
        <v>2</v>
      </c>
      <c r="O9" s="3">
        <f t="shared" si="4"/>
        <v>10.08</v>
      </c>
      <c r="P9" s="3">
        <f>SUMIFS( historical_events_FACT!J:J, historical_events_FACT!G:G, B9,historical_events_FACT!B:B, "2015",historical_events_FACT!C:C, "7" )</f>
        <v>20.16</v>
      </c>
      <c r="Q9" s="3">
        <f>COUNTIFS(historical_events_FACT!G:G, B9,historical_events_FACT!B:B, "2015",historical_events_FACT!C:C, "7" )</f>
        <v>2</v>
      </c>
      <c r="R9" s="3">
        <f t="shared" si="5"/>
        <v>14.53</v>
      </c>
      <c r="S9" s="3">
        <f>SUMIFS( historical_events_FACT!J:J, historical_events_FACT!G:G, B9,historical_events_FACT!B:B, "2016",historical_events_FACT!C:C, "7" )</f>
        <v>72.64</v>
      </c>
      <c r="T9" s="3">
        <f>COUNTIFS(historical_events_FACT!G:G, B9,historical_events_FACT!B:B, "2016",historical_events_FACT!C:C, "7" )</f>
        <v>5</v>
      </c>
      <c r="U9" s="3">
        <f t="shared" si="6"/>
        <v>0</v>
      </c>
      <c r="V9" s="3">
        <f>MAXIFS( historical_events_FACT!J:J, historical_events_FACT!G:G, B9,historical_events_FACT!C:C, "7" )</f>
        <v>17.97</v>
      </c>
      <c r="W9" s="3">
        <f t="array" ref="W9">ROUND(AVERAGEIF({ IFERROR(XLOOKUP(B9, 'Surfer Stats - Event 4'!B:B, 'Surfer Stats - Event 4'!AF:AF), ""), IFERROR(XLOOKUP(B9, 'Surfer Stats - Event 5'!B:B, 'Surfer Stats - Event 5'!AA:AA), ""), IFERROR(XLOOKUP(B9, 'Surfer Stats - Event 6'!B:B, 'Surfer Stats - Event 6'!Y:Y), "") }, "&lt;&gt;"),2)</f>
        <v>77.95</v>
      </c>
      <c r="X9" s="3">
        <f t="array" ref="X9">XLOOKUP(B9, 'Surfer Stats - Event 6'!B:B, 'Surfer Stats - Event 6'!Y:Y)</f>
        <v>105.22</v>
      </c>
      <c r="Y9" s="75">
        <f>7500+4000+5200+6500</f>
        <v>23200</v>
      </c>
      <c r="Z9" s="3">
        <f t="array" ref="Z9">XLOOKUP(B9,'Event 7 Assist'!A:A, 'Event 7 Assist'!E:E)</f>
        <v>96.48</v>
      </c>
    </row>
    <row r="10">
      <c r="A10" s="78">
        <v>1.0</v>
      </c>
      <c r="B10" s="66" t="s">
        <v>30</v>
      </c>
      <c r="C10" s="3" t="str">
        <f t="array" ref="C10">XLOOKUP(B10, 'Surfer Stats - Event 4'!B:B, 'Surfer Stats - Event 4'!D:D)</f>
        <v>Goofy</v>
      </c>
      <c r="D10" s="3">
        <f t="shared" si="1"/>
        <v>19</v>
      </c>
      <c r="E10" s="10">
        <v>0.0</v>
      </c>
      <c r="F10" s="10">
        <v>0.0</v>
      </c>
      <c r="G10" s="10">
        <v>1.0</v>
      </c>
      <c r="H10" s="10">
        <v>3.0</v>
      </c>
      <c r="I10" s="10">
        <v>2.0</v>
      </c>
      <c r="J10" s="3">
        <f>COUNTIFS( historical_events_FACT!J:J, "&gt;16", historical_events_FACT!G:G, B10,historical_events_FACT!C:C, "7" )</f>
        <v>11</v>
      </c>
      <c r="K10" s="3">
        <f t="shared" si="2"/>
        <v>16.42</v>
      </c>
      <c r="L10" s="3">
        <f t="shared" si="3"/>
        <v>17.57</v>
      </c>
      <c r="M10" s="3">
        <f>SUMIFS( '2014Data'!I:I, '2014Data'!F:F, B10,'2014Data'!B:B, "7" )</f>
        <v>105.4</v>
      </c>
      <c r="N10" s="3">
        <f>COUNTIFS('2014Data'!F:F, B10,'2014Data'!B:B, "7" )</f>
        <v>6</v>
      </c>
      <c r="O10" s="3">
        <f t="shared" si="4"/>
        <v>16.3</v>
      </c>
      <c r="P10" s="3">
        <f>SUMIFS( historical_events_FACT!J:J, historical_events_FACT!G:G, B10,historical_events_FACT!B:B, "2015",historical_events_FACT!C:C, "7" )</f>
        <v>114.08</v>
      </c>
      <c r="Q10" s="3">
        <f>COUNTIFS(historical_events_FACT!G:G, B10,historical_events_FACT!B:B, "2015",historical_events_FACT!C:C, "7" )</f>
        <v>7</v>
      </c>
      <c r="R10" s="3">
        <f t="shared" si="5"/>
        <v>15.4</v>
      </c>
      <c r="S10" s="3">
        <f>SUMIFS( historical_events_FACT!J:J, historical_events_FACT!G:G, B10,historical_events_FACT!B:B, "2016",historical_events_FACT!C:C, "7" )</f>
        <v>92.42</v>
      </c>
      <c r="T10" s="3">
        <f>COUNTIFS(historical_events_FACT!G:G, B10,historical_events_FACT!B:B, "2016",historical_events_FACT!C:C, "7" )</f>
        <v>6</v>
      </c>
      <c r="U10" s="3">
        <f t="shared" si="6"/>
        <v>0</v>
      </c>
      <c r="V10" s="3">
        <f>MAXIFS( historical_events_FACT!J:J, historical_events_FACT!G:G, B10,historical_events_FACT!C:C, "7" )</f>
        <v>19.23</v>
      </c>
      <c r="W10" s="3">
        <f t="array" ref="W10">ROUND(AVERAGEIF({ IFERROR(XLOOKUP(B10, 'Surfer Stats - Event 4'!B:B, 'Surfer Stats - Event 4'!AF:AF), ""), IFERROR(XLOOKUP(B10, 'Surfer Stats - Event 5'!B:B, 'Surfer Stats - Event 5'!AA:AA), ""), IFERROR(XLOOKUP(B10, 'Surfer Stats - Event 6'!B:B, 'Surfer Stats - Event 6'!Y:Y), "") }, "&lt;&gt;"),2)</f>
        <v>61.98</v>
      </c>
      <c r="X10" s="3">
        <f t="array" ref="X10">XLOOKUP(B10, 'Surfer Stats - Event 6'!B:B, 'Surfer Stats - Event 6'!Y:Y)</f>
        <v>85.5</v>
      </c>
      <c r="Y10" s="75">
        <f>8750+4000+1750+6500</f>
        <v>21000</v>
      </c>
      <c r="Z10" s="3">
        <f t="array" ref="Z10">XLOOKUP(B10,'Event 7 Assist'!A:A, 'Event 7 Assist'!E:E)</f>
        <v>100.29</v>
      </c>
    </row>
    <row r="11">
      <c r="A11" s="78">
        <v>1.0</v>
      </c>
      <c r="B11" s="66" t="s">
        <v>61</v>
      </c>
      <c r="C11" s="3" t="str">
        <f t="array" ref="C11">XLOOKUP(B11, 'Surfer Stats - Event 4'!B:B, 'Surfer Stats - Event 4'!D:D)</f>
        <v>Goofy</v>
      </c>
      <c r="D11" s="3">
        <f t="shared" si="1"/>
        <v>6</v>
      </c>
      <c r="E11" s="10">
        <v>0.0</v>
      </c>
      <c r="F11" s="10">
        <v>0.0</v>
      </c>
      <c r="G11" s="10">
        <v>99.0</v>
      </c>
      <c r="H11" s="10">
        <v>99.0</v>
      </c>
      <c r="I11" s="10">
        <v>99.0</v>
      </c>
      <c r="J11" s="3">
        <f>COUNTIFS( historical_events_FACT!J:J, "&gt;16", historical_events_FACT!G:G, B11,historical_events_FACT!C:C, "7" )</f>
        <v>0</v>
      </c>
      <c r="K11" s="3">
        <f t="shared" si="2"/>
        <v>12.17</v>
      </c>
      <c r="L11" s="10">
        <v>14.08</v>
      </c>
      <c r="M11" s="3">
        <f>L11*N11</f>
        <v>56.32</v>
      </c>
      <c r="N11" s="10">
        <v>4.0</v>
      </c>
      <c r="O11" s="3">
        <f t="shared" si="4"/>
        <v>0</v>
      </c>
      <c r="P11" s="3">
        <f>SUMIFS( historical_events_FACT!J:J, historical_events_FACT!G:G, B11,historical_events_FACT!B:B, "2015",historical_events_FACT!C:C, "7" )</f>
        <v>0</v>
      </c>
      <c r="Q11" s="3">
        <f>COUNTIFS(historical_events_FACT!G:G, B11,historical_events_FACT!B:B, "2015",historical_events_FACT!C:C, "7" )</f>
        <v>0</v>
      </c>
      <c r="R11" s="10">
        <v>8.35</v>
      </c>
      <c r="S11" s="3">
        <f>R11*T11</f>
        <v>16.7</v>
      </c>
      <c r="T11" s="10">
        <v>2.0</v>
      </c>
      <c r="U11" s="3">
        <f t="shared" si="6"/>
        <v>1</v>
      </c>
      <c r="V11" s="10">
        <v>12.92</v>
      </c>
      <c r="W11" s="3">
        <f t="array" ref="W11">ROUND(AVERAGEIF({ IFERROR(XLOOKUP(B11, 'Surfer Stats - Event 4'!B:B, 'Surfer Stats - Event 4'!AF:AF), ""), IFERROR(XLOOKUP(B11, 'Surfer Stats - Event 5'!B:B, 'Surfer Stats - Event 5'!AA:AA), ""), IFERROR(XLOOKUP(B11, 'Surfer Stats - Event 6'!B:B, 'Surfer Stats - Event 6'!Y:Y), "") }, "&lt;&gt;"),2)</f>
        <v>50.44</v>
      </c>
      <c r="X11" s="3">
        <f t="array" ref="X11">XLOOKUP(B11, 'Surfer Stats - Event 6'!B:B, 'Surfer Stats - Event 6'!Y:Y)</f>
        <v>36.56</v>
      </c>
      <c r="Y11" s="75">
        <f>8700+1750+8000+1750</f>
        <v>20200</v>
      </c>
      <c r="Z11" s="3">
        <f t="array" ref="Z11">XLOOKUP(B11,'Event 7 Assist'!A:A, 'Event 7 Assist'!E:E)</f>
        <v>52.49</v>
      </c>
    </row>
    <row r="12">
      <c r="A12" s="78">
        <v>1.0</v>
      </c>
      <c r="B12" s="66" t="s">
        <v>41</v>
      </c>
      <c r="C12" s="3" t="str">
        <f t="array" ref="C12">XLOOKUP(B12, 'Surfer Stats - Event 4'!B:B, 'Surfer Stats - Event 4'!D:D)</f>
        <v>Regular</v>
      </c>
      <c r="D12" s="3">
        <f t="shared" si="1"/>
        <v>6</v>
      </c>
      <c r="E12" s="10">
        <v>0.0</v>
      </c>
      <c r="F12" s="10">
        <v>0.0</v>
      </c>
      <c r="G12" s="10">
        <v>13.0</v>
      </c>
      <c r="H12" s="10">
        <v>99.0</v>
      </c>
      <c r="I12" s="10">
        <v>13.0</v>
      </c>
      <c r="J12" s="3">
        <f>COUNTIFS( historical_events_FACT!J:J, "&gt;16", historical_events_FACT!G:G, B12,historical_events_FACT!C:C, "7" )</f>
        <v>1</v>
      </c>
      <c r="K12" s="3">
        <f t="shared" si="2"/>
        <v>10.74</v>
      </c>
      <c r="L12" s="3">
        <f>IF(M12=0,0,ROUND(M12/N12,2))</f>
        <v>12.05</v>
      </c>
      <c r="M12" s="3">
        <f>SUMIFS( '2014Data'!I:I, '2014Data'!F:F, B12,'2014Data'!B:B, "7" )</f>
        <v>24.1</v>
      </c>
      <c r="N12" s="3">
        <f>COUNTIFS('2014Data'!F:F, B12,'2014Data'!B:B, "7" )</f>
        <v>2</v>
      </c>
      <c r="O12" s="3">
        <f t="shared" si="4"/>
        <v>9.42</v>
      </c>
      <c r="P12" s="3">
        <f>SUMIFS( historical_events_FACT!J:J, historical_events_FACT!G:G, B12,historical_events_FACT!B:B, "2015",historical_events_FACT!C:C, "7" )</f>
        <v>18.84</v>
      </c>
      <c r="Q12" s="3">
        <f>COUNTIFS(historical_events_FACT!G:G, B12,historical_events_FACT!B:B, "2015",historical_events_FACT!C:C, "7" )</f>
        <v>2</v>
      </c>
      <c r="R12" s="3">
        <f>IF(T12=0,0,ROUND(S12/T12,2))</f>
        <v>10.74</v>
      </c>
      <c r="S12" s="10">
        <v>21.47</v>
      </c>
      <c r="T12" s="10">
        <v>2.0</v>
      </c>
      <c r="U12" s="3">
        <f t="shared" si="6"/>
        <v>1</v>
      </c>
      <c r="V12" s="3">
        <f>MAXIFS( historical_events_FACT!J:J, historical_events_FACT!G:G, B12,historical_events_FACT!C:C, "7" )</f>
        <v>18.16</v>
      </c>
      <c r="W12" s="3">
        <f t="array" ref="W12">ROUND(AVERAGEIF({ IFERROR(XLOOKUP(B12, 'Surfer Stats - Event 4'!B:B, 'Surfer Stats - Event 4'!AF:AF), ""), IFERROR(XLOOKUP(B12, 'Surfer Stats - Event 5'!B:B, 'Surfer Stats - Event 5'!AA:AA), ""), IFERROR(XLOOKUP(B12, 'Surfer Stats - Event 6'!B:B, 'Surfer Stats - Event 6'!Y:Y), "") }, "&lt;&gt;"),2)</f>
        <v>52.44</v>
      </c>
      <c r="X12" s="3">
        <f t="array" ref="X12">XLOOKUP(B12, 'Surfer Stats - Event 6'!B:B, 'Surfer Stats - Event 6'!Y:Y)</f>
        <v>74.5</v>
      </c>
      <c r="Y12" s="75">
        <f>7450+5200+1750+5200</f>
        <v>19600</v>
      </c>
      <c r="Z12" s="3">
        <f t="array" ref="Z12">XLOOKUP(B12,'Event 7 Assist'!A:A, 'Event 7 Assist'!E:E)</f>
        <v>42.33</v>
      </c>
    </row>
    <row r="13">
      <c r="A13" s="78">
        <v>1.0</v>
      </c>
      <c r="B13" s="66" t="s">
        <v>64</v>
      </c>
      <c r="C13" s="3" t="str">
        <f t="array" ref="C13">XLOOKUP(B13, 'Surfer Stats - Event 4'!B:B, 'Surfer Stats - Event 4'!D:D)</f>
        <v>Regular</v>
      </c>
      <c r="D13" s="3">
        <f t="shared" si="1"/>
        <v>10</v>
      </c>
      <c r="E13" s="10">
        <v>0.0</v>
      </c>
      <c r="F13" s="10">
        <v>0.0</v>
      </c>
      <c r="G13" s="10">
        <v>99.0</v>
      </c>
      <c r="H13" s="10">
        <v>99.0</v>
      </c>
      <c r="I13" s="10">
        <v>99.0</v>
      </c>
      <c r="J13" s="3">
        <f>COUNTIFS( historical_events_FACT!J:J, "&gt;16", historical_events_FACT!G:G, B13,historical_events_FACT!C:C, "7" )</f>
        <v>0</v>
      </c>
      <c r="K13" s="3">
        <f t="shared" si="2"/>
        <v>12.08</v>
      </c>
      <c r="L13" s="10">
        <v>14.08</v>
      </c>
      <c r="M13" s="3">
        <f>L13*N13</f>
        <v>56.32</v>
      </c>
      <c r="N13" s="10">
        <v>4.0</v>
      </c>
      <c r="O13" s="10">
        <v>11.95</v>
      </c>
      <c r="P13" s="3">
        <f>O13*Q13</f>
        <v>47.8</v>
      </c>
      <c r="Q13" s="10">
        <v>4.0</v>
      </c>
      <c r="R13" s="10">
        <v>8.35</v>
      </c>
      <c r="S13" s="3">
        <f>R13*T13</f>
        <v>16.7</v>
      </c>
      <c r="T13" s="10">
        <v>2.0</v>
      </c>
      <c r="U13" s="3">
        <f t="shared" si="6"/>
        <v>1</v>
      </c>
      <c r="V13" s="10">
        <v>12.92</v>
      </c>
      <c r="W13" s="3">
        <f t="array" ref="W13">ROUND(AVERAGEIF({ IFERROR(XLOOKUP(B13, 'Surfer Stats - Event 4'!B:B, 'Surfer Stats - Event 4'!AF:AF), ""), IFERROR(XLOOKUP(B13, 'Surfer Stats - Event 5'!B:B, 'Surfer Stats - Event 5'!AA:AA), ""), IFERROR(XLOOKUP(B13, 'Surfer Stats - Event 6'!B:B, 'Surfer Stats - Event 6'!Y:Y), "") }, "&lt;&gt;"),2)</f>
        <v>58.45</v>
      </c>
      <c r="X13" s="3">
        <f t="array" ref="X13">XLOOKUP(B13, 'Surfer Stats - Event 6'!B:B, 'Surfer Stats - Event 6'!Y:Y)</f>
        <v>116.47</v>
      </c>
      <c r="Y13" s="75">
        <f>7450+1750+1750+8000</f>
        <v>18950</v>
      </c>
      <c r="Z13" s="3">
        <f t="array" ref="Z13">XLOOKUP(B13,'Event 7 Assist'!A:A, 'Event 7 Assist'!E:E)</f>
        <v>18.49</v>
      </c>
    </row>
    <row r="14">
      <c r="A14" s="78">
        <v>1.0</v>
      </c>
      <c r="B14" s="66" t="s">
        <v>27</v>
      </c>
      <c r="C14" s="3" t="str">
        <f t="array" ref="C14">XLOOKUP(B14, 'Surfer Stats - Event 4'!B:B, 'Surfer Stats - Event 4'!D:D)</f>
        <v>Regular</v>
      </c>
      <c r="D14" s="3">
        <f t="shared" si="1"/>
        <v>8</v>
      </c>
      <c r="E14" s="10">
        <v>0.0</v>
      </c>
      <c r="F14" s="10">
        <v>1.0</v>
      </c>
      <c r="G14" s="10">
        <v>9.0</v>
      </c>
      <c r="H14" s="10">
        <v>25.0</v>
      </c>
      <c r="I14" s="10">
        <v>25.0</v>
      </c>
      <c r="J14" s="3">
        <f>COUNTIFS( historical_events_FACT!J:J, "&gt;16", historical_events_FACT!G:G, B14,historical_events_FACT!C:C, "7" )</f>
        <v>0</v>
      </c>
      <c r="K14" s="3">
        <f t="shared" si="2"/>
        <v>11.17</v>
      </c>
      <c r="L14" s="3">
        <f t="shared" ref="L14:L16" si="7">IF(M14=0,0,ROUND(M14/N14,2))</f>
        <v>13.24</v>
      </c>
      <c r="M14" s="3">
        <f>SUMIFS( '2014Data'!I:I, '2014Data'!F:F, B14,'2014Data'!B:B, "7" )</f>
        <v>52.95</v>
      </c>
      <c r="N14" s="3">
        <f>COUNTIFS('2014Data'!F:F, B14,'2014Data'!B:B, "7" )</f>
        <v>4</v>
      </c>
      <c r="O14" s="3">
        <f t="shared" ref="O14:O16" si="8">IF(P14=0,0,ROUND(P14/Q14,2))</f>
        <v>6.52</v>
      </c>
      <c r="P14" s="3">
        <f>SUMIFS( historical_events_FACT!J:J, historical_events_FACT!G:G, B14,historical_events_FACT!B:B, "2015",historical_events_FACT!C:C, "7" )</f>
        <v>13.04</v>
      </c>
      <c r="Q14" s="3">
        <f>COUNTIFS(historical_events_FACT!G:G, B14,historical_events_FACT!B:B, "2015",historical_events_FACT!C:C, "7" )</f>
        <v>2</v>
      </c>
      <c r="R14" s="3">
        <f t="shared" ref="R14:R24" si="9">IF(T14=0,0,ROUND(S14/T14,2))</f>
        <v>11.7</v>
      </c>
      <c r="S14" s="3">
        <f>SUMIFS( historical_events_FACT!J:J, historical_events_FACT!G:G, B14,historical_events_FACT!B:B, "2016",historical_events_FACT!C:C, "7" )</f>
        <v>23.4</v>
      </c>
      <c r="T14" s="3">
        <f>COUNTIFS(historical_events_FACT!G:G, B14,historical_events_FACT!B:B, "2016",historical_events_FACT!C:C, "7" )</f>
        <v>2</v>
      </c>
      <c r="U14" s="3">
        <f t="shared" si="6"/>
        <v>0</v>
      </c>
      <c r="V14" s="3">
        <f>MAXIFS( historical_events_FACT!J:J, historical_events_FACT!G:G, B14,historical_events_FACT!C:C, "7" )</f>
        <v>14.9</v>
      </c>
      <c r="W14" s="3">
        <f t="array" ref="W14">ROUND(AVERAGEIF({ IFERROR(XLOOKUP(B14, 'Surfer Stats - Event 4'!B:B, 'Surfer Stats - Event 4'!AF:AF), ""), IFERROR(XLOOKUP(B14, 'Surfer Stats - Event 5'!B:B, 'Surfer Stats - Event 5'!AA:AA), ""), IFERROR(XLOOKUP(B14, 'Surfer Stats - Event 6'!B:B, 'Surfer Stats - Event 6'!Y:Y), "") }, "&lt;&gt;"),2)</f>
        <v>52.24</v>
      </c>
      <c r="X14" s="3">
        <f t="array" ref="X14">XLOOKUP(B14, 'Surfer Stats - Event 6'!B:B, 'Surfer Stats - Event 6'!Y:Y)</f>
        <v>57.56</v>
      </c>
      <c r="Y14" s="75">
        <f>7450+500+6500+4000</f>
        <v>18450</v>
      </c>
      <c r="Z14" s="3">
        <f t="array" ref="Z14">XLOOKUP(B14,'Event 7 Assist'!A:A, 'Event 7 Assist'!E:E)</f>
        <v>38.54</v>
      </c>
    </row>
    <row r="15">
      <c r="A15" s="78">
        <v>1.0</v>
      </c>
      <c r="B15" s="66" t="s">
        <v>32</v>
      </c>
      <c r="C15" s="3" t="str">
        <f t="array" ref="C15">XLOOKUP(B15, 'Surfer Stats - Event 4'!B:B, 'Surfer Stats - Event 4'!D:D)</f>
        <v>Regular</v>
      </c>
      <c r="D15" s="3">
        <f t="shared" si="1"/>
        <v>11</v>
      </c>
      <c r="E15" s="10">
        <v>0.0</v>
      </c>
      <c r="F15" s="10">
        <v>0.0</v>
      </c>
      <c r="G15" s="10">
        <v>5.0</v>
      </c>
      <c r="H15" s="10">
        <v>5.0</v>
      </c>
      <c r="I15" s="10">
        <v>25.0</v>
      </c>
      <c r="J15" s="3">
        <f>COUNTIFS( historical_events_FACT!J:J, "&gt;16", historical_events_FACT!G:G, B15,historical_events_FACT!C:C, "7" )</f>
        <v>1</v>
      </c>
      <c r="K15" s="3">
        <f t="shared" si="2"/>
        <v>14.12</v>
      </c>
      <c r="L15" s="3">
        <f t="shared" si="7"/>
        <v>15.65</v>
      </c>
      <c r="M15" s="3">
        <f>SUMIFS( '2014Data'!I:I, '2014Data'!F:F, B15,'2014Data'!B:B, "7" )</f>
        <v>78.23</v>
      </c>
      <c r="N15" s="3">
        <f>COUNTIFS('2014Data'!F:F, B15,'2014Data'!B:B, "7" )</f>
        <v>5</v>
      </c>
      <c r="O15" s="3">
        <f t="shared" si="8"/>
        <v>8.64</v>
      </c>
      <c r="P15" s="3">
        <f>SUMIFS( historical_events_FACT!J:J, historical_events_FACT!G:G, B15,historical_events_FACT!B:B, "2015",historical_events_FACT!C:C, "7" )</f>
        <v>17.27</v>
      </c>
      <c r="Q15" s="3">
        <f>COUNTIFS(historical_events_FACT!G:G, B15,historical_events_FACT!B:B, "2015",historical_events_FACT!C:C, "7" )</f>
        <v>2</v>
      </c>
      <c r="R15" s="3">
        <f t="shared" si="9"/>
        <v>14.96</v>
      </c>
      <c r="S15" s="3">
        <f>SUMIFS( historical_events_FACT!J:J, historical_events_FACT!G:G, B15,historical_events_FACT!B:B, "2016",historical_events_FACT!C:C, "7" )</f>
        <v>59.83</v>
      </c>
      <c r="T15" s="3">
        <f>COUNTIFS(historical_events_FACT!G:G, B15,historical_events_FACT!B:B, "2016",historical_events_FACT!C:C, "7" )</f>
        <v>4</v>
      </c>
      <c r="U15" s="3">
        <f t="shared" si="6"/>
        <v>0</v>
      </c>
      <c r="V15" s="3">
        <f>MAXIFS( historical_events_FACT!J:J, historical_events_FACT!G:G, B15,historical_events_FACT!C:C, "7" )</f>
        <v>18.1</v>
      </c>
      <c r="W15" s="3">
        <f t="array" ref="W15">ROUND(AVERAGEIF({ IFERROR(XLOOKUP(B15, 'Surfer Stats - Event 4'!B:B, 'Surfer Stats - Event 4'!AF:AF), ""), IFERROR(XLOOKUP(B15, 'Surfer Stats - Event 5'!B:B, 'Surfer Stats - Event 5'!AA:AA), ""), IFERROR(XLOOKUP(B15, 'Surfer Stats - Event 6'!B:B, 'Surfer Stats - Event 6'!Y:Y), "") }, "&lt;&gt;"),2)</f>
        <v>27.5</v>
      </c>
      <c r="X15" s="3">
        <f t="array" ref="X15">XLOOKUP(B15, 'Surfer Stats - Event 6'!B:B, 'Surfer Stats - Event 6'!Y:Y)</f>
        <v>21.03</v>
      </c>
      <c r="Y15" s="75">
        <f>13750+500+1750+500</f>
        <v>16500</v>
      </c>
      <c r="Z15" s="3">
        <f t="array" ref="Z15">XLOOKUP(B15,'Event 7 Assist'!A:A, 'Event 7 Assist'!E:E)</f>
        <v>67.84</v>
      </c>
    </row>
    <row r="16">
      <c r="A16" s="78">
        <v>1.0</v>
      </c>
      <c r="B16" s="66" t="s">
        <v>38</v>
      </c>
      <c r="C16" s="3" t="str">
        <f t="array" ref="C16">XLOOKUP(B16, 'Surfer Stats - Event 4'!B:B, 'Surfer Stats - Event 4'!D:D)</f>
        <v>Regular</v>
      </c>
      <c r="D16" s="3">
        <f t="shared" si="1"/>
        <v>8</v>
      </c>
      <c r="E16" s="10">
        <v>0.0</v>
      </c>
      <c r="F16" s="10">
        <v>0.0</v>
      </c>
      <c r="G16" s="10">
        <v>13.0</v>
      </c>
      <c r="H16" s="10">
        <v>13.0</v>
      </c>
      <c r="I16" s="10">
        <v>13.0</v>
      </c>
      <c r="J16" s="3">
        <f>COUNTIFS( historical_events_FACT!J:J, "&gt;16", historical_events_FACT!G:G, B16,historical_events_FACT!C:C, "7" )</f>
        <v>2</v>
      </c>
      <c r="K16" s="3">
        <f t="shared" si="2"/>
        <v>13.4</v>
      </c>
      <c r="L16" s="3">
        <f t="shared" si="7"/>
        <v>14.88</v>
      </c>
      <c r="M16" s="3">
        <f>SUMIFS( '2014Data'!I:I, '2014Data'!F:F, B16,'2014Data'!B:B, "7" )</f>
        <v>44.64</v>
      </c>
      <c r="N16" s="3">
        <f>COUNTIFS('2014Data'!F:F, B16,'2014Data'!B:B, "7" )</f>
        <v>3</v>
      </c>
      <c r="O16" s="3">
        <f t="shared" si="8"/>
        <v>12.31</v>
      </c>
      <c r="P16" s="3">
        <f>SUMIFS( historical_events_FACT!J:J, historical_events_FACT!G:G, B16,historical_events_FACT!B:B, "2015",historical_events_FACT!C:C, "7" )</f>
        <v>36.93</v>
      </c>
      <c r="Q16" s="3">
        <f>COUNTIFS(historical_events_FACT!G:G, B16,historical_events_FACT!B:B, "2015",historical_events_FACT!C:C, "7" )</f>
        <v>3</v>
      </c>
      <c r="R16" s="3">
        <f t="shared" si="9"/>
        <v>12.82</v>
      </c>
      <c r="S16" s="3">
        <f>SUMIFS( historical_events_FACT!J:J, historical_events_FACT!G:G, B16,historical_events_FACT!B:B, "2016",historical_events_FACT!C:C, "7" )</f>
        <v>25.64</v>
      </c>
      <c r="T16" s="3">
        <f>COUNTIFS(historical_events_FACT!G:G, B16,historical_events_FACT!B:B, "2016",historical_events_FACT!C:C, "7" )</f>
        <v>2</v>
      </c>
      <c r="U16" s="3">
        <f t="shared" si="6"/>
        <v>0</v>
      </c>
      <c r="V16" s="3">
        <f>MAXIFS( historical_events_FACT!J:J, historical_events_FACT!G:G, B16,historical_events_FACT!C:C, "7" )</f>
        <v>18.5</v>
      </c>
      <c r="W16" s="3">
        <f t="array" ref="W16">ROUND(AVERAGEIF({ IFERROR(XLOOKUP(B16, 'Surfer Stats - Event 4'!B:B, 'Surfer Stats - Event 4'!AF:AF), ""), IFERROR(XLOOKUP(B16, 'Surfer Stats - Event 5'!B:B, 'Surfer Stats - Event 5'!AA:AA), ""), IFERROR(XLOOKUP(B16, 'Surfer Stats - Event 6'!B:B, 'Surfer Stats - Event 6'!Y:Y), "") }, "&lt;&gt;"),2)</f>
        <v>38.78</v>
      </c>
      <c r="X16" s="3">
        <f t="array" ref="X16">XLOOKUP(B16, 'Surfer Stats - Event 6'!B:B, 'Surfer Stats - Event 6'!Y:Y)</f>
        <v>25.59</v>
      </c>
      <c r="Y16" s="75">
        <f>9750+1750+4000+500</f>
        <v>16000</v>
      </c>
      <c r="Z16" s="3">
        <f t="array" ref="Z16">XLOOKUP(B16,'Event 7 Assist'!A:A, 'Event 7 Assist'!E:E)</f>
        <v>34.41</v>
      </c>
    </row>
    <row r="17">
      <c r="A17" s="78">
        <v>1.0</v>
      </c>
      <c r="B17" s="66" t="s">
        <v>40</v>
      </c>
      <c r="C17" s="3" t="str">
        <f t="array" ref="C17">XLOOKUP(B17, 'Surfer Stats - Event 4'!B:B, 'Surfer Stats - Event 4'!D:D)</f>
        <v>Regular</v>
      </c>
      <c r="D17" s="3">
        <f t="shared" si="1"/>
        <v>10</v>
      </c>
      <c r="E17" s="10">
        <v>0.0</v>
      </c>
      <c r="F17" s="10">
        <v>0.0</v>
      </c>
      <c r="G17" s="10">
        <v>99.0</v>
      </c>
      <c r="H17" s="10">
        <v>25.0</v>
      </c>
      <c r="I17" s="10">
        <v>99.0</v>
      </c>
      <c r="J17" s="3">
        <f>COUNTIFS( historical_events_FACT!J:J, "&gt;16", historical_events_FACT!G:G, B17,historical_events_FACT!C:C, "7" )</f>
        <v>0</v>
      </c>
      <c r="K17" s="3">
        <f t="shared" si="2"/>
        <v>12.12</v>
      </c>
      <c r="L17" s="10">
        <v>14.08</v>
      </c>
      <c r="M17" s="3">
        <f t="shared" ref="M17:M18" si="10">L17*N17</f>
        <v>56.32</v>
      </c>
      <c r="N17" s="10">
        <v>4.0</v>
      </c>
      <c r="O17" s="10">
        <v>11.95</v>
      </c>
      <c r="P17" s="3">
        <f t="shared" ref="P17:P18" si="11">O17*Q17</f>
        <v>47.8</v>
      </c>
      <c r="Q17" s="10">
        <v>4.0</v>
      </c>
      <c r="R17" s="3">
        <f t="shared" si="9"/>
        <v>8.52</v>
      </c>
      <c r="S17" s="3">
        <f>SUMIFS( historical_events_FACT!J:J, historical_events_FACT!G:G, B17,historical_events_FACT!B:B, "2016",historical_events_FACT!C:C, "7" )</f>
        <v>17.03</v>
      </c>
      <c r="T17" s="3">
        <f>COUNTIFS(historical_events_FACT!G:G, B17,historical_events_FACT!B:B, "2016",historical_events_FACT!C:C, "7" )</f>
        <v>2</v>
      </c>
      <c r="U17" s="3">
        <f t="shared" si="6"/>
        <v>0</v>
      </c>
      <c r="V17" s="3">
        <f>MAXIFS( historical_events_FACT!J:J, historical_events_FACT!G:G, B17,historical_events_FACT!C:C, "7" )</f>
        <v>8.7</v>
      </c>
      <c r="W17" s="3">
        <f t="array" ref="W17">ROUND(AVERAGEIF({ IFERROR(XLOOKUP(B17, 'Surfer Stats - Event 4'!B:B, 'Surfer Stats - Event 4'!AF:AF), ""), IFERROR(XLOOKUP(B17, 'Surfer Stats - Event 5'!B:B, 'Surfer Stats - Event 5'!AA:AA), ""), IFERROR(XLOOKUP(B17, 'Surfer Stats - Event 6'!B:B, 'Surfer Stats - Event 6'!Y:Y), "") }, "&lt;&gt;"),2)</f>
        <v>23.16</v>
      </c>
      <c r="X17" s="3">
        <f t="array" ref="X17">XLOOKUP(B17, 'Surfer Stats - Event 6'!B:B, 'Surfer Stats - Event 6'!Y:Y)</f>
        <v>38.27</v>
      </c>
      <c r="Y17" s="75">
        <f>11500+1750+500+1750</f>
        <v>15500</v>
      </c>
      <c r="Z17" s="3">
        <f t="array" ref="Z17">XLOOKUP(B17,'Event 7 Assist'!A:A, 'Event 7 Assist'!E:E)</f>
        <v>12.1</v>
      </c>
    </row>
    <row r="18">
      <c r="A18" s="78">
        <v>1.0</v>
      </c>
      <c r="B18" s="66" t="s">
        <v>52</v>
      </c>
      <c r="C18" s="3" t="str">
        <f t="array" ref="C18">XLOOKUP(B18, 'Surfer Stats - Event 4'!B:B, 'Surfer Stats - Event 4'!D:D)</f>
        <v>Regular</v>
      </c>
      <c r="D18" s="3">
        <f t="shared" si="1"/>
        <v>10</v>
      </c>
      <c r="E18" s="10">
        <v>0.0</v>
      </c>
      <c r="F18" s="10">
        <v>0.0</v>
      </c>
      <c r="G18" s="10">
        <v>99.0</v>
      </c>
      <c r="H18" s="10">
        <v>25.0</v>
      </c>
      <c r="I18" s="10">
        <v>99.0</v>
      </c>
      <c r="J18" s="3">
        <f>COUNTIFS( historical_events_FACT!J:J, "&gt;16", historical_events_FACT!G:G, B18,historical_events_FACT!C:C, "7" )</f>
        <v>0</v>
      </c>
      <c r="K18" s="3">
        <f t="shared" si="2"/>
        <v>12.35</v>
      </c>
      <c r="L18" s="10">
        <v>14.08</v>
      </c>
      <c r="M18" s="3">
        <f t="shared" si="10"/>
        <v>56.32</v>
      </c>
      <c r="N18" s="10">
        <v>4.0</v>
      </c>
      <c r="O18" s="10">
        <v>11.95</v>
      </c>
      <c r="P18" s="3">
        <f t="shared" si="11"/>
        <v>47.8</v>
      </c>
      <c r="Q18" s="10">
        <v>4.0</v>
      </c>
      <c r="R18" s="3">
        <f t="shared" si="9"/>
        <v>9.67</v>
      </c>
      <c r="S18" s="3">
        <f>SUMIFS( historical_events_FACT!J:J, historical_events_FACT!G:G, B18,historical_events_FACT!B:B, "2016",historical_events_FACT!C:C, "7" )</f>
        <v>19.34</v>
      </c>
      <c r="T18" s="3">
        <f>COUNTIFS(historical_events_FACT!G:G, B18,historical_events_FACT!B:B, "2016",historical_events_FACT!C:C, "7" )</f>
        <v>2</v>
      </c>
      <c r="U18" s="3">
        <f t="shared" si="6"/>
        <v>0</v>
      </c>
      <c r="V18" s="3">
        <f>MAXIFS( historical_events_FACT!J:J, historical_events_FACT!G:G, B18,historical_events_FACT!C:C, "7" )</f>
        <v>13.74</v>
      </c>
      <c r="W18" s="3">
        <f t="array" ref="W18">ROUND(AVERAGEIF({ IFERROR(XLOOKUP(B18, 'Surfer Stats - Event 4'!B:B, 'Surfer Stats - Event 4'!AF:AF), ""), IFERROR(XLOOKUP(B18, 'Surfer Stats - Event 5'!B:B, 'Surfer Stats - Event 5'!AA:AA), ""), IFERROR(XLOOKUP(B18, 'Surfer Stats - Event 6'!B:B, 'Surfer Stats - Event 6'!Y:Y), "") }, "&lt;&gt;"),2)</f>
        <v>39.33</v>
      </c>
      <c r="X18" s="3">
        <f t="array" ref="X18">XLOOKUP(B18, 'Surfer Stats - Event 6'!B:B, 'Surfer Stats - Event 6'!Y:Y)</f>
        <v>68.65</v>
      </c>
      <c r="Y18" s="75">
        <f>+500+8500+500+4000</f>
        <v>13500</v>
      </c>
      <c r="Z18" s="3">
        <f t="array" ref="Z18">XLOOKUP(B18,'Event 7 Assist'!A:A, 'Event 7 Assist'!E:E)</f>
        <v>58.03</v>
      </c>
    </row>
    <row r="19">
      <c r="A19" s="78">
        <v>1.0</v>
      </c>
      <c r="B19" s="66" t="s">
        <v>47</v>
      </c>
      <c r="C19" s="3" t="str">
        <f t="array" ref="C19">XLOOKUP(B19, 'Surfer Stats - Event 4'!B:B, 'Surfer Stats - Event 4'!D:D)</f>
        <v>Goofy</v>
      </c>
      <c r="D19" s="3">
        <f t="shared" si="1"/>
        <v>13</v>
      </c>
      <c r="E19" s="10">
        <v>0.0</v>
      </c>
      <c r="F19" s="10">
        <v>0.0</v>
      </c>
      <c r="G19" s="10">
        <v>5.0</v>
      </c>
      <c r="H19" s="10">
        <v>3.0</v>
      </c>
      <c r="I19" s="10">
        <v>13.0</v>
      </c>
      <c r="J19" s="3">
        <f>COUNTIFS( historical_events_FACT!J:J, "&gt;16", historical_events_FACT!G:G, B19,historical_events_FACT!C:C, "7" )</f>
        <v>7</v>
      </c>
      <c r="K19" s="3">
        <f t="shared" si="2"/>
        <v>14.98</v>
      </c>
      <c r="L19" s="3">
        <f t="shared" ref="L19:L22" si="12">IF(M19=0,0,ROUND(M19/N19,2))</f>
        <v>16.57</v>
      </c>
      <c r="M19" s="3">
        <f>SUMIFS( '2014Data'!I:I, '2014Data'!F:F, B19,'2014Data'!B:B, "7" )</f>
        <v>66.29</v>
      </c>
      <c r="N19" s="3">
        <f>COUNTIFS('2014Data'!F:F, B19,'2014Data'!B:B, "7" )</f>
        <v>4</v>
      </c>
      <c r="O19" s="3">
        <f t="shared" ref="O19:O23" si="13">IF(P19=0,0,ROUND(P19/Q19,2))</f>
        <v>13.86</v>
      </c>
      <c r="P19" s="3">
        <f>SUMIFS( historical_events_FACT!J:J, historical_events_FACT!G:G, B19,historical_events_FACT!B:B, "2015",historical_events_FACT!C:C, "7" )</f>
        <v>41.57</v>
      </c>
      <c r="Q19" s="3">
        <f>COUNTIFS(historical_events_FACT!G:G, B19,historical_events_FACT!B:B, "2015",historical_events_FACT!C:C, "7" )</f>
        <v>3</v>
      </c>
      <c r="R19" s="3">
        <f t="shared" si="9"/>
        <v>14.48</v>
      </c>
      <c r="S19" s="3">
        <f>SUMIFS( historical_events_FACT!J:J, historical_events_FACT!G:G, B19,historical_events_FACT!B:B, "2016",historical_events_FACT!C:C, "7" )</f>
        <v>86.86</v>
      </c>
      <c r="T19" s="3">
        <f>COUNTIFS(historical_events_FACT!G:G, B19,historical_events_FACT!B:B, "2016",historical_events_FACT!C:C, "7" )</f>
        <v>6</v>
      </c>
      <c r="U19" s="3">
        <f t="shared" si="6"/>
        <v>0</v>
      </c>
      <c r="V19" s="3">
        <f>MAXIFS( historical_events_FACT!J:J, historical_events_FACT!G:G, B19,historical_events_FACT!C:C, "7" )</f>
        <v>19</v>
      </c>
      <c r="W19" s="3">
        <f t="array" ref="W19">ROUND(AVERAGEIF({ IFERROR(XLOOKUP(B19, 'Surfer Stats - Event 4'!B:B, 'Surfer Stats - Event 4'!AF:AF), ""), IFERROR(XLOOKUP(B19, 'Surfer Stats - Event 5'!B:B, 'Surfer Stats - Event 5'!AA:AA), ""), IFERROR(XLOOKUP(B19, 'Surfer Stats - Event 6'!B:B, 'Surfer Stats - Event 6'!Y:Y), "") }, "&lt;&gt;"),2)</f>
        <v>52.6</v>
      </c>
      <c r="X19" s="3">
        <f t="array" ref="X19">XLOOKUP(B19, 'Surfer Stats - Event 6'!B:B, 'Surfer Stats - Event 6'!Y:Y)</f>
        <v>27.66</v>
      </c>
      <c r="Y19" s="75">
        <f>4000+8000+500+500</f>
        <v>13000</v>
      </c>
      <c r="Z19" s="3">
        <f t="array" ref="Z19">XLOOKUP(B19,'Event 7 Assist'!A:A, 'Event 7 Assist'!E:E)</f>
        <v>53.06</v>
      </c>
    </row>
    <row r="20">
      <c r="A20" s="78">
        <v>1.0</v>
      </c>
      <c r="B20" s="66" t="s">
        <v>50</v>
      </c>
      <c r="C20" s="3" t="str">
        <f t="array" ref="C20">XLOOKUP(B20, 'Surfer Stats - Event 4'!B:B, 'Surfer Stats - Event 4'!D:D)</f>
        <v>Regular</v>
      </c>
      <c r="D20" s="3">
        <f t="shared" si="1"/>
        <v>9</v>
      </c>
      <c r="E20" s="10">
        <v>0.0</v>
      </c>
      <c r="F20" s="10">
        <v>0.0</v>
      </c>
      <c r="G20" s="10">
        <v>99.0</v>
      </c>
      <c r="H20" s="10">
        <v>13.0</v>
      </c>
      <c r="I20" s="10">
        <v>1.0</v>
      </c>
      <c r="J20" s="3">
        <f>COUNTIFS( historical_events_FACT!J:J, "&gt;16", historical_events_FACT!G:G, B20,historical_events_FACT!C:C, "7" )</f>
        <v>3</v>
      </c>
      <c r="K20" s="3">
        <f t="shared" si="2"/>
        <v>15.28</v>
      </c>
      <c r="L20" s="3">
        <f t="shared" si="12"/>
        <v>0</v>
      </c>
      <c r="M20" s="3">
        <f>SUMIFS( '2014Data'!I:I, '2014Data'!F:F, B20,'2014Data'!B:B, "7" )</f>
        <v>0</v>
      </c>
      <c r="N20" s="3">
        <f>COUNTIFS('2014Data'!F:F, B20,'2014Data'!B:B, "7" )</f>
        <v>0</v>
      </c>
      <c r="O20" s="3">
        <f t="shared" si="13"/>
        <v>15.91</v>
      </c>
      <c r="P20" s="3">
        <f>SUMIFS( historical_events_FACT!J:J, historical_events_FACT!G:G, B20,historical_events_FACT!B:B, "2015",historical_events_FACT!C:C, "7" )</f>
        <v>111.36</v>
      </c>
      <c r="Q20" s="3">
        <f>COUNTIFS(historical_events_FACT!G:G, B20,historical_events_FACT!B:B, "2015",historical_events_FACT!C:C, "7" )</f>
        <v>7</v>
      </c>
      <c r="R20" s="3">
        <f t="shared" si="9"/>
        <v>13.1</v>
      </c>
      <c r="S20" s="3">
        <f>SUMIFS( historical_events_FACT!J:J, historical_events_FACT!G:G, B20,historical_events_FACT!B:B, "2016",historical_events_FACT!C:C, "7" )</f>
        <v>26.2</v>
      </c>
      <c r="T20" s="3">
        <f>COUNTIFS(historical_events_FACT!G:G, B20,historical_events_FACT!B:B, "2016",historical_events_FACT!C:C, "7" )</f>
        <v>2</v>
      </c>
      <c r="U20" s="3">
        <f t="shared" si="6"/>
        <v>0</v>
      </c>
      <c r="V20" s="3">
        <f>MAXIFS( historical_events_FACT!J:J, historical_events_FACT!G:G, B20,historical_events_FACT!C:C, "7" )</f>
        <v>18.87</v>
      </c>
      <c r="W20" s="3">
        <f t="array" ref="W20">ROUND(AVERAGEIF({ IFERROR(XLOOKUP(B20, 'Surfer Stats - Event 4'!B:B, 'Surfer Stats - Event 4'!AF:AF), ""), IFERROR(XLOOKUP(B20, 'Surfer Stats - Event 5'!B:B, 'Surfer Stats - Event 5'!AA:AA), ""), IFERROR(XLOOKUP(B20, 'Surfer Stats - Event 6'!B:B, 'Surfer Stats - Event 6'!Y:Y), "") }, "&lt;&gt;"),2)</f>
        <v>29.11</v>
      </c>
      <c r="X20" s="3">
        <f t="array" ref="X20">XLOOKUP(B20, 'Surfer Stats - Event 6'!B:B, 'Surfer Stats - Event 6'!Y:Y)</f>
        <v>32.3</v>
      </c>
      <c r="Y20" s="75">
        <f>7500+1750+1750+1750</f>
        <v>12750</v>
      </c>
      <c r="Z20" s="3">
        <f t="array" ref="Z20">XLOOKUP(B20,'Event 7 Assist'!A:A, 'Event 7 Assist'!E:E)</f>
        <v>39.54</v>
      </c>
    </row>
    <row r="21">
      <c r="A21" s="64">
        <v>0.0</v>
      </c>
      <c r="B21" s="82" t="s">
        <v>37</v>
      </c>
      <c r="C21" s="3" t="str">
        <f t="array" ref="C21">XLOOKUP(B21, 'Surfer Stats - Event 4'!B:B, 'Surfer Stats - Event 4'!D:D)</f>
        <v>Regular</v>
      </c>
      <c r="D21" s="3">
        <f t="shared" si="1"/>
        <v>17</v>
      </c>
      <c r="E21" s="10">
        <v>0.0</v>
      </c>
      <c r="F21" s="10">
        <v>0.0</v>
      </c>
      <c r="G21" s="10">
        <v>2.0</v>
      </c>
      <c r="H21" s="10">
        <v>1.0</v>
      </c>
      <c r="I21" s="10">
        <v>5.0</v>
      </c>
      <c r="J21" s="3">
        <f>COUNTIFS( historical_events_FACT!J:J, "&gt;16", historical_events_FACT!G:G, B21,historical_events_FACT!C:C, "7" )</f>
        <v>13</v>
      </c>
      <c r="K21" s="3">
        <f t="shared" si="2"/>
        <v>17.84</v>
      </c>
      <c r="L21" s="3">
        <f t="shared" si="12"/>
        <v>18.96</v>
      </c>
      <c r="M21" s="3">
        <f>SUMIFS( '2014Data'!I:I, '2014Data'!F:F, B21,'2014Data'!B:B, "7" )</f>
        <v>113.78</v>
      </c>
      <c r="N21" s="3">
        <f>COUNTIFS('2014Data'!F:F, B21,'2014Data'!B:B, "7" )</f>
        <v>6</v>
      </c>
      <c r="O21" s="3">
        <f t="shared" si="13"/>
        <v>15.36</v>
      </c>
      <c r="P21" s="3">
        <f>SUMIFS( historical_events_FACT!J:J, historical_events_FACT!G:G, B21,historical_events_FACT!B:B, "2015",historical_events_FACT!C:C, "7" )</f>
        <v>61.42</v>
      </c>
      <c r="Q21" s="3">
        <f>COUNTIFS(historical_events_FACT!G:G, B21,historical_events_FACT!B:B, "2015",historical_events_FACT!C:C, "7" )</f>
        <v>4</v>
      </c>
      <c r="R21" s="3">
        <f t="shared" si="9"/>
        <v>18.29</v>
      </c>
      <c r="S21" s="3">
        <f>SUMIFS( historical_events_FACT!J:J, historical_events_FACT!G:G, B21,historical_events_FACT!B:B, "2016",historical_events_FACT!C:C, "7" )</f>
        <v>128.01</v>
      </c>
      <c r="T21" s="3">
        <f>COUNTIFS(historical_events_FACT!G:G, B21,historical_events_FACT!B:B, "2016",historical_events_FACT!C:C, "7" )</f>
        <v>7</v>
      </c>
      <c r="U21" s="3">
        <f t="shared" si="6"/>
        <v>0</v>
      </c>
      <c r="V21" s="3">
        <f>MAXIFS( historical_events_FACT!J:J, historical_events_FACT!G:G, B21,historical_events_FACT!C:C, "7" )</f>
        <v>20</v>
      </c>
      <c r="W21" s="3">
        <f t="array" ref="W21">ROUND(AVERAGEIF({ IFERROR(XLOOKUP(B21, 'Surfer Stats - Event 4'!B:B, 'Surfer Stats - Event 4'!AF:AF), ""), IFERROR(XLOOKUP(B21, 'Surfer Stats - Event 5'!B:B, 'Surfer Stats - Event 5'!AA:AA), ""), IFERROR(XLOOKUP(B21, 'Surfer Stats - Event 6'!B:B, 'Surfer Stats - Event 6'!Y:Y), "") }, "&lt;&gt;"),2)</f>
        <v>23.67</v>
      </c>
      <c r="X21" s="3">
        <f t="array" ref="X21">XLOOKUP(B21, 'Surfer Stats - Event 6'!B:B, 'Surfer Stats - Event 6'!Y:Y)</f>
        <v>16.27</v>
      </c>
      <c r="Y21" s="83">
        <f>8700+500+1750+1750</f>
        <v>12700</v>
      </c>
      <c r="Z21" s="3" t="str">
        <f t="array" ref="Z21">XLOOKUP(B21,'Event 7 Assist'!A:A, 'Event 7 Assist'!E:E)</f>
        <v/>
      </c>
    </row>
    <row r="22">
      <c r="A22" s="78">
        <v>1.0</v>
      </c>
      <c r="B22" s="66" t="s">
        <v>59</v>
      </c>
      <c r="C22" s="3" t="str">
        <f t="array" ref="C22">XLOOKUP(B22, 'Surfer Stats - Event 4'!B:B, 'Surfer Stats - Event 4'!D:D)</f>
        <v>Regular</v>
      </c>
      <c r="D22" s="3">
        <f t="shared" si="1"/>
        <v>15</v>
      </c>
      <c r="E22" s="10">
        <v>0.0</v>
      </c>
      <c r="F22" s="10">
        <v>0.0</v>
      </c>
      <c r="G22" s="10">
        <v>3.0</v>
      </c>
      <c r="H22" s="10">
        <v>99.0</v>
      </c>
      <c r="I22" s="10">
        <v>13.0</v>
      </c>
      <c r="J22" s="3">
        <f>COUNTIFS( historical_events_FACT!J:J, "&gt;16", historical_events_FACT!G:G, B22,historical_events_FACT!C:C, "7" )</f>
        <v>1</v>
      </c>
      <c r="K22" s="3">
        <f t="shared" si="2"/>
        <v>11.11</v>
      </c>
      <c r="L22" s="3">
        <f t="shared" si="12"/>
        <v>10.47</v>
      </c>
      <c r="M22" s="3">
        <f>SUMIFS( '2014Data'!I:I, '2014Data'!F:F, B22,'2014Data'!B:B, "7" )</f>
        <v>73.3</v>
      </c>
      <c r="N22" s="3">
        <f>COUNTIFS('2014Data'!F:F, B22,'2014Data'!B:B, "7" )</f>
        <v>7</v>
      </c>
      <c r="O22" s="3">
        <f t="shared" si="13"/>
        <v>12.6</v>
      </c>
      <c r="P22" s="3">
        <f>SUMIFS( historical_events_FACT!J:J, historical_events_FACT!G:G, B22,historical_events_FACT!B:B, "2015",historical_events_FACT!C:C, "7" )</f>
        <v>37.79</v>
      </c>
      <c r="Q22" s="3">
        <f>COUNTIFS(historical_events_FACT!G:G, B22,historical_events_FACT!B:B, "2015",historical_events_FACT!C:C, "7" )</f>
        <v>3</v>
      </c>
      <c r="R22" s="3">
        <f t="shared" si="9"/>
        <v>11.11</v>
      </c>
      <c r="S22" s="10">
        <v>55.55</v>
      </c>
      <c r="T22" s="10">
        <v>5.0</v>
      </c>
      <c r="U22" s="3">
        <f t="shared" si="6"/>
        <v>1</v>
      </c>
      <c r="V22" s="3">
        <f>MAXIFS( historical_events_FACT!J:J, historical_events_FACT!G:G, B22,historical_events_FACT!C:C, "7" )</f>
        <v>19.87</v>
      </c>
      <c r="W22" s="3">
        <f t="array" ref="W22">ROUND(AVERAGEIF({ IFERROR(XLOOKUP(B22, 'Surfer Stats - Event 4'!B:B, 'Surfer Stats - Event 4'!AF:AF), ""), IFERROR(XLOOKUP(B22, 'Surfer Stats - Event 5'!B:B, 'Surfer Stats - Event 5'!AA:AA), ""), IFERROR(XLOOKUP(B22, 'Surfer Stats - Event 6'!B:B, 'Surfer Stats - Event 6'!Y:Y), "") }, "&lt;&gt;"),2)</f>
        <v>42.71</v>
      </c>
      <c r="X22" s="3">
        <f t="array" ref="X22">XLOOKUP(B22, 'Surfer Stats - Event 6'!B:B, 'Surfer Stats - Event 6'!Y:Y)</f>
        <v>26.41</v>
      </c>
      <c r="Y22" s="75">
        <f>4000+1750+5200+1750</f>
        <v>12700</v>
      </c>
      <c r="Z22" s="3">
        <f t="array" ref="Z22">XLOOKUP(B22,'Event 7 Assist'!A:A, 'Event 7 Assist'!E:E)</f>
        <v>27.36</v>
      </c>
    </row>
    <row r="23">
      <c r="A23" s="78">
        <v>1.0</v>
      </c>
      <c r="B23" s="66" t="s">
        <v>17</v>
      </c>
      <c r="C23" s="3" t="str">
        <f t="array" ref="C23">XLOOKUP(B23, 'Surfer Stats - Event 4'!B:B, 'Surfer Stats - Event 4'!D:D)</f>
        <v>Goofy</v>
      </c>
      <c r="D23" s="3">
        <f t="shared" si="1"/>
        <v>11</v>
      </c>
      <c r="E23" s="10">
        <v>0.0</v>
      </c>
      <c r="F23" s="10">
        <v>0.0</v>
      </c>
      <c r="G23" s="10">
        <v>99.0</v>
      </c>
      <c r="H23" s="10">
        <v>13.0</v>
      </c>
      <c r="I23" s="10">
        <v>5.0</v>
      </c>
      <c r="J23" s="3">
        <f>COUNTIFS( historical_events_FACT!J:J, "&gt;16", historical_events_FACT!G:G, B23,historical_events_FACT!C:C, "7" )</f>
        <v>1</v>
      </c>
      <c r="K23" s="3">
        <f t="shared" si="2"/>
        <v>13.69</v>
      </c>
      <c r="L23" s="10">
        <v>14.08</v>
      </c>
      <c r="M23" s="3">
        <f t="shared" ref="M23:M25" si="14">L23*N23</f>
        <v>56.32</v>
      </c>
      <c r="N23" s="10">
        <v>4.0</v>
      </c>
      <c r="O23" s="3">
        <f t="shared" si="13"/>
        <v>13.66</v>
      </c>
      <c r="P23" s="3">
        <f>SUMIFS( historical_events_FACT!J:J, historical_events_FACT!G:G, B23,historical_events_FACT!B:B, "2015",historical_events_FACT!C:C, "7" )</f>
        <v>68.31</v>
      </c>
      <c r="Q23" s="3">
        <f>COUNTIFS(historical_events_FACT!G:G, B23,historical_events_FACT!B:B, "2015",historical_events_FACT!C:C, "7" )</f>
        <v>5</v>
      </c>
      <c r="R23" s="3">
        <f t="shared" si="9"/>
        <v>12.97</v>
      </c>
      <c r="S23" s="3">
        <f>SUMIFS( historical_events_FACT!J:J, historical_events_FACT!G:G, B23,historical_events_FACT!B:B, "2016",historical_events_FACT!C:C, "7" )</f>
        <v>25.93</v>
      </c>
      <c r="T23" s="3">
        <f>COUNTIFS(historical_events_FACT!G:G, B23,historical_events_FACT!B:B, "2016",historical_events_FACT!C:C, "7" )</f>
        <v>2</v>
      </c>
      <c r="U23" s="3">
        <f t="shared" si="6"/>
        <v>0</v>
      </c>
      <c r="V23" s="3">
        <f>MAXIFS( historical_events_FACT!J:J, historical_events_FACT!G:G, B23,historical_events_FACT!C:C, "7" )</f>
        <v>16.1</v>
      </c>
      <c r="W23" s="3">
        <f t="array" ref="W23">ROUND(AVERAGEIF({ IFERROR(XLOOKUP(B23, 'Surfer Stats - Event 4'!B:B, 'Surfer Stats - Event 4'!AF:AF), ""), IFERROR(XLOOKUP(B23, 'Surfer Stats - Event 5'!B:B, 'Surfer Stats - Event 5'!AA:AA), ""), IFERROR(XLOOKUP(B23, 'Surfer Stats - Event 6'!B:B, 'Surfer Stats - Event 6'!Y:Y), "") }, "&lt;&gt;"),2)</f>
        <v>37.22</v>
      </c>
      <c r="X23" s="3">
        <f t="array" ref="X23">XLOOKUP(B23, 'Surfer Stats - Event 6'!B:B, 'Surfer Stats - Event 6'!Y:Y)</f>
        <v>31.34</v>
      </c>
      <c r="Y23" s="75">
        <f>6200+500+4000+1750</f>
        <v>12450</v>
      </c>
      <c r="Z23" s="3">
        <f t="array" ref="Z23">XLOOKUP(B23,'Event 7 Assist'!A:A, 'Event 7 Assist'!E:E)</f>
        <v>29.04</v>
      </c>
    </row>
    <row r="24">
      <c r="A24" s="78">
        <v>1.0</v>
      </c>
      <c r="B24" s="66" t="s">
        <v>65</v>
      </c>
      <c r="C24" s="3" t="str">
        <f t="array" ref="C24">XLOOKUP(B24, 'Surfer Stats - Event 4'!B:B, 'Surfer Stats - Event 4'!D:D)</f>
        <v>Goofy</v>
      </c>
      <c r="D24" s="3">
        <f t="shared" si="1"/>
        <v>10</v>
      </c>
      <c r="E24" s="10">
        <v>0.0</v>
      </c>
      <c r="F24" s="10">
        <v>0.0</v>
      </c>
      <c r="G24" s="10">
        <v>99.0</v>
      </c>
      <c r="H24" s="10">
        <v>99.0</v>
      </c>
      <c r="I24" s="10">
        <v>99.0</v>
      </c>
      <c r="J24" s="3">
        <f>COUNTIFS( historical_events_FACT!J:J, "&gt;16", historical_events_FACT!G:G, B24,historical_events_FACT!C:C, "7" )</f>
        <v>0</v>
      </c>
      <c r="K24" s="3">
        <f t="shared" si="2"/>
        <v>13.3</v>
      </c>
      <c r="L24" s="10">
        <v>14.08</v>
      </c>
      <c r="M24" s="3">
        <f t="shared" si="14"/>
        <v>56.32</v>
      </c>
      <c r="N24" s="10">
        <v>4.0</v>
      </c>
      <c r="O24" s="10">
        <v>11.95</v>
      </c>
      <c r="P24" s="3">
        <f t="shared" ref="P24:P25" si="15">O24*Q24</f>
        <v>47.8</v>
      </c>
      <c r="Q24" s="10">
        <v>4.0</v>
      </c>
      <c r="R24" s="3">
        <f t="shared" si="9"/>
        <v>14.43</v>
      </c>
      <c r="S24" s="10">
        <v>28.85</v>
      </c>
      <c r="T24" s="10">
        <v>2.0</v>
      </c>
      <c r="U24" s="3">
        <f t="shared" si="6"/>
        <v>1</v>
      </c>
      <c r="V24" s="10">
        <v>15.1</v>
      </c>
      <c r="W24" s="3">
        <f t="array" ref="W24">ROUND(AVERAGEIF({ IFERROR(XLOOKUP(B24, 'Surfer Stats - Event 4'!B:B, 'Surfer Stats - Event 4'!AF:AF), ""), IFERROR(XLOOKUP(B24, 'Surfer Stats - Event 5'!B:B, 'Surfer Stats - Event 5'!AA:AA), ""), IFERROR(XLOOKUP(B24, 'Surfer Stats - Event 6'!B:B, 'Surfer Stats - Event 6'!Y:Y), "") }, "&lt;&gt;"),2)</f>
        <v>57.68</v>
      </c>
      <c r="X24" s="3">
        <f t="array" ref="X24">XLOOKUP(B24, 'Surfer Stats - Event 6'!B:B, 'Surfer Stats - Event 6'!Y:Y)</f>
        <v>68.88</v>
      </c>
      <c r="Y24" s="75">
        <f>2750+500+5200+4000</f>
        <v>12450</v>
      </c>
      <c r="Z24" s="3">
        <f t="array" ref="Z24">XLOOKUP(B24,'Event 7 Assist'!A:A, 'Event 7 Assist'!E:E)</f>
        <v>49.99</v>
      </c>
    </row>
    <row r="25">
      <c r="A25" s="64">
        <v>1.0</v>
      </c>
      <c r="B25" s="66" t="s">
        <v>69</v>
      </c>
      <c r="C25" s="3" t="str">
        <f t="array" ref="C25">XLOOKUP(B25, 'Surfer Stats - Event 4'!B:B, 'Surfer Stats - Event 4'!D:D)</f>
        <v>Regular</v>
      </c>
      <c r="D25" s="3">
        <f t="shared" si="1"/>
        <v>10</v>
      </c>
      <c r="E25" s="10">
        <v>0.0</v>
      </c>
      <c r="F25" s="10">
        <v>0.0</v>
      </c>
      <c r="G25" s="10">
        <v>99.0</v>
      </c>
      <c r="H25" s="10">
        <v>99.0</v>
      </c>
      <c r="I25" s="10">
        <v>99.0</v>
      </c>
      <c r="J25" s="3">
        <f>COUNTIFS( historical_events_FACT!J:J, "&gt;16", historical_events_FACT!G:G, B25,historical_events_FACT!C:C, "7" )</f>
        <v>0</v>
      </c>
      <c r="K25" s="3">
        <f t="shared" si="2"/>
        <v>12.08</v>
      </c>
      <c r="L25" s="10">
        <v>14.08</v>
      </c>
      <c r="M25" s="3">
        <f t="shared" si="14"/>
        <v>56.32</v>
      </c>
      <c r="N25" s="10">
        <v>4.0</v>
      </c>
      <c r="O25" s="10">
        <v>11.95</v>
      </c>
      <c r="P25" s="3">
        <f t="shared" si="15"/>
        <v>47.8</v>
      </c>
      <c r="Q25" s="10">
        <v>4.0</v>
      </c>
      <c r="R25" s="10">
        <v>8.35</v>
      </c>
      <c r="S25" s="3">
        <f>R25*T25</f>
        <v>16.7</v>
      </c>
      <c r="T25" s="10">
        <v>2.0</v>
      </c>
      <c r="U25" s="3">
        <f t="shared" si="6"/>
        <v>1</v>
      </c>
      <c r="V25" s="10">
        <v>12.92</v>
      </c>
      <c r="W25" s="3">
        <f t="array" ref="W25">ROUND(AVERAGEIF({ IFERROR(XLOOKUP(B25, 'Surfer Stats - Event 4'!B:B, 'Surfer Stats - Event 4'!AF:AF), ""), IFERROR(XLOOKUP(B25, 'Surfer Stats - Event 5'!B:B, 'Surfer Stats - Event 5'!AA:AA), ""), IFERROR(XLOOKUP(B25, 'Surfer Stats - Event 6'!B:B, 'Surfer Stats - Event 6'!Y:Y), "") }, "&lt;&gt;"),2)</f>
        <v>26.81</v>
      </c>
      <c r="X25" s="3">
        <f t="array" ref="X25">XLOOKUP(B25, 'Surfer Stats - Event 6'!B:B, 'Surfer Stats - Event 6'!Y:Y)</f>
        <v>37.3</v>
      </c>
      <c r="Y25" s="75">
        <f>8750+500+500+1750</f>
        <v>11500</v>
      </c>
      <c r="Z25" s="3">
        <f t="array" ref="Z25">XLOOKUP(B25,'Event 7 Assist'!A:A, 'Event 7 Assist'!E:E)</f>
        <v>18.96</v>
      </c>
    </row>
    <row r="26">
      <c r="A26" s="78">
        <v>1.0</v>
      </c>
      <c r="B26" s="66" t="s">
        <v>54</v>
      </c>
      <c r="C26" s="3" t="str">
        <f t="array" ref="C26">XLOOKUP(B26, 'Surfer Stats - Event 4'!B:B, 'Surfer Stats - Event 4'!D:D)</f>
        <v>Goofy</v>
      </c>
      <c r="D26" s="3">
        <f t="shared" si="1"/>
        <v>10</v>
      </c>
      <c r="E26" s="10">
        <v>0.0</v>
      </c>
      <c r="F26" s="10">
        <v>0.0</v>
      </c>
      <c r="G26" s="10">
        <v>99.0</v>
      </c>
      <c r="H26" s="10">
        <v>25.0</v>
      </c>
      <c r="I26" s="10">
        <v>9.0</v>
      </c>
      <c r="J26" s="3">
        <f>COUNTIFS( historical_events_FACT!J:J, "&gt;16", historical_events_FACT!G:G, B26,historical_events_FACT!C:C, "7" )</f>
        <v>1</v>
      </c>
      <c r="K26" s="3">
        <f t="shared" si="2"/>
        <v>11.72</v>
      </c>
      <c r="L26" s="3">
        <f>IF(M26=0,0,ROUND(M26/N26,2))</f>
        <v>13.02</v>
      </c>
      <c r="M26" s="10">
        <v>39.05</v>
      </c>
      <c r="N26" s="10">
        <v>3.0</v>
      </c>
      <c r="O26" s="3">
        <f>IF(P26=0,0,ROUND(P26/Q26,2))</f>
        <v>11.93</v>
      </c>
      <c r="P26" s="3">
        <f>SUMIFS( historical_events_FACT!J:J, historical_events_FACT!G:G, B26,historical_events_FACT!B:B, "2015",historical_events_FACT!C:C, "7" )</f>
        <v>59.63</v>
      </c>
      <c r="Q26" s="3">
        <f>COUNTIFS(historical_events_FACT!G:G, B26,historical_events_FACT!B:B, "2015",historical_events_FACT!C:C, "7" )</f>
        <v>5</v>
      </c>
      <c r="R26" s="3">
        <f>IF(T26=0,0,ROUND(S26/T26,2))</f>
        <v>9.24</v>
      </c>
      <c r="S26" s="3">
        <f>SUMIFS( historical_events_FACT!J:J, historical_events_FACT!G:G, B26,historical_events_FACT!B:B, "2016",historical_events_FACT!C:C, "7" )</f>
        <v>18.47</v>
      </c>
      <c r="T26" s="3">
        <f>COUNTIFS(historical_events_FACT!G:G, B26,historical_events_FACT!B:B, "2016",historical_events_FACT!C:C, "7" )</f>
        <v>2</v>
      </c>
      <c r="U26" s="3">
        <f t="shared" si="6"/>
        <v>0</v>
      </c>
      <c r="V26" s="3">
        <f>MAXIFS( historical_events_FACT!J:J, historical_events_FACT!G:G, B26,historical_events_FACT!C:C, "7" )</f>
        <v>16.83</v>
      </c>
      <c r="W26" s="3">
        <f t="array" ref="W26">ROUND(AVERAGEIF({ IFERROR(XLOOKUP(B26, 'Surfer Stats - Event 4'!B:B, 'Surfer Stats - Event 4'!AF:AF), ""), IFERROR(XLOOKUP(B26, 'Surfer Stats - Event 5'!B:B, 'Surfer Stats - Event 5'!AA:AA), ""), IFERROR(XLOOKUP(B26, 'Surfer Stats - Event 6'!B:B, 'Surfer Stats - Event 6'!Y:Y), "") }, "&lt;&gt;"),2)</f>
        <v>45.57</v>
      </c>
      <c r="X26" s="3">
        <f t="array" ref="X26">XLOOKUP(B26, 'Surfer Stats - Event 6'!B:B, 'Surfer Stats - Event 6'!Y:Y)</f>
        <v>29.97</v>
      </c>
      <c r="Y26" s="75">
        <f>5000+4000+1750+500</f>
        <v>11250</v>
      </c>
      <c r="Z26" s="3">
        <f t="array" ref="Z26">XLOOKUP(B26,'Event 7 Assist'!A:A, 'Event 7 Assist'!E:E)</f>
        <v>69.57</v>
      </c>
    </row>
    <row r="27">
      <c r="A27" s="64">
        <v>1.0</v>
      </c>
      <c r="B27" s="66" t="s">
        <v>67</v>
      </c>
      <c r="C27" s="3" t="str">
        <f t="array" ref="C27">XLOOKUP(B27, 'Surfer Stats - Event 4'!B:B, 'Surfer Stats - Event 4'!D:D)</f>
        <v>Goofy</v>
      </c>
      <c r="D27" s="3">
        <f t="shared" si="1"/>
        <v>10</v>
      </c>
      <c r="E27" s="10">
        <v>0.0</v>
      </c>
      <c r="F27" s="10">
        <v>0.0</v>
      </c>
      <c r="G27" s="10">
        <v>99.0</v>
      </c>
      <c r="H27" s="10">
        <v>99.0</v>
      </c>
      <c r="I27" s="10">
        <v>99.0</v>
      </c>
      <c r="J27" s="3">
        <f>COUNTIFS( historical_events_FACT!J:J, "&gt;16", historical_events_FACT!G:G, B27,historical_events_FACT!C:C, "7" )</f>
        <v>0</v>
      </c>
      <c r="K27" s="3">
        <f t="shared" si="2"/>
        <v>12.08</v>
      </c>
      <c r="L27" s="10">
        <v>14.08</v>
      </c>
      <c r="M27" s="3">
        <f t="shared" ref="M27:M32" si="16">L27*N27</f>
        <v>56.32</v>
      </c>
      <c r="N27" s="10">
        <v>4.0</v>
      </c>
      <c r="O27" s="10">
        <v>11.95</v>
      </c>
      <c r="P27" s="3">
        <f t="shared" ref="P27:P32" si="17">O27*Q27</f>
        <v>47.8</v>
      </c>
      <c r="Q27" s="10">
        <v>4.0</v>
      </c>
      <c r="R27" s="10">
        <v>8.35</v>
      </c>
      <c r="S27" s="3">
        <f>R27*T27</f>
        <v>16.7</v>
      </c>
      <c r="T27" s="10">
        <v>2.0</v>
      </c>
      <c r="U27" s="3">
        <f t="shared" si="6"/>
        <v>1</v>
      </c>
      <c r="V27" s="10">
        <v>12.92</v>
      </c>
      <c r="W27" s="3">
        <f t="array" ref="W27">ROUND(AVERAGEIF({ IFERROR(XLOOKUP(B27, 'Surfer Stats - Event 4'!B:B, 'Surfer Stats - Event 4'!AF:AF), ""), IFERROR(XLOOKUP(B27, 'Surfer Stats - Event 5'!B:B, 'Surfer Stats - Event 5'!AA:AA), ""), IFERROR(XLOOKUP(B27, 'Surfer Stats - Event 6'!B:B, 'Surfer Stats - Event 6'!Y:Y), "") }, "&lt;&gt;"),2)</f>
        <v>38.49</v>
      </c>
      <c r="X27" s="3">
        <f t="array" ref="X27">XLOOKUP(B27, 'Surfer Stats - Event 6'!B:B, 'Surfer Stats - Event 6'!Y:Y)</f>
        <v>27.07</v>
      </c>
      <c r="Y27" s="75">
        <f>4000+1750+4000+500</f>
        <v>10250</v>
      </c>
      <c r="Z27" s="3">
        <f t="array" ref="Z27">XLOOKUP(B27,'Event 7 Assist'!A:A, 'Event 7 Assist'!E:E)</f>
        <v>25.6</v>
      </c>
    </row>
    <row r="28">
      <c r="A28" s="51">
        <v>1.0</v>
      </c>
      <c r="B28" s="66" t="s">
        <v>68</v>
      </c>
      <c r="C28" s="3" t="str">
        <f t="array" ref="C28">XLOOKUP(B28, 'Surfer Stats - Event 4'!B:B, 'Surfer Stats - Event 4'!D:D)</f>
        <v>Regular</v>
      </c>
      <c r="D28" s="3">
        <f t="shared" si="1"/>
        <v>10</v>
      </c>
      <c r="E28" s="10">
        <v>0.0</v>
      </c>
      <c r="F28" s="10">
        <v>0.0</v>
      </c>
      <c r="G28" s="10">
        <v>99.0</v>
      </c>
      <c r="H28" s="10">
        <v>25.0</v>
      </c>
      <c r="I28" s="10">
        <v>99.0</v>
      </c>
      <c r="J28" s="3">
        <f>COUNTIFS( historical_events_FACT!J:J, "&gt;16", historical_events_FACT!G:G, B28,historical_events_FACT!C:C, "7" )</f>
        <v>0</v>
      </c>
      <c r="K28" s="3">
        <f t="shared" si="2"/>
        <v>11.9</v>
      </c>
      <c r="L28" s="10">
        <v>14.08</v>
      </c>
      <c r="M28" s="3">
        <f t="shared" si="16"/>
        <v>56.32</v>
      </c>
      <c r="N28" s="10">
        <v>4.0</v>
      </c>
      <c r="O28" s="10">
        <v>11.95</v>
      </c>
      <c r="P28" s="3">
        <f t="shared" si="17"/>
        <v>47.8</v>
      </c>
      <c r="Q28" s="10">
        <v>4.0</v>
      </c>
      <c r="R28" s="3">
        <f>IF(T28=0,0,ROUND(S28/T28,2))</f>
        <v>7.42</v>
      </c>
      <c r="S28" s="3">
        <f>SUMIFS( historical_events_FACT!J:J, historical_events_FACT!G:G, B28,historical_events_FACT!B:B, "2016",historical_events_FACT!C:C, "7" )</f>
        <v>14.83</v>
      </c>
      <c r="T28" s="3">
        <f>COUNTIFS(historical_events_FACT!G:G, B28,historical_events_FACT!B:B, "2016",historical_events_FACT!C:C, "7" )</f>
        <v>2</v>
      </c>
      <c r="U28" s="3">
        <f t="shared" si="6"/>
        <v>0</v>
      </c>
      <c r="V28" s="3">
        <f>MAXIFS( historical_events_FACT!J:J, historical_events_FACT!G:G, B28,historical_events_FACT!C:C, "7" )</f>
        <v>12.8</v>
      </c>
      <c r="W28" s="3">
        <f t="array" ref="W28">ROUND(AVERAGEIF({ IFERROR(XLOOKUP(B28, 'Surfer Stats - Event 4'!B:B, 'Surfer Stats - Event 4'!AF:AF), ""), IFERROR(XLOOKUP(B28, 'Surfer Stats - Event 5'!B:B, 'Surfer Stats - Event 5'!AA:AA), ""), IFERROR(XLOOKUP(B28, 'Surfer Stats - Event 6'!B:B, 'Surfer Stats - Event 6'!Y:Y), "") }, "&lt;&gt;"),2)</f>
        <v>21.83</v>
      </c>
      <c r="X28" s="3">
        <f t="array" ref="X28">XLOOKUP(B28, 'Surfer Stats - Event 6'!B:B, 'Surfer Stats - Event 6'!Y:Y)</f>
        <v>29.47</v>
      </c>
      <c r="Y28" s="75">
        <f>7500+500+500+1750</f>
        <v>10250</v>
      </c>
      <c r="Z28" s="3">
        <f t="array" ref="Z28">XLOOKUP(B28,'Event 7 Assist'!A:A, 'Event 7 Assist'!E:E)</f>
        <v>18.94</v>
      </c>
    </row>
    <row r="29">
      <c r="A29" s="78">
        <v>1.0</v>
      </c>
      <c r="B29" s="51" t="s">
        <v>66</v>
      </c>
      <c r="C29" s="3" t="str">
        <f t="array" ref="C29">XLOOKUP(B29, 'Surfer Stats - Event 4'!B:B, 'Surfer Stats - Event 4'!D:D)</f>
        <v>Regular</v>
      </c>
      <c r="D29" s="3">
        <f t="shared" si="1"/>
        <v>10</v>
      </c>
      <c r="E29" s="10">
        <v>0.0</v>
      </c>
      <c r="F29" s="10">
        <v>0.0</v>
      </c>
      <c r="G29" s="10">
        <v>99.0</v>
      </c>
      <c r="H29" s="10">
        <v>99.0</v>
      </c>
      <c r="I29" s="10">
        <v>99.0</v>
      </c>
      <c r="J29" s="3">
        <f>COUNTIFS( historical_events_FACT!J:J, "&gt;16", historical_events_FACT!G:G, B29,historical_events_FACT!C:C, "7" )</f>
        <v>0</v>
      </c>
      <c r="K29" s="3">
        <f t="shared" si="2"/>
        <v>12.08</v>
      </c>
      <c r="L29" s="10">
        <v>14.08</v>
      </c>
      <c r="M29" s="3">
        <f t="shared" si="16"/>
        <v>56.32</v>
      </c>
      <c r="N29" s="10">
        <v>4.0</v>
      </c>
      <c r="O29" s="10">
        <v>11.95</v>
      </c>
      <c r="P29" s="3">
        <f t="shared" si="17"/>
        <v>47.8</v>
      </c>
      <c r="Q29" s="10">
        <v>4.0</v>
      </c>
      <c r="R29" s="10">
        <v>8.35</v>
      </c>
      <c r="S29" s="3">
        <f>R29*T29</f>
        <v>16.7</v>
      </c>
      <c r="T29" s="10">
        <v>2.0</v>
      </c>
      <c r="U29" s="3">
        <f t="shared" si="6"/>
        <v>1</v>
      </c>
      <c r="V29" s="10">
        <v>12.92</v>
      </c>
      <c r="W29" s="3">
        <f t="array" ref="W29">ROUND(AVERAGEIF({ IFERROR(XLOOKUP(B29, 'Surfer Stats - Event 4'!B:B, 'Surfer Stats - Event 4'!AF:AF), ""), IFERROR(XLOOKUP(B29, 'Surfer Stats - Event 5'!B:B, 'Surfer Stats - Event 5'!AA:AA), ""), IFERROR(XLOOKUP(B29, 'Surfer Stats - Event 6'!B:B, 'Surfer Stats - Event 6'!Y:Y), "") }, "&lt;&gt;"),2)</f>
        <v>21.52</v>
      </c>
      <c r="X29" s="3">
        <f t="array" ref="X29">XLOOKUP(B29, 'Surfer Stats - Event 6'!B:B, 'Surfer Stats - Event 6'!Y:Y)</f>
        <v>44.04</v>
      </c>
      <c r="Y29" s="75">
        <f>1500+500+5200+1750</f>
        <v>8950</v>
      </c>
      <c r="Z29" s="3">
        <f t="array" ref="Z29">XLOOKUP(B29,'Event 7 Assist'!A:A, 'Event 7 Assist'!E:E)</f>
        <v>28.54</v>
      </c>
    </row>
    <row r="30">
      <c r="A30" s="78">
        <v>1.0</v>
      </c>
      <c r="B30" s="66" t="s">
        <v>53</v>
      </c>
      <c r="C30" s="3" t="str">
        <f t="array" ref="C30">XLOOKUP(B30, 'Surfer Stats - Event 4'!B:B, 'Surfer Stats - Event 4'!D:D)</f>
        <v>Regular</v>
      </c>
      <c r="D30" s="3">
        <f t="shared" si="1"/>
        <v>11</v>
      </c>
      <c r="E30" s="10">
        <v>0.0</v>
      </c>
      <c r="F30" s="10">
        <v>0.0</v>
      </c>
      <c r="G30" s="10">
        <v>99.0</v>
      </c>
      <c r="H30" s="10">
        <v>13.0</v>
      </c>
      <c r="I30" s="10">
        <v>99.0</v>
      </c>
      <c r="J30" s="3">
        <f>COUNTIFS( historical_events_FACT!J:J, "&gt;16", historical_events_FACT!G:G, B30,historical_events_FACT!C:C, "7" )</f>
        <v>0</v>
      </c>
      <c r="K30" s="3">
        <f t="shared" si="2"/>
        <v>11.73</v>
      </c>
      <c r="L30" s="10">
        <v>14.08</v>
      </c>
      <c r="M30" s="3">
        <f t="shared" si="16"/>
        <v>56.32</v>
      </c>
      <c r="N30" s="10">
        <v>4.0</v>
      </c>
      <c r="O30" s="10">
        <v>11.95</v>
      </c>
      <c r="P30" s="3">
        <f t="shared" si="17"/>
        <v>47.8</v>
      </c>
      <c r="Q30" s="10">
        <v>4.0</v>
      </c>
      <c r="R30" s="3">
        <f t="shared" ref="R30:R31" si="18">IF(T30=0,0,ROUND(S30/T30,2))</f>
        <v>8.29</v>
      </c>
      <c r="S30" s="3">
        <f>SUMIFS( historical_events_FACT!J:J, historical_events_FACT!G:G, B30,historical_events_FACT!B:B, "2016",historical_events_FACT!C:C, "7" )</f>
        <v>24.88</v>
      </c>
      <c r="T30" s="3">
        <f>COUNTIFS(historical_events_FACT!G:G, B30,historical_events_FACT!B:B, "2016",historical_events_FACT!C:C, "7" )</f>
        <v>3</v>
      </c>
      <c r="U30" s="3">
        <f t="shared" si="6"/>
        <v>0</v>
      </c>
      <c r="V30" s="3">
        <f>MAXIFS( historical_events_FACT!J:J, historical_events_FACT!G:G, B30,historical_events_FACT!C:C, "7" )</f>
        <v>14.34</v>
      </c>
      <c r="W30" s="3">
        <f t="array" ref="W30">ROUND(AVERAGEIF({ IFERROR(XLOOKUP(B30, 'Surfer Stats - Event 4'!B:B, 'Surfer Stats - Event 4'!AF:AF), ""), IFERROR(XLOOKUP(B30, 'Surfer Stats - Event 5'!B:B, 'Surfer Stats - Event 5'!AA:AA), ""), IFERROR(XLOOKUP(B30, 'Surfer Stats - Event 6'!B:B, 'Surfer Stats - Event 6'!Y:Y), "") }, "&lt;&gt;"),2)</f>
        <v>29.43</v>
      </c>
      <c r="X30" s="3">
        <f t="array" ref="X30">XLOOKUP(B30, 'Surfer Stats - Event 6'!B:B, 'Surfer Stats - Event 6'!Y:Y)</f>
        <v>21.6</v>
      </c>
      <c r="Y30" s="75">
        <f>2750+4000+500+500</f>
        <v>7750</v>
      </c>
      <c r="Z30" s="3">
        <f t="array" ref="Z30">XLOOKUP(B30,'Event 7 Assist'!A:A, 'Event 7 Assist'!E:E)</f>
        <v>23.02</v>
      </c>
    </row>
    <row r="31">
      <c r="A31" s="78">
        <v>1.0</v>
      </c>
      <c r="B31" s="66" t="s">
        <v>36</v>
      </c>
      <c r="C31" s="3" t="str">
        <f t="array" ref="C31">XLOOKUP(B31, 'Surfer Stats - Event 4'!B:B, 'Surfer Stats - Event 4'!D:D)</f>
        <v>Regular</v>
      </c>
      <c r="D31" s="3">
        <f t="shared" si="1"/>
        <v>10</v>
      </c>
      <c r="E31" s="10">
        <v>0.0</v>
      </c>
      <c r="F31" s="10">
        <v>0.0</v>
      </c>
      <c r="G31" s="10">
        <v>99.0</v>
      </c>
      <c r="H31" s="10">
        <v>25.0</v>
      </c>
      <c r="I31" s="10">
        <v>99.0</v>
      </c>
      <c r="J31" s="3">
        <f>COUNTIFS( historical_events_FACT!J:J, "&gt;16", historical_events_FACT!G:G, B31,historical_events_FACT!C:C, "7" )</f>
        <v>0</v>
      </c>
      <c r="K31" s="3">
        <f t="shared" si="2"/>
        <v>12.25</v>
      </c>
      <c r="L31" s="10">
        <v>14.08</v>
      </c>
      <c r="M31" s="3">
        <f t="shared" si="16"/>
        <v>56.32</v>
      </c>
      <c r="N31" s="10">
        <v>4.0</v>
      </c>
      <c r="O31" s="10">
        <v>11.95</v>
      </c>
      <c r="P31" s="3">
        <f t="shared" si="17"/>
        <v>47.8</v>
      </c>
      <c r="Q31" s="10">
        <v>4.0</v>
      </c>
      <c r="R31" s="3">
        <f t="shared" si="18"/>
        <v>9.19</v>
      </c>
      <c r="S31" s="3">
        <f>SUMIFS( historical_events_FACT!J:J, historical_events_FACT!G:G, B31,historical_events_FACT!B:B, "2016",historical_events_FACT!C:C, "7" )</f>
        <v>18.37</v>
      </c>
      <c r="T31" s="3">
        <f>COUNTIFS(historical_events_FACT!G:G, B31,historical_events_FACT!B:B, "2016",historical_events_FACT!C:C, "7" )</f>
        <v>2</v>
      </c>
      <c r="U31" s="3">
        <f t="shared" si="6"/>
        <v>0</v>
      </c>
      <c r="V31" s="3">
        <f>MAXIFS( historical_events_FACT!J:J, historical_events_FACT!G:G, B31,historical_events_FACT!C:C, "7" )</f>
        <v>11</v>
      </c>
      <c r="W31" s="3">
        <f t="array" ref="W31">ROUND(AVERAGEIF({ IFERROR(XLOOKUP(B31, 'Surfer Stats - Event 4'!B:B, 'Surfer Stats - Event 4'!AF:AF), ""), IFERROR(XLOOKUP(B31, 'Surfer Stats - Event 5'!B:B, 'Surfer Stats - Event 5'!AA:AA), ""), IFERROR(XLOOKUP(B31, 'Surfer Stats - Event 6'!B:B, 'Surfer Stats - Event 6'!Y:Y), "") }, "&lt;&gt;"),2)</f>
        <v>36.65</v>
      </c>
      <c r="X31" s="3">
        <f t="array" ref="X31">XLOOKUP(B31, 'Surfer Stats - Event 6'!B:B, 'Surfer Stats - Event 6'!Y:Y)</f>
        <v>29.57</v>
      </c>
      <c r="Y31" s="75">
        <f>2750+500+4000+500</f>
        <v>7750</v>
      </c>
      <c r="Z31" s="3">
        <f t="array" ref="Z31">XLOOKUP(B31,'Event 7 Assist'!A:A, 'Event 7 Assist'!E:E)</f>
        <v>15.7</v>
      </c>
    </row>
    <row r="32">
      <c r="A32" s="64">
        <v>0.0</v>
      </c>
      <c r="B32" s="82" t="s">
        <v>169</v>
      </c>
      <c r="C32" s="3" t="str">
        <f t="array" ref="C32">XLOOKUP(B32, 'Surfer Stats - Event 4'!B:B, 'Surfer Stats - Event 4'!D:D)</f>
        <v>Goofy</v>
      </c>
      <c r="D32" s="3">
        <f t="shared" si="1"/>
        <v>10</v>
      </c>
      <c r="E32" s="10">
        <v>0.0</v>
      </c>
      <c r="F32" s="10">
        <v>0.0</v>
      </c>
      <c r="G32" s="10">
        <v>99.0</v>
      </c>
      <c r="H32" s="10">
        <v>99.0</v>
      </c>
      <c r="I32" s="10">
        <v>99.0</v>
      </c>
      <c r="J32" s="3">
        <f>COUNTIFS( historical_events_FACT!J:J, "&gt;16", historical_events_FACT!G:G, B32,historical_events_FACT!C:C, "7" )</f>
        <v>0</v>
      </c>
      <c r="K32" s="3">
        <f t="shared" si="2"/>
        <v>12.08</v>
      </c>
      <c r="L32" s="10">
        <v>14.08</v>
      </c>
      <c r="M32" s="3">
        <f t="shared" si="16"/>
        <v>56.32</v>
      </c>
      <c r="N32" s="10">
        <v>4.0</v>
      </c>
      <c r="O32" s="10">
        <v>11.95</v>
      </c>
      <c r="P32" s="3">
        <f t="shared" si="17"/>
        <v>47.8</v>
      </c>
      <c r="Q32" s="10">
        <v>4.0</v>
      </c>
      <c r="R32" s="10">
        <v>8.35</v>
      </c>
      <c r="S32" s="3">
        <f>R32*T32</f>
        <v>16.7</v>
      </c>
      <c r="T32" s="10">
        <v>2.0</v>
      </c>
      <c r="U32" s="3">
        <f t="shared" si="6"/>
        <v>1</v>
      </c>
      <c r="V32" s="10">
        <v>12.92</v>
      </c>
      <c r="W32" s="3">
        <f t="array" ref="W32">ROUND(AVERAGEIF({ IFERROR(XLOOKUP(B32, 'Surfer Stats - Event 4'!B:B, 'Surfer Stats - Event 4'!AF:AF), ""), IFERROR(XLOOKUP(B32, 'Surfer Stats - Event 5'!B:B, 'Surfer Stats - Event 5'!AA:AA), ""), IFERROR(XLOOKUP(B32, 'Surfer Stats - Event 6'!B:B, 'Surfer Stats - Event 6'!Y:Y), "") }, "&lt;&gt;"),2)</f>
        <v>59.69</v>
      </c>
      <c r="X32" s="3" t="str">
        <f t="array" ref="X32">XLOOKUP(B32, 'Surfer Stats - Event 6'!B:B, 'Surfer Stats - Event 6'!Y:Y)</f>
        <v/>
      </c>
      <c r="Y32" s="91">
        <f>6500+500</f>
        <v>7000</v>
      </c>
      <c r="Z32" s="3" t="str">
        <f t="array" ref="Z32">XLOOKUP(B32,'Event 7 Assist'!A:A, 'Event 7 Assist'!E:E)</f>
        <v/>
      </c>
    </row>
    <row r="33">
      <c r="A33" s="78">
        <v>1.0</v>
      </c>
      <c r="B33" s="66" t="s">
        <v>55</v>
      </c>
      <c r="C33" s="3" t="str">
        <f t="array" ref="C33">XLOOKUP(B33, 'Surfer Stats - Event 4'!B:B, 'Surfer Stats - Event 4'!D:D)</f>
        <v>Goofy</v>
      </c>
      <c r="D33" s="3">
        <f t="shared" si="1"/>
        <v>6</v>
      </c>
      <c r="E33" s="10">
        <v>0.0</v>
      </c>
      <c r="F33" s="10">
        <v>0.0</v>
      </c>
      <c r="G33" s="10">
        <v>25.0</v>
      </c>
      <c r="H33" s="10">
        <v>25.0</v>
      </c>
      <c r="I33" s="10">
        <v>25.0</v>
      </c>
      <c r="J33" s="3">
        <f>COUNTIFS( historical_events_FACT!J:J, "&gt;16", historical_events_FACT!G:G, B33,historical_events_FACT!C:C, "7" )</f>
        <v>0</v>
      </c>
      <c r="K33" s="3">
        <f t="shared" si="2"/>
        <v>9.45</v>
      </c>
      <c r="L33" s="3">
        <f t="shared" ref="L33:L36" si="19">IF(M33=0,0,ROUND(M33/N33,2))</f>
        <v>10.94</v>
      </c>
      <c r="M33" s="3">
        <f>SUMIFS( '2014Data'!I:I, '2014Data'!F:F, B33,'2014Data'!B:B, "7" )</f>
        <v>21.87</v>
      </c>
      <c r="N33" s="3">
        <f>COUNTIFS('2014Data'!F:F, B33,'2014Data'!B:B, "7" )</f>
        <v>2</v>
      </c>
      <c r="O33" s="3">
        <f t="shared" ref="O33:O36" si="20">IF(P33=0,0,ROUND(P33/Q33,2))</f>
        <v>8.91</v>
      </c>
      <c r="P33" s="3">
        <f>SUMIFS( historical_events_FACT!J:J, historical_events_FACT!G:G, B33,historical_events_FACT!B:B, "2015",historical_events_FACT!C:C, "7" )</f>
        <v>17.81</v>
      </c>
      <c r="Q33" s="3">
        <f>COUNTIFS(historical_events_FACT!G:G, B33,historical_events_FACT!B:B, "2015",historical_events_FACT!C:C, "7" )</f>
        <v>2</v>
      </c>
      <c r="R33" s="3">
        <f t="shared" ref="R33:R46" si="21">IF(T33=0,0,ROUND(S33/T33,2))</f>
        <v>8.5</v>
      </c>
      <c r="S33" s="3">
        <f>SUMIFS( historical_events_FACT!J:J, historical_events_FACT!G:G, B33,historical_events_FACT!B:B, "2016",historical_events_FACT!C:C, "7" )</f>
        <v>16.99</v>
      </c>
      <c r="T33" s="3">
        <f>COUNTIFS(historical_events_FACT!G:G, B33,historical_events_FACT!B:B, "2016",historical_events_FACT!C:C, "7" )</f>
        <v>2</v>
      </c>
      <c r="U33" s="3">
        <f t="shared" si="6"/>
        <v>0</v>
      </c>
      <c r="V33" s="3">
        <f>MAXIFS( historical_events_FACT!J:J, historical_events_FACT!G:G, B33,historical_events_FACT!C:C, "7" )</f>
        <v>13.27</v>
      </c>
      <c r="W33" s="3">
        <f t="array" ref="W33">ROUND(AVERAGEIF({ IFERROR(XLOOKUP(B33, 'Surfer Stats - Event 4'!B:B, 'Surfer Stats - Event 4'!AF:AF), ""), IFERROR(XLOOKUP(B33, 'Surfer Stats - Event 5'!B:B, 'Surfer Stats - Event 5'!AA:AA), ""), IFERROR(XLOOKUP(B33, 'Surfer Stats - Event 6'!B:B, 'Surfer Stats - Event 6'!Y:Y), "") }, "&lt;&gt;"),2)</f>
        <v>28.22</v>
      </c>
      <c r="X33" s="3">
        <f t="array" ref="X33">XLOOKUP(B33, 'Surfer Stats - Event 6'!B:B, 'Surfer Stats - Event 6'!Y:Y)</f>
        <v>23.43</v>
      </c>
      <c r="Y33" s="75">
        <f>500+4000+1750+500</f>
        <v>6750</v>
      </c>
      <c r="Z33" s="3">
        <f t="array" ref="Z33">XLOOKUP(B33,'Event 7 Assist'!A:A, 'Event 7 Assist'!E:E)</f>
        <v>7.94</v>
      </c>
    </row>
    <row r="34">
      <c r="A34" s="78">
        <v>1.0</v>
      </c>
      <c r="B34" s="66" t="s">
        <v>35</v>
      </c>
      <c r="C34" s="3" t="str">
        <f t="array" ref="C34">XLOOKUP(B34, 'Surfer Stats - Event 4'!B:B, 'Surfer Stats - Event 4'!D:D)</f>
        <v>Goofy</v>
      </c>
      <c r="D34" s="3">
        <f t="shared" si="1"/>
        <v>10</v>
      </c>
      <c r="E34" s="10">
        <v>0.0</v>
      </c>
      <c r="F34" s="10">
        <v>0.0</v>
      </c>
      <c r="G34" s="10">
        <v>13.0</v>
      </c>
      <c r="H34" s="10">
        <v>9.0</v>
      </c>
      <c r="I34" s="10">
        <v>13.0</v>
      </c>
      <c r="J34" s="3">
        <f>COUNTIFS( historical_events_FACT!J:J, "&gt;16", historical_events_FACT!G:G, B34,historical_events_FACT!C:C, "7" )</f>
        <v>2</v>
      </c>
      <c r="K34" s="3">
        <f t="shared" si="2"/>
        <v>11.56</v>
      </c>
      <c r="L34" s="3">
        <f t="shared" si="19"/>
        <v>11.54</v>
      </c>
      <c r="M34" s="3">
        <f>SUMIFS( '2014Data'!I:I, '2014Data'!F:F, B34,'2014Data'!B:B, "7" )</f>
        <v>23.07</v>
      </c>
      <c r="N34" s="3">
        <f>COUNTIFS('2014Data'!F:F, B34,'2014Data'!B:B, "7" )</f>
        <v>2</v>
      </c>
      <c r="O34" s="3">
        <f t="shared" si="20"/>
        <v>11.72</v>
      </c>
      <c r="P34" s="3">
        <f>SUMIFS( historical_events_FACT!J:J, historical_events_FACT!G:G, B34,historical_events_FACT!B:B, "2015",historical_events_FACT!C:C, "7" )</f>
        <v>35.16</v>
      </c>
      <c r="Q34" s="3">
        <f>COUNTIFS(historical_events_FACT!G:G, B34,historical_events_FACT!B:B, "2015",historical_events_FACT!C:C, "7" )</f>
        <v>3</v>
      </c>
      <c r="R34" s="3">
        <f t="shared" si="21"/>
        <v>11.47</v>
      </c>
      <c r="S34" s="3">
        <f>SUMIFS( historical_events_FACT!J:J, historical_events_FACT!G:G, B34,historical_events_FACT!B:B, "2016",historical_events_FACT!C:C, "7" )</f>
        <v>57.33</v>
      </c>
      <c r="T34" s="3">
        <f>COUNTIFS(historical_events_FACT!G:G, B34,historical_events_FACT!B:B, "2016",historical_events_FACT!C:C, "7" )</f>
        <v>5</v>
      </c>
      <c r="U34" s="3">
        <f t="shared" si="6"/>
        <v>0</v>
      </c>
      <c r="V34" s="3">
        <f>MAXIFS( historical_events_FACT!J:J, historical_events_FACT!G:G, B34,historical_events_FACT!C:C, "7" )</f>
        <v>17.1</v>
      </c>
      <c r="W34" s="3">
        <f t="array" ref="W34">ROUND(AVERAGEIF({ IFERROR(XLOOKUP(B34, 'Surfer Stats - Event 4'!B:B, 'Surfer Stats - Event 4'!AF:AF), ""), IFERROR(XLOOKUP(B34, 'Surfer Stats - Event 5'!B:B, 'Surfer Stats - Event 5'!AA:AA), ""), IFERROR(XLOOKUP(B34, 'Surfer Stats - Event 6'!B:B, 'Surfer Stats - Event 6'!Y:Y), "") }, "&lt;&gt;"),2)</f>
        <v>31.78</v>
      </c>
      <c r="X34" s="3">
        <f t="array" ref="X34">XLOOKUP(B34, 'Surfer Stats - Event 6'!B:B, 'Surfer Stats - Event 6'!Y:Y)</f>
        <v>38.31</v>
      </c>
      <c r="Y34" s="75">
        <f>2750+1750+500+1750</f>
        <v>6750</v>
      </c>
      <c r="Z34" s="3">
        <f t="array" ref="Z34">XLOOKUP(B34,'Event 7 Assist'!A:A, 'Event 7 Assist'!E:E)</f>
        <v>23.07</v>
      </c>
    </row>
    <row r="35">
      <c r="A35" s="64">
        <v>1.0</v>
      </c>
      <c r="B35" s="66" t="s">
        <v>56</v>
      </c>
      <c r="C35" s="3" t="str">
        <f t="array" ref="C35">XLOOKUP(B35, 'Surfer Stats - Event 4'!B:B, 'Surfer Stats - Event 4'!D:D)</f>
        <v>Goofy</v>
      </c>
      <c r="D35" s="3">
        <f t="shared" si="1"/>
        <v>7</v>
      </c>
      <c r="E35" s="10">
        <v>0.0</v>
      </c>
      <c r="F35" s="10">
        <v>0.0</v>
      </c>
      <c r="G35" s="10">
        <v>13.0</v>
      </c>
      <c r="H35" s="10">
        <v>13.0</v>
      </c>
      <c r="I35" s="10">
        <v>25.0</v>
      </c>
      <c r="J35" s="3">
        <f>COUNTIFS( historical_events_FACT!J:J, "&gt;16", historical_events_FACT!G:G, B35,historical_events_FACT!C:C, "7" )</f>
        <v>3</v>
      </c>
      <c r="K35" s="3">
        <f t="shared" si="2"/>
        <v>12.23</v>
      </c>
      <c r="L35" s="3">
        <f t="shared" si="19"/>
        <v>17.28</v>
      </c>
      <c r="M35" s="3">
        <f>SUMIFS( '2014Data'!I:I, '2014Data'!F:F, B35,'2014Data'!B:B, "7" )</f>
        <v>34.56</v>
      </c>
      <c r="N35" s="3">
        <f>COUNTIFS('2014Data'!F:F, B35,'2014Data'!B:B, "7" )</f>
        <v>2</v>
      </c>
      <c r="O35" s="3">
        <f t="shared" si="20"/>
        <v>10.9</v>
      </c>
      <c r="P35" s="3">
        <f>SUMIFS( historical_events_FACT!J:J, historical_events_FACT!G:G, B35,historical_events_FACT!B:B, "2015",historical_events_FACT!C:C, "7" )</f>
        <v>21.8</v>
      </c>
      <c r="Q35" s="3">
        <f>COUNTIFS(historical_events_FACT!G:G, B35,historical_events_FACT!B:B, "2015",historical_events_FACT!C:C, "7" )</f>
        <v>2</v>
      </c>
      <c r="R35" s="3">
        <f t="shared" si="21"/>
        <v>9.74</v>
      </c>
      <c r="S35" s="3">
        <f>SUMIFS( historical_events_FACT!J:J, historical_events_FACT!G:G, B35,historical_events_FACT!B:B, "2016",historical_events_FACT!C:C, "7" )</f>
        <v>29.23</v>
      </c>
      <c r="T35" s="3">
        <f>COUNTIFS(historical_events_FACT!G:G, B35,historical_events_FACT!B:B, "2016",historical_events_FACT!C:C, "7" )</f>
        <v>3</v>
      </c>
      <c r="U35" s="3">
        <f t="shared" si="6"/>
        <v>0</v>
      </c>
      <c r="V35" s="3">
        <f>MAXIFS( historical_events_FACT!J:J, historical_events_FACT!G:G, B35,historical_events_FACT!C:C, "7" )</f>
        <v>18.06</v>
      </c>
      <c r="W35" s="3">
        <f t="array" ref="W35">ROUND(AVERAGEIF({ IFERROR(XLOOKUP(B35, 'Surfer Stats - Event 4'!B:B, 'Surfer Stats - Event 4'!AF:AF), ""), IFERROR(XLOOKUP(B35, 'Surfer Stats - Event 5'!B:B, 'Surfer Stats - Event 5'!AA:AA), ""), IFERROR(XLOOKUP(B35, 'Surfer Stats - Event 6'!B:B, 'Surfer Stats - Event 6'!Y:Y), "") }, "&lt;&gt;"),2)</f>
        <v>24.12</v>
      </c>
      <c r="X35" s="10">
        <v>18.53</v>
      </c>
      <c r="Y35" s="75">
        <f>4000+1750+500</f>
        <v>6250</v>
      </c>
      <c r="Z35" s="3">
        <f t="array" ref="Z35">XLOOKUP(B35,'Event 7 Assist'!A:A, 'Event 7 Assist'!E:E)</f>
        <v>32.24</v>
      </c>
    </row>
    <row r="36">
      <c r="A36" s="51">
        <v>1.0</v>
      </c>
      <c r="B36" s="66" t="s">
        <v>45</v>
      </c>
      <c r="C36" s="3" t="str">
        <f t="array" ref="C36">XLOOKUP(B36, 'Surfer Stats - Event 4'!B:B, 'Surfer Stats - Event 4'!D:D)</f>
        <v>Regular</v>
      </c>
      <c r="D36" s="3">
        <f t="shared" si="1"/>
        <v>12</v>
      </c>
      <c r="E36" s="10">
        <v>0.0</v>
      </c>
      <c r="F36" s="10">
        <v>0.0</v>
      </c>
      <c r="G36" s="10">
        <v>13.0</v>
      </c>
      <c r="H36" s="10">
        <v>5.0</v>
      </c>
      <c r="I36" s="10">
        <v>5.0</v>
      </c>
      <c r="J36" s="3">
        <f>COUNTIFS( historical_events_FACT!J:J, "&gt;16", historical_events_FACT!G:G, B36,historical_events_FACT!C:C, "7" )</f>
        <v>3</v>
      </c>
      <c r="K36" s="3">
        <f t="shared" si="2"/>
        <v>13.66</v>
      </c>
      <c r="L36" s="3">
        <f t="shared" si="19"/>
        <v>13.52</v>
      </c>
      <c r="M36" s="3">
        <f>SUMIFS( '2014Data'!I:I, '2014Data'!F:F, B36,'2014Data'!B:B, "7" )</f>
        <v>40.56</v>
      </c>
      <c r="N36" s="3">
        <f>COUNTIFS('2014Data'!F:F, B36,'2014Data'!B:B, "7" )</f>
        <v>3</v>
      </c>
      <c r="O36" s="3">
        <f t="shared" si="20"/>
        <v>14.33</v>
      </c>
      <c r="P36" s="3">
        <f>SUMIFS( historical_events_FACT!J:J, historical_events_FACT!G:G, B36,historical_events_FACT!B:B, "2015",historical_events_FACT!C:C, "7" )</f>
        <v>57.33</v>
      </c>
      <c r="Q36" s="3">
        <f>COUNTIFS(historical_events_FACT!G:G, B36,historical_events_FACT!B:B, "2015",historical_events_FACT!C:C, "7" )</f>
        <v>4</v>
      </c>
      <c r="R36" s="3">
        <f t="shared" si="21"/>
        <v>13.21</v>
      </c>
      <c r="S36" s="3">
        <f>SUMIFS( historical_events_FACT!J:J, historical_events_FACT!G:G, B36,historical_events_FACT!B:B, "2016",historical_events_FACT!C:C, "7" )</f>
        <v>66.04</v>
      </c>
      <c r="T36" s="3">
        <f>COUNTIFS(historical_events_FACT!G:G, B36,historical_events_FACT!B:B, "2016",historical_events_FACT!C:C, "7" )</f>
        <v>5</v>
      </c>
      <c r="U36" s="3">
        <f t="shared" si="6"/>
        <v>0</v>
      </c>
      <c r="V36" s="3">
        <f>MAXIFS( historical_events_FACT!J:J, historical_events_FACT!G:G, B36,historical_events_FACT!C:C, "7" )</f>
        <v>17.9</v>
      </c>
      <c r="W36" s="3">
        <f t="array" ref="W36">ROUND(AVERAGEIF({ IFERROR(XLOOKUP(B36, 'Surfer Stats - Event 4'!B:B, 'Surfer Stats - Event 4'!AF:AF), ""), IFERROR(XLOOKUP(B36, 'Surfer Stats - Event 5'!B:B, 'Surfer Stats - Event 5'!AA:AA), ""), IFERROR(XLOOKUP(B36, 'Surfer Stats - Event 6'!B:B, 'Surfer Stats - Event 6'!Y:Y), "") }, "&lt;&gt;"),2)</f>
        <v>22.25</v>
      </c>
      <c r="X36" s="3">
        <f t="array" ref="X36">XLOOKUP(B36, 'Surfer Stats - Event 6'!B:B, 'Surfer Stats - Event 6'!Y:Y)</f>
        <v>21.53</v>
      </c>
      <c r="Y36" s="75">
        <f>1500+1750+500+500</f>
        <v>4250</v>
      </c>
      <c r="Z36" s="3">
        <f t="array" ref="Z36">XLOOKUP(B36,'Event 7 Assist'!A:A, 'Event 7 Assist'!E:E)</f>
        <v>15.73</v>
      </c>
    </row>
    <row r="37">
      <c r="A37" s="78">
        <v>1.0</v>
      </c>
      <c r="B37" s="66" t="s">
        <v>63</v>
      </c>
      <c r="C37" s="3" t="str">
        <f t="array" ref="C37">XLOOKUP(B37, 'Surfer Stats - Event 4'!B:B, 'Surfer Stats - Event 4'!D:D)</f>
        <v>Regular</v>
      </c>
      <c r="D37" s="3">
        <f t="shared" si="1"/>
        <v>10</v>
      </c>
      <c r="E37" s="10">
        <v>0.0</v>
      </c>
      <c r="F37" s="10">
        <v>0.0</v>
      </c>
      <c r="G37" s="10">
        <v>99.0</v>
      </c>
      <c r="H37" s="10">
        <v>99.0</v>
      </c>
      <c r="I37" s="10">
        <v>99.0</v>
      </c>
      <c r="J37" s="3">
        <f>COUNTIFS( historical_events_FACT!J:J, "&gt;16", historical_events_FACT!G:G, B37,historical_events_FACT!C:C, "7" )</f>
        <v>0</v>
      </c>
      <c r="K37" s="3">
        <f t="shared" si="2"/>
        <v>12.72</v>
      </c>
      <c r="L37" s="10">
        <v>14.08</v>
      </c>
      <c r="M37" s="3">
        <f>L37*N37</f>
        <v>56.32</v>
      </c>
      <c r="N37" s="10">
        <v>4.0</v>
      </c>
      <c r="O37" s="10">
        <v>11.95</v>
      </c>
      <c r="P37" s="3">
        <f>O37*Q37</f>
        <v>47.8</v>
      </c>
      <c r="Q37" s="10">
        <v>4.0</v>
      </c>
      <c r="R37" s="3">
        <f t="shared" si="21"/>
        <v>11.53</v>
      </c>
      <c r="S37" s="10">
        <v>23.05</v>
      </c>
      <c r="T37" s="10">
        <v>2.0</v>
      </c>
      <c r="U37" s="3">
        <f t="shared" si="6"/>
        <v>1</v>
      </c>
      <c r="V37" s="10">
        <v>12.4</v>
      </c>
      <c r="W37" s="3">
        <f t="array" ref="W37">ROUND(AVERAGEIF({ IFERROR(XLOOKUP(B37, 'Surfer Stats - Event 4'!B:B, 'Surfer Stats - Event 4'!AF:AF), ""), IFERROR(XLOOKUP(B37, 'Surfer Stats - Event 5'!B:B, 'Surfer Stats - Event 5'!AA:AA), ""), IFERROR(XLOOKUP(B37, 'Surfer Stats - Event 6'!B:B, 'Surfer Stats - Event 6'!Y:Y), "") }, "&lt;&gt;"),2)</f>
        <v>17.61</v>
      </c>
      <c r="X37" s="3">
        <f t="array" ref="X37">XLOOKUP(B37, 'Surfer Stats - Event 6'!B:B, 'Surfer Stats - Event 6'!Y:Y)</f>
        <v>21.03</v>
      </c>
      <c r="Y37" s="75">
        <f>1500+500+500+500</f>
        <v>3000</v>
      </c>
      <c r="Z37" s="3">
        <f t="array" ref="Z37">XLOOKUP(B37,'Event 7 Assist'!A:A, 'Event 7 Assist'!E:E)</f>
        <v>25.9</v>
      </c>
    </row>
    <row r="38">
      <c r="A38" s="51">
        <v>0.0</v>
      </c>
      <c r="B38" s="82" t="s">
        <v>142</v>
      </c>
      <c r="C38" s="3" t="str">
        <f t="array" ref="C38">XLOOKUP(B38, 'Surfer Stats - Event 4'!B:B, 'Surfer Stats - Event 4'!D:D)</f>
        <v>Goofy</v>
      </c>
      <c r="D38" s="3">
        <f t="shared" si="1"/>
        <v>0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"7" )</f>
        <v>0</v>
      </c>
      <c r="K38" s="3">
        <f t="shared" si="2"/>
        <v>0</v>
      </c>
      <c r="L38" s="3">
        <f t="shared" ref="L38:L48" si="22">IF(M38=0,0,ROUND(M38/N38,2))</f>
        <v>0</v>
      </c>
      <c r="M38" s="3">
        <f>SUMIFS( '2014Data'!I:I, '2014Data'!F:F, B38,'2014Data'!B:B, "7" )</f>
        <v>0</v>
      </c>
      <c r="N38" s="3">
        <f>COUNTIFS('2014Data'!F:F, B38,'2014Data'!B:B, "7" )</f>
        <v>0</v>
      </c>
      <c r="O38" s="3">
        <f t="shared" ref="O38:O48" si="23">IF(P38=0,0,ROUND(P38/Q38,2))</f>
        <v>0</v>
      </c>
      <c r="P38" s="3">
        <f>SUMIFS( historical_events_FACT!J:J, historical_events_FACT!G:G, B38,historical_events_FACT!B:B, "2015",historical_events_FACT!C:C, "7" )</f>
        <v>0</v>
      </c>
      <c r="Q38" s="3">
        <f>COUNTIFS(historical_events_FACT!G:G, B38,historical_events_FACT!B:B, "2015",historical_events_FACT!C:C, "7" )</f>
        <v>0</v>
      </c>
      <c r="R38" s="3">
        <f t="shared" si="21"/>
        <v>0</v>
      </c>
      <c r="S38" s="3">
        <f>SUMIFS( historical_events_FACT!J:J, historical_events_FACT!G:G, B38,historical_events_FACT!B:B, "2016",historical_events_FACT!C:C, "7" )</f>
        <v>0</v>
      </c>
      <c r="T38" s="3">
        <f>COUNTIFS(historical_events_FACT!G:G, B38,historical_events_FACT!B:B, "2016",historical_events_FACT!C:C, "7" )</f>
        <v>0</v>
      </c>
      <c r="U38" s="3">
        <f t="shared" si="6"/>
        <v>1</v>
      </c>
      <c r="V38" s="3">
        <f>MAXIFS( historical_events_FACT!J:J, historical_events_FACT!G:G, B38,historical_events_FACT!C:C, "7" )</f>
        <v>0</v>
      </c>
      <c r="W38" s="3">
        <f t="array" ref="W38">ROUND(AVERAGEIF({ IFERROR(XLOOKUP(B38, 'Surfer Stats - Event 4'!B:B, 'Surfer Stats - Event 4'!AF:AF), ""), IFERROR(XLOOKUP(B38, 'Surfer Stats - Event 5'!B:B, 'Surfer Stats - Event 5'!AA:AA), ""), IFERROR(XLOOKUP(B38, 'Surfer Stats - Event 6'!B:B, 'Surfer Stats - Event 6'!Y:Y), "") }, "&lt;&gt;"),2)</f>
        <v>11.65</v>
      </c>
      <c r="X38" s="3" t="str">
        <f t="array" ref="X38">XLOOKUP(B38, 'Surfer Stats - Event 6'!B:B, 'Surfer Stats - Event 6'!Y:Y)</f>
        <v/>
      </c>
      <c r="Y38" s="83">
        <f>1750+500</f>
        <v>2250</v>
      </c>
      <c r="Z38" s="3" t="str">
        <f t="array" ref="Z38">XLOOKUP(B38,'Event 7 Assist'!A:A, 'Event 7 Assist'!E:E)</f>
        <v/>
      </c>
    </row>
    <row r="39">
      <c r="A39" s="51">
        <v>0.0</v>
      </c>
      <c r="B39" s="93" t="s">
        <v>262</v>
      </c>
      <c r="C39" s="3" t="str">
        <f t="array" ref="C39">XLOOKUP(B39, 'Surfer Stats - Event 4'!B:B, 'Surfer Stats - Event 4'!D:D)</f>
        <v>Goofy</v>
      </c>
      <c r="D39" s="3">
        <f t="shared" si="1"/>
        <v>0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"7" )</f>
        <v>0</v>
      </c>
      <c r="K39" s="3">
        <f t="shared" si="2"/>
        <v>0</v>
      </c>
      <c r="L39" s="3">
        <f t="shared" si="22"/>
        <v>0</v>
      </c>
      <c r="M39" s="3">
        <f>SUMIFS( '2014Data'!I:I, '2014Data'!F:F, B39,'2014Data'!B:B, "7" )</f>
        <v>0</v>
      </c>
      <c r="N39" s="3">
        <f>COUNTIFS('2014Data'!F:F, B39,'2014Data'!B:B, "7" )</f>
        <v>0</v>
      </c>
      <c r="O39" s="3">
        <f t="shared" si="23"/>
        <v>0</v>
      </c>
      <c r="P39" s="3">
        <f>SUMIFS( historical_events_FACT!J:J, historical_events_FACT!G:G, B39,historical_events_FACT!B:B, "2015",historical_events_FACT!C:C, "7" )</f>
        <v>0</v>
      </c>
      <c r="Q39" s="3">
        <f>COUNTIFS(historical_events_FACT!G:G, B39,historical_events_FACT!B:B, "2015",historical_events_FACT!C:C, "7" )</f>
        <v>0</v>
      </c>
      <c r="R39" s="3">
        <f t="shared" si="21"/>
        <v>0</v>
      </c>
      <c r="S39" s="3">
        <f>SUMIFS( historical_events_FACT!J:J, historical_events_FACT!G:G, B39,historical_events_FACT!B:B, "2016",historical_events_FACT!C:C, "7" )</f>
        <v>0</v>
      </c>
      <c r="T39" s="3">
        <f>COUNTIFS(historical_events_FACT!G:G, B39,historical_events_FACT!B:B, "2016",historical_events_FACT!C:C, "7" )</f>
        <v>0</v>
      </c>
      <c r="U39" s="3">
        <f t="shared" si="6"/>
        <v>1</v>
      </c>
      <c r="V39" s="3">
        <f>MAXIFS( historical_events_FACT!J:J, historical_events_FACT!G:G, B39,historical_events_FACT!C:C, "7" )</f>
        <v>0</v>
      </c>
      <c r="W39" s="3">
        <f t="array" ref="W39">ROUND(AVERAGEIF({ IFERROR(XLOOKUP(B39, 'Surfer Stats - Event 4'!B:B, 'Surfer Stats - Event 4'!AF:AF), ""), IFERROR(XLOOKUP(B39, 'Surfer Stats - Event 5'!B:B, 'Surfer Stats - Event 5'!AA:AA), ""), IFERROR(XLOOKUP(B39, 'Surfer Stats - Event 6'!B:B, 'Surfer Stats - Event 6'!Y:Y), "") }, "&lt;&gt;"),2)</f>
        <v>0</v>
      </c>
      <c r="X39" s="3" t="str">
        <f t="array" ref="X39">XLOOKUP(B39, 'Surfer Stats - Event 6'!B:B, 'Surfer Stats - Event 6'!Y:Y)</f>
        <v/>
      </c>
      <c r="Y39" s="83">
        <v>1750.0</v>
      </c>
      <c r="Z39" s="3" t="str">
        <f t="array" ref="Z39">XLOOKUP(B39,'Event 7 Assist'!A:A, 'Event 7 Assist'!E:E)</f>
        <v/>
      </c>
    </row>
    <row r="40">
      <c r="A40" s="51">
        <v>0.0</v>
      </c>
      <c r="B40" s="93" t="s">
        <v>46</v>
      </c>
      <c r="C40" s="3" t="str">
        <f t="array" ref="C40">XLOOKUP(B40, 'Surfer Stats - Event 4'!B:B, 'Surfer Stats - Event 4'!D:D)</f>
        <v>Regular</v>
      </c>
      <c r="D40" s="3">
        <f t="shared" si="1"/>
        <v>0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"7" )</f>
        <v>0</v>
      </c>
      <c r="K40" s="3">
        <f t="shared" si="2"/>
        <v>0</v>
      </c>
      <c r="L40" s="3">
        <f t="shared" si="22"/>
        <v>0</v>
      </c>
      <c r="M40" s="3">
        <f>SUMIFS( '2014Data'!I:I, '2014Data'!F:F, B40,'2014Data'!B:B, "7" )</f>
        <v>0</v>
      </c>
      <c r="N40" s="3">
        <f>COUNTIFS('2014Data'!F:F, B40,'2014Data'!B:B, "7" )</f>
        <v>0</v>
      </c>
      <c r="O40" s="3">
        <f t="shared" si="23"/>
        <v>0</v>
      </c>
      <c r="P40" s="3">
        <f>SUMIFS( historical_events_FACT!J:J, historical_events_FACT!G:G, B40,historical_events_FACT!B:B, "2015",historical_events_FACT!C:C, "7" )</f>
        <v>0</v>
      </c>
      <c r="Q40" s="3">
        <f>COUNTIFS(historical_events_FACT!G:G, B40,historical_events_FACT!B:B, "2015",historical_events_FACT!C:C, "7" )</f>
        <v>0</v>
      </c>
      <c r="R40" s="3">
        <f t="shared" si="21"/>
        <v>0</v>
      </c>
      <c r="S40" s="3">
        <f>SUMIFS( historical_events_FACT!J:J, historical_events_FACT!G:G, B40,historical_events_FACT!B:B, "2016",historical_events_FACT!C:C, "7" )</f>
        <v>0</v>
      </c>
      <c r="T40" s="3">
        <f>COUNTIFS(historical_events_FACT!G:G, B40,historical_events_FACT!B:B, "2016",historical_events_FACT!C:C, "7" )</f>
        <v>0</v>
      </c>
      <c r="U40" s="3">
        <f t="shared" si="6"/>
        <v>1</v>
      </c>
      <c r="V40" s="3">
        <f>MAXIFS( historical_events_FACT!J:J, historical_events_FACT!G:G, B40,historical_events_FACT!C:C, "7" )</f>
        <v>0</v>
      </c>
      <c r="W40" s="3">
        <f t="array" ref="W40">ROUND(AVERAGEIF({ IFERROR(XLOOKUP(B40, 'Surfer Stats - Event 4'!B:B, 'Surfer Stats - Event 4'!AF:AF), ""), IFERROR(XLOOKUP(B40, 'Surfer Stats - Event 5'!B:B, 'Surfer Stats - Event 5'!AA:AA), ""), IFERROR(XLOOKUP(B40, 'Surfer Stats - Event 6'!B:B, 'Surfer Stats - Event 6'!Y:Y), "") }, "&lt;&gt;"),2)</f>
        <v>0</v>
      </c>
      <c r="X40" s="3" t="str">
        <f t="array" ref="X40">XLOOKUP(B40, 'Surfer Stats - Event 6'!B:B, 'Surfer Stats - Event 6'!Y:Y)</f>
        <v/>
      </c>
      <c r="Y40" s="83">
        <v>1750.0</v>
      </c>
      <c r="Z40" s="3" t="str">
        <f t="array" ref="Z40">XLOOKUP(B40,'Event 7 Assist'!A:A, 'Event 7 Assist'!E:E)</f>
        <v/>
      </c>
    </row>
    <row r="41">
      <c r="A41" s="51">
        <v>0.0</v>
      </c>
      <c r="B41" s="82" t="s">
        <v>168</v>
      </c>
      <c r="C41" s="3" t="str">
        <f t="array" ref="C41">XLOOKUP(B41, 'Surfer Stats - Event 4'!B:B, 'Surfer Stats - Event 4'!D:D)</f>
        <v>Regular</v>
      </c>
      <c r="D41" s="3">
        <f t="shared" si="1"/>
        <v>0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"7" )</f>
        <v>0</v>
      </c>
      <c r="K41" s="3">
        <f t="shared" si="2"/>
        <v>0</v>
      </c>
      <c r="L41" s="3">
        <f t="shared" si="22"/>
        <v>0</v>
      </c>
      <c r="M41" s="3">
        <f>SUMIFS( '2014Data'!I:I, '2014Data'!F:F, B41,'2014Data'!B:B, "7" )</f>
        <v>0</v>
      </c>
      <c r="N41" s="3">
        <f>COUNTIFS('2014Data'!F:F, B41,'2014Data'!B:B, "7" )</f>
        <v>0</v>
      </c>
      <c r="O41" s="3">
        <f t="shared" si="23"/>
        <v>0</v>
      </c>
      <c r="P41" s="3">
        <f>SUMIFS( historical_events_FACT!J:J, historical_events_FACT!G:G, B41,historical_events_FACT!B:B, "2015",historical_events_FACT!C:C, "7" )</f>
        <v>0</v>
      </c>
      <c r="Q41" s="3">
        <f>COUNTIFS(historical_events_FACT!G:G, B41,historical_events_FACT!B:B, "2015",historical_events_FACT!C:C, "7" )</f>
        <v>0</v>
      </c>
      <c r="R41" s="3">
        <f t="shared" si="21"/>
        <v>0</v>
      </c>
      <c r="S41" s="3">
        <f>SUMIFS( historical_events_FACT!J:J, historical_events_FACT!G:G, B41,historical_events_FACT!B:B, "2016",historical_events_FACT!C:C, "7" )</f>
        <v>0</v>
      </c>
      <c r="T41" s="3">
        <f>COUNTIFS(historical_events_FACT!G:G, B41,historical_events_FACT!B:B, "2016",historical_events_FACT!C:C, "7" )</f>
        <v>0</v>
      </c>
      <c r="U41" s="3">
        <f t="shared" si="6"/>
        <v>1</v>
      </c>
      <c r="V41" s="3">
        <f>MAXIFS( historical_events_FACT!J:J, historical_events_FACT!G:G, B41,historical_events_FACT!C:C, "7" )</f>
        <v>0</v>
      </c>
      <c r="W41" s="3">
        <f t="array" ref="W41">ROUND(AVERAGEIF({ IFERROR(XLOOKUP(B41, 'Surfer Stats - Event 4'!B:B, 'Surfer Stats - Event 4'!AF:AF), ""), IFERROR(XLOOKUP(B41, 'Surfer Stats - Event 5'!B:B, 'Surfer Stats - Event 5'!AA:AA), ""), IFERROR(XLOOKUP(B41, 'Surfer Stats - Event 6'!B:B, 'Surfer Stats - Event 6'!Y:Y), "") }, "&lt;&gt;"),2)</f>
        <v>16.43</v>
      </c>
      <c r="X41" s="3" t="str">
        <f t="array" ref="X41">XLOOKUP(B41, 'Surfer Stats - Event 6'!B:B, 'Surfer Stats - Event 6'!Y:Y)</f>
        <v/>
      </c>
      <c r="Y41" s="91">
        <f>0+500+500</f>
        <v>1000</v>
      </c>
      <c r="Z41" s="3" t="str">
        <f t="array" ref="Z41">XLOOKUP(B41,'Event 7 Assist'!A:A, 'Event 7 Assist'!E:E)</f>
        <v/>
      </c>
    </row>
    <row r="42">
      <c r="A42" s="51">
        <v>0.0</v>
      </c>
      <c r="B42" s="82" t="s">
        <v>144</v>
      </c>
      <c r="C42" s="3" t="str">
        <f t="array" ref="C42">XLOOKUP(B42, 'Surfer Stats - Event 4'!B:B, 'Surfer Stats - Event 4'!D:D)</f>
        <v>Regular</v>
      </c>
      <c r="D42" s="3">
        <f t="shared" si="1"/>
        <v>0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"7" )</f>
        <v>0</v>
      </c>
      <c r="K42" s="3">
        <f t="shared" si="2"/>
        <v>0</v>
      </c>
      <c r="L42" s="3">
        <f t="shared" si="22"/>
        <v>0</v>
      </c>
      <c r="M42" s="3">
        <f>SUMIFS( '2014Data'!I:I, '2014Data'!F:F, B42,'2014Data'!B:B, "7" )</f>
        <v>0</v>
      </c>
      <c r="N42" s="3">
        <f>COUNTIFS('2014Data'!F:F, B42,'2014Data'!B:B, "7" )</f>
        <v>0</v>
      </c>
      <c r="O42" s="3">
        <f t="shared" si="23"/>
        <v>0</v>
      </c>
      <c r="P42" s="3">
        <f>SUMIFS( historical_events_FACT!J:J, historical_events_FACT!G:G, B42,historical_events_FACT!B:B, "2015",historical_events_FACT!C:C, "7" )</f>
        <v>0</v>
      </c>
      <c r="Q42" s="3">
        <f>COUNTIFS(historical_events_FACT!G:G, B42,historical_events_FACT!B:B, "2015",historical_events_FACT!C:C, "7" )</f>
        <v>0</v>
      </c>
      <c r="R42" s="3">
        <f t="shared" si="21"/>
        <v>0</v>
      </c>
      <c r="S42" s="3">
        <f>SUMIFS( historical_events_FACT!J:J, historical_events_FACT!G:G, B42,historical_events_FACT!B:B, "2016",historical_events_FACT!C:C, "7" )</f>
        <v>0</v>
      </c>
      <c r="T42" s="3">
        <f>COUNTIFS(historical_events_FACT!G:G, B42,historical_events_FACT!B:B, "2016",historical_events_FACT!C:C, "7" )</f>
        <v>0</v>
      </c>
      <c r="U42" s="3">
        <f t="shared" si="6"/>
        <v>1</v>
      </c>
      <c r="V42" s="3">
        <f>MAXIFS( historical_events_FACT!J:J, historical_events_FACT!G:G, B42,historical_events_FACT!C:C, "7" )</f>
        <v>0</v>
      </c>
      <c r="W42" s="3">
        <f t="array" ref="W42">ROUND(AVERAGEIF({ IFERROR(XLOOKUP(B42, 'Surfer Stats - Event 4'!B:B, 'Surfer Stats - Event 4'!AF:AF), ""), IFERROR(XLOOKUP(B42, 'Surfer Stats - Event 5'!B:B, 'Surfer Stats - Event 5'!AA:AA), ""), IFERROR(XLOOKUP(B42, 'Surfer Stats - Event 6'!B:B, 'Surfer Stats - Event 6'!Y:Y), "") }, "&lt;&gt;"),2)</f>
        <v>0</v>
      </c>
      <c r="X42" s="3" t="str">
        <f t="array" ref="X42">XLOOKUP(B42, 'Surfer Stats - Event 6'!B:B, 'Surfer Stats - Event 6'!Y:Y)</f>
        <v/>
      </c>
      <c r="Y42" s="83">
        <v>500.0</v>
      </c>
      <c r="Z42" s="3" t="str">
        <f t="array" ref="Z42">XLOOKUP(B42,'Event 7 Assist'!A:A, 'Event 7 Assist'!E:E)</f>
        <v/>
      </c>
    </row>
    <row r="43">
      <c r="A43" s="51">
        <v>0.0</v>
      </c>
      <c r="B43" s="82" t="s">
        <v>143</v>
      </c>
      <c r="C43" s="3" t="str">
        <f t="array" ref="C43">XLOOKUP(B43, 'Surfer Stats - Event 4'!B:B, 'Surfer Stats - Event 4'!D:D)</f>
        <v>Regular</v>
      </c>
      <c r="D43" s="3">
        <f t="shared" si="1"/>
        <v>0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"7" )</f>
        <v>0</v>
      </c>
      <c r="K43" s="3">
        <f t="shared" si="2"/>
        <v>0</v>
      </c>
      <c r="L43" s="3">
        <f t="shared" si="22"/>
        <v>0</v>
      </c>
      <c r="M43" s="3">
        <f>SUMIFS( '2014Data'!I:I, '2014Data'!F:F, B43,'2014Data'!B:B, "7" )</f>
        <v>0</v>
      </c>
      <c r="N43" s="3">
        <f>COUNTIFS('2014Data'!F:F, B43,'2014Data'!B:B, "7" )</f>
        <v>0</v>
      </c>
      <c r="O43" s="3">
        <f t="shared" si="23"/>
        <v>0</v>
      </c>
      <c r="P43" s="3">
        <f>SUMIFS( historical_events_FACT!J:J, historical_events_FACT!G:G, B43,historical_events_FACT!B:B, "2015",historical_events_FACT!C:C, "7" )</f>
        <v>0</v>
      </c>
      <c r="Q43" s="3">
        <f>COUNTIFS(historical_events_FACT!G:G, B43,historical_events_FACT!B:B, "2015",historical_events_FACT!C:C, "7" )</f>
        <v>0</v>
      </c>
      <c r="R43" s="3">
        <f t="shared" si="21"/>
        <v>0</v>
      </c>
      <c r="S43" s="3">
        <f>SUMIFS( historical_events_FACT!J:J, historical_events_FACT!G:G, B43,historical_events_FACT!B:B, "2016",historical_events_FACT!C:C, "7" )</f>
        <v>0</v>
      </c>
      <c r="T43" s="3">
        <f>COUNTIFS(historical_events_FACT!G:G, B43,historical_events_FACT!B:B, "2016",historical_events_FACT!C:C, "7" )</f>
        <v>0</v>
      </c>
      <c r="U43" s="3">
        <f t="shared" si="6"/>
        <v>1</v>
      </c>
      <c r="V43" s="3">
        <f>MAXIFS( historical_events_FACT!J:J, historical_events_FACT!G:G, B43,historical_events_FACT!C:C, "7" )</f>
        <v>0</v>
      </c>
      <c r="W43" s="3">
        <f t="array" ref="W43">ROUND(AVERAGEIF({ IFERROR(XLOOKUP(B43, 'Surfer Stats - Event 4'!B:B, 'Surfer Stats - Event 4'!AF:AF), ""), IFERROR(XLOOKUP(B43, 'Surfer Stats - Event 5'!B:B, 'Surfer Stats - Event 5'!AA:AA), ""), IFERROR(XLOOKUP(B43, 'Surfer Stats - Event 6'!B:B, 'Surfer Stats - Event 6'!Y:Y), "") }, "&lt;&gt;"),2)</f>
        <v>0</v>
      </c>
      <c r="X43" s="3" t="str">
        <f t="array" ref="X43">XLOOKUP(B43, 'Surfer Stats - Event 6'!B:B, 'Surfer Stats - Event 6'!Y:Y)</f>
        <v/>
      </c>
      <c r="Y43" s="83">
        <v>500.0</v>
      </c>
      <c r="Z43" s="3" t="str">
        <f t="array" ref="Z43">XLOOKUP(B43,'Event 7 Assist'!A:A, 'Event 7 Assist'!E:E)</f>
        <v/>
      </c>
    </row>
    <row r="44">
      <c r="A44" s="51">
        <v>0.0</v>
      </c>
      <c r="B44" s="82" t="s">
        <v>82</v>
      </c>
      <c r="C44" s="10" t="s">
        <v>247</v>
      </c>
      <c r="D44" s="3">
        <f t="shared" si="1"/>
        <v>0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"7" )</f>
        <v>0</v>
      </c>
      <c r="K44" s="3">
        <f t="shared" si="2"/>
        <v>0</v>
      </c>
      <c r="L44" s="3">
        <f t="shared" si="22"/>
        <v>0</v>
      </c>
      <c r="M44" s="3">
        <f>SUMIFS( '2014Data'!I:I, '2014Data'!F:F, B44,'2014Data'!B:B, "7" )</f>
        <v>0</v>
      </c>
      <c r="N44" s="3">
        <f>COUNTIFS('2014Data'!F:F, B44,'2014Data'!B:B, "7" )</f>
        <v>0</v>
      </c>
      <c r="O44" s="3">
        <f t="shared" si="23"/>
        <v>0</v>
      </c>
      <c r="P44" s="3">
        <f>SUMIFS( historical_events_FACT!J:J, historical_events_FACT!G:G, B44,historical_events_FACT!B:B, "2015",historical_events_FACT!C:C, "7" )</f>
        <v>0</v>
      </c>
      <c r="Q44" s="3">
        <f>COUNTIFS(historical_events_FACT!G:G, B44,historical_events_FACT!B:B, "2015",historical_events_FACT!C:C, "7" )</f>
        <v>0</v>
      </c>
      <c r="R44" s="3">
        <f t="shared" si="21"/>
        <v>0</v>
      </c>
      <c r="S44" s="3">
        <f>SUMIFS( historical_events_FACT!J:J, historical_events_FACT!G:G, B44,historical_events_FACT!B:B, "2016",historical_events_FACT!C:C, "7" )</f>
        <v>0</v>
      </c>
      <c r="T44" s="3">
        <f>COUNTIFS(historical_events_FACT!G:G, B44,historical_events_FACT!B:B, "2016",historical_events_FACT!C:C, "7" )</f>
        <v>0</v>
      </c>
      <c r="U44" s="3">
        <f t="shared" si="6"/>
        <v>1</v>
      </c>
      <c r="V44" s="3">
        <f>MAXIFS( historical_events_FACT!J:J, historical_events_FACT!G:G, B44,historical_events_FACT!C:C, "7" )</f>
        <v>0</v>
      </c>
      <c r="W44" s="3">
        <f t="array" ref="W44">ROUND(AVERAGEIF({ IFERROR(XLOOKUP(B44, 'Surfer Stats - Event 4'!B:B, 'Surfer Stats - Event 4'!AF:AF), ""), IFERROR(XLOOKUP(B44, 'Surfer Stats - Event 5'!B:B, 'Surfer Stats - Event 5'!AA:AA), ""), IFERROR(XLOOKUP(B44, 'Surfer Stats - Event 6'!B:B, 'Surfer Stats - Event 6'!Y:Y), "") }, "&lt;&gt;"),2)</f>
        <v>14.33</v>
      </c>
      <c r="X44" s="3" t="str">
        <f t="array" ref="X44">XLOOKUP(B44, 'Surfer Stats - Event 6'!B:B, 'Surfer Stats - Event 6'!Y:Y)</f>
        <v/>
      </c>
      <c r="Y44" s="91">
        <v>500.0</v>
      </c>
      <c r="Z44" s="3" t="str">
        <f t="array" ref="Z44">XLOOKUP(B44,'Event 7 Assist'!A:A, 'Event 7 Assist'!E:E)</f>
        <v/>
      </c>
    </row>
    <row r="45">
      <c r="A45" s="51">
        <v>0.0</v>
      </c>
      <c r="B45" s="82" t="s">
        <v>110</v>
      </c>
      <c r="C45" s="10" t="s">
        <v>244</v>
      </c>
      <c r="D45" s="3">
        <f t="shared" si="1"/>
        <v>0</v>
      </c>
      <c r="E45" s="10">
        <v>0.0</v>
      </c>
      <c r="F45" s="10">
        <v>0.0</v>
      </c>
      <c r="G45" s="10">
        <v>99.0</v>
      </c>
      <c r="H45" s="10">
        <v>99.0</v>
      </c>
      <c r="I45" s="10">
        <v>99.0</v>
      </c>
      <c r="J45" s="3">
        <f>COUNTIFS( historical_events_FACT!J:J, "&gt;16", historical_events_FACT!G:G, B45,historical_events_FACT!C:C, "7" )</f>
        <v>0</v>
      </c>
      <c r="K45" s="3">
        <f t="shared" si="2"/>
        <v>0</v>
      </c>
      <c r="L45" s="3">
        <f t="shared" si="22"/>
        <v>0</v>
      </c>
      <c r="M45" s="3">
        <f>SUMIFS( '2014Data'!I:I, '2014Data'!F:F, B45,'2014Data'!B:B, "7" )</f>
        <v>0</v>
      </c>
      <c r="N45" s="3">
        <f>COUNTIFS('2014Data'!F:F, B45,'2014Data'!B:B, "7" )</f>
        <v>0</v>
      </c>
      <c r="O45" s="3">
        <f t="shared" si="23"/>
        <v>0</v>
      </c>
      <c r="P45" s="3">
        <f>SUMIFS( historical_events_FACT!J:J, historical_events_FACT!G:G, B45,historical_events_FACT!B:B, "2015",historical_events_FACT!C:C, "7" )</f>
        <v>0</v>
      </c>
      <c r="Q45" s="3">
        <f>COUNTIFS(historical_events_FACT!G:G, B45,historical_events_FACT!B:B, "2015",historical_events_FACT!C:C, "7" )</f>
        <v>0</v>
      </c>
      <c r="R45" s="3">
        <f t="shared" si="21"/>
        <v>0</v>
      </c>
      <c r="S45" s="3">
        <f>SUMIFS( historical_events_FACT!J:J, historical_events_FACT!G:G, B45,historical_events_FACT!B:B, "2016",historical_events_FACT!C:C, "7" )</f>
        <v>0</v>
      </c>
      <c r="T45" s="3">
        <f>COUNTIFS(historical_events_FACT!G:G, B45,historical_events_FACT!B:B, "2016",historical_events_FACT!C:C, "7" )</f>
        <v>0</v>
      </c>
      <c r="U45" s="3">
        <f t="shared" si="6"/>
        <v>1</v>
      </c>
      <c r="V45" s="3">
        <f>MAXIFS( historical_events_FACT!J:J, historical_events_FACT!G:G, B45,historical_events_FACT!C:C, "7" )</f>
        <v>0</v>
      </c>
      <c r="W45" s="3">
        <f t="array" ref="W45">ROUND(AVERAGEIF({ IFERROR(XLOOKUP(B45, 'Surfer Stats - Event 4'!B:B, 'Surfer Stats - Event 4'!AF:AF), ""), IFERROR(XLOOKUP(B45, 'Surfer Stats - Event 5'!B:B, 'Surfer Stats - Event 5'!AA:AA), ""), IFERROR(XLOOKUP(B45, 'Surfer Stats - Event 6'!B:B, 'Surfer Stats - Event 6'!Y:Y), "") }, "&lt;&gt;"),2)</f>
        <v>24.07</v>
      </c>
      <c r="X45" s="3">
        <f t="array" ref="X45">XLOOKUP(B45, 'Surfer Stats - Event 6'!B:B, 'Surfer Stats - Event 6'!Y:Y)</f>
        <v>24.07</v>
      </c>
      <c r="Y45" s="91">
        <v>500.0</v>
      </c>
      <c r="Z45" s="3" t="str">
        <f t="array" ref="Z45">XLOOKUP(B45,'Event 7 Assist'!A:A, 'Event 7 Assist'!E:E)</f>
        <v/>
      </c>
    </row>
    <row r="46">
      <c r="A46" s="51">
        <v>0.0</v>
      </c>
      <c r="B46" s="82" t="s">
        <v>286</v>
      </c>
      <c r="C46" s="10" t="s">
        <v>244</v>
      </c>
      <c r="D46" s="3">
        <f t="shared" si="1"/>
        <v>0</v>
      </c>
      <c r="E46" s="10">
        <v>0.0</v>
      </c>
      <c r="F46" s="10">
        <v>0.0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"7" )</f>
        <v>0</v>
      </c>
      <c r="K46" s="3">
        <f t="shared" si="2"/>
        <v>0</v>
      </c>
      <c r="L46" s="3">
        <f t="shared" si="22"/>
        <v>0</v>
      </c>
      <c r="M46" s="3">
        <f>SUMIFS( '2014Data'!I:I, '2014Data'!F:F, B46,'2014Data'!B:B, "7" )</f>
        <v>0</v>
      </c>
      <c r="N46" s="3">
        <f>COUNTIFS('2014Data'!F:F, B46,'2014Data'!B:B, "7" )</f>
        <v>0</v>
      </c>
      <c r="O46" s="3">
        <f t="shared" si="23"/>
        <v>0</v>
      </c>
      <c r="P46" s="3">
        <f>SUMIFS( historical_events_FACT!J:J, historical_events_FACT!G:G, B46,historical_events_FACT!B:B, "2015",historical_events_FACT!C:C, "7" )</f>
        <v>0</v>
      </c>
      <c r="Q46" s="3">
        <f>COUNTIFS(historical_events_FACT!G:G, B46,historical_events_FACT!B:B, "2015",historical_events_FACT!C:C, "7" )</f>
        <v>0</v>
      </c>
      <c r="R46" s="3">
        <f t="shared" si="21"/>
        <v>0</v>
      </c>
      <c r="S46" s="3">
        <f>SUMIFS( historical_events_FACT!J:J, historical_events_FACT!G:G, B46,historical_events_FACT!B:B, "2016",historical_events_FACT!C:C, "7" )</f>
        <v>0</v>
      </c>
      <c r="T46" s="3">
        <f>COUNTIFS(historical_events_FACT!G:G, B46,historical_events_FACT!B:B, "2016",historical_events_FACT!C:C, "7" )</f>
        <v>0</v>
      </c>
      <c r="U46" s="3">
        <f t="shared" si="6"/>
        <v>1</v>
      </c>
      <c r="V46" s="3">
        <f>MAXIFS( historical_events_FACT!J:J, historical_events_FACT!G:G, B46,historical_events_FACT!C:C, "7" )</f>
        <v>0</v>
      </c>
      <c r="W46" s="3">
        <f t="array" ref="W46">ROUND(AVERAGEIF({ IFERROR(XLOOKUP(B46, 'Surfer Stats - Event 4'!B:B, 'Surfer Stats - Event 4'!AF:AF), ""), IFERROR(XLOOKUP(B46, 'Surfer Stats - Event 5'!B:B, 'Surfer Stats - Event 5'!AA:AA), ""), IFERROR(XLOOKUP(B46, 'Surfer Stats - Event 6'!B:B, 'Surfer Stats - Event 6'!Y:Y), "") }, "&lt;&gt;"),2)</f>
        <v>26.3</v>
      </c>
      <c r="X46" s="3">
        <f t="array" ref="X46">XLOOKUP(B46, 'Surfer Stats - Event 6'!B:B, 'Surfer Stats - Event 6'!Y:Y)</f>
        <v>26.3</v>
      </c>
      <c r="Y46" s="91">
        <v>500.0</v>
      </c>
      <c r="Z46" s="3" t="str">
        <f t="array" ref="Z46">XLOOKUP(B46,'Event 7 Assist'!A:A, 'Event 7 Assist'!E:E)</f>
        <v/>
      </c>
    </row>
    <row r="47">
      <c r="A47" s="78">
        <v>1.0</v>
      </c>
      <c r="B47" s="66" t="s">
        <v>107</v>
      </c>
      <c r="C47" s="10" t="s">
        <v>244</v>
      </c>
      <c r="D47" s="3">
        <f t="shared" si="1"/>
        <v>9</v>
      </c>
      <c r="E47" s="10">
        <v>0.0</v>
      </c>
      <c r="F47" s="10">
        <v>0.0</v>
      </c>
      <c r="G47" s="10">
        <v>13.0</v>
      </c>
      <c r="H47" s="10">
        <v>99.0</v>
      </c>
      <c r="I47" s="10">
        <v>9.0</v>
      </c>
      <c r="J47" s="3">
        <f>COUNTIFS( historical_events_FACT!J:J, "&gt;16", historical_events_FACT!G:G, B47,historical_events_FACT!C:C, "7" )</f>
        <v>1</v>
      </c>
      <c r="K47" s="3">
        <f t="shared" si="2"/>
        <v>12.67</v>
      </c>
      <c r="L47" s="3">
        <f t="shared" si="22"/>
        <v>14.56</v>
      </c>
      <c r="M47" s="3">
        <f>SUMIFS( '2014Data'!I:I, '2014Data'!F:F, B47,'2014Data'!B:B, "7" )</f>
        <v>43.67</v>
      </c>
      <c r="N47" s="3">
        <f>COUNTIFS('2014Data'!F:F, B47,'2014Data'!B:B, "7" )</f>
        <v>3</v>
      </c>
      <c r="O47" s="3">
        <f t="shared" si="23"/>
        <v>13.43</v>
      </c>
      <c r="P47" s="3">
        <f>SUMIFS( historical_events_FACT!J:J, historical_events_FACT!G:G, B47,historical_events_FACT!B:B, "2015",historical_events_FACT!C:C, "7" )</f>
        <v>53.7</v>
      </c>
      <c r="Q47" s="3">
        <f>COUNTIFS(historical_events_FACT!G:G, B47,historical_events_FACT!B:B, "2015",historical_events_FACT!C:C, "7" )</f>
        <v>4</v>
      </c>
      <c r="R47" s="10">
        <v>8.35</v>
      </c>
      <c r="S47" s="3">
        <f>R47*T47</f>
        <v>16.7</v>
      </c>
      <c r="T47" s="10">
        <v>2.0</v>
      </c>
      <c r="U47" s="3">
        <f t="shared" si="6"/>
        <v>1</v>
      </c>
      <c r="V47" s="3">
        <f>MAXIFS( historical_events_FACT!J:J, historical_events_FACT!G:G, B47,historical_events_FACT!C:C, "7" )</f>
        <v>17.46</v>
      </c>
      <c r="W47" s="10">
        <v>32.87</v>
      </c>
      <c r="X47" s="10">
        <v>25.19</v>
      </c>
      <c r="Y47" s="51">
        <v>0.0</v>
      </c>
      <c r="Z47" s="3">
        <f t="array" ref="Z47">XLOOKUP(B47,'Event 7 Assist'!A:A, 'Event 7 Assist'!E:E)</f>
        <v>21.47</v>
      </c>
    </row>
    <row r="48">
      <c r="A48" s="78">
        <v>1.0</v>
      </c>
      <c r="B48" s="66" t="s">
        <v>115</v>
      </c>
      <c r="C48" s="10" t="s">
        <v>247</v>
      </c>
      <c r="D48" s="3">
        <f t="shared" si="1"/>
        <v>10</v>
      </c>
      <c r="E48" s="10">
        <v>1.0</v>
      </c>
      <c r="F48" s="10">
        <v>1.0</v>
      </c>
      <c r="G48" s="10">
        <v>25.0</v>
      </c>
      <c r="H48" s="10">
        <v>99.0</v>
      </c>
      <c r="I48" s="10">
        <v>25.0</v>
      </c>
      <c r="J48" s="3">
        <f>COUNTIFS( historical_events_FACT!J:J, "&gt;16", historical_events_FACT!G:G, B48,historical_events_FACT!C:C, "7" )</f>
        <v>0</v>
      </c>
      <c r="K48" s="3">
        <f t="shared" si="2"/>
        <v>12.66</v>
      </c>
      <c r="L48" s="3">
        <f t="shared" si="22"/>
        <v>12.34</v>
      </c>
      <c r="M48" s="3">
        <f>SUMIFS( '2014Data'!I:I, '2014Data'!F:F, B48,'2014Data'!B:B, "7" )</f>
        <v>24.67</v>
      </c>
      <c r="N48" s="3">
        <f>COUNTIFS('2014Data'!F:F, B48,'2014Data'!B:B, "7" )</f>
        <v>2</v>
      </c>
      <c r="O48" s="3">
        <f t="shared" si="23"/>
        <v>4.89</v>
      </c>
      <c r="P48" s="3">
        <f>SUMIFS( historical_events_FACT!J:J, historical_events_FACT!G:G, B48,historical_events_FACT!B:B, "2015",historical_events_FACT!C:C, "7" )</f>
        <v>9.77</v>
      </c>
      <c r="Q48" s="3">
        <f>COUNTIFS(historical_events_FACT!G:G, B48,historical_events_FACT!B:B, "2015",historical_events_FACT!C:C, "7" )</f>
        <v>2</v>
      </c>
      <c r="R48" s="3">
        <f>IF(T48=0,0,ROUND(S48/T48,2))</f>
        <v>15.37</v>
      </c>
      <c r="S48" s="10">
        <v>92.2</v>
      </c>
      <c r="T48" s="10">
        <v>6.0</v>
      </c>
      <c r="U48" s="3">
        <f t="shared" si="6"/>
        <v>1</v>
      </c>
      <c r="V48" s="3">
        <f>MAXIFS( historical_events_FACT!J:J, historical_events_FACT!G:G, B48,historical_events_FACT!C:C, "7" )</f>
        <v>12.5</v>
      </c>
      <c r="W48" s="10">
        <v>32.87</v>
      </c>
      <c r="X48" s="10">
        <v>25.19</v>
      </c>
      <c r="Y48" s="51">
        <v>0.0</v>
      </c>
      <c r="Z48" s="3">
        <f t="array" ref="Z48">XLOOKUP(B48,'Event 7 Assist'!A:A, 'Event 7 Assist'!E:E)</f>
        <v>16.73</v>
      </c>
    </row>
    <row r="49">
      <c r="A49" s="78"/>
    </row>
    <row r="50">
      <c r="A50" s="78"/>
    </row>
    <row r="51">
      <c r="A51" s="78"/>
      <c r="B51" s="62" t="s">
        <v>124</v>
      </c>
      <c r="L51" s="3">
        <f t="shared" ref="L51:L53" si="24">IF(M51=0,0,ROUND(M51/N51,2))</f>
        <v>9.92</v>
      </c>
      <c r="M51" s="3">
        <f>SUMIFS( '2014Data'!I:I, '2014Data'!F:F, B51,'2014Data'!B:B, "7" )</f>
        <v>29.77</v>
      </c>
      <c r="N51" s="3">
        <f>COUNTIFS('2014Data'!F:F, B51,'2014Data'!B:B, "7" )</f>
        <v>3</v>
      </c>
      <c r="O51" s="3">
        <f t="shared" ref="O51:O53" si="25">IF(P51=0,0,ROUND(P51/Q51,2))</f>
        <v>0</v>
      </c>
      <c r="P51" s="3">
        <f>SUMIFS( historical_events_FACT!J:J, historical_events_FACT!G:G, B51,historical_events_FACT!B:B, "2015",historical_events_FACT!C:C, "7" )</f>
        <v>0</v>
      </c>
      <c r="Q51" s="3">
        <f>COUNTIFS(historical_events_FACT!G:G, B51,historical_events_FACT!B:B, "2015",historical_events_FACT!C:C, "7" )</f>
        <v>0</v>
      </c>
      <c r="R51" s="3">
        <f t="shared" ref="R51:R53" si="26">IF(T51=0,0,ROUND(S51/T51,2))</f>
        <v>0</v>
      </c>
      <c r="S51" s="3">
        <f>SUMIFS( historical_events_FACT!J:J, historical_events_FACT!G:G, B51,historical_events_FACT!B:B, "2016",historical_events_FACT!C:C, "7" )</f>
        <v>0</v>
      </c>
      <c r="T51" s="3">
        <f>COUNTIFS(historical_events_FACT!G:G, B51,historical_events_FACT!B:B, "2016",historical_events_FACT!C:C, "7" )</f>
        <v>0</v>
      </c>
      <c r="U51" s="3">
        <f t="shared" ref="U51:U53" si="27">IF(H51=99,1,0)</f>
        <v>0</v>
      </c>
      <c r="V51" s="3">
        <f>MAXIFS( historical_events_FACT!J:J, historical_events_FACT!G:G, B51,historical_events_FACT!C:C, "7" )</f>
        <v>10.17</v>
      </c>
      <c r="X51" s="10">
        <v>83.98</v>
      </c>
      <c r="Y51" s="10">
        <v>7.0</v>
      </c>
    </row>
    <row r="52">
      <c r="A52" s="78"/>
      <c r="B52" s="62" t="s">
        <v>126</v>
      </c>
      <c r="L52" s="3">
        <f t="shared" si="24"/>
        <v>16.28</v>
      </c>
      <c r="M52" s="3">
        <f>SUMIFS( '2014Data'!I:I, '2014Data'!F:F, B52,'2014Data'!B:B, "7" )</f>
        <v>81.42</v>
      </c>
      <c r="N52" s="3">
        <f>COUNTIFS('2014Data'!F:F, B52,'2014Data'!B:B, "7" )</f>
        <v>5</v>
      </c>
      <c r="O52" s="3">
        <f t="shared" si="25"/>
        <v>0</v>
      </c>
      <c r="P52" s="3">
        <f>SUMIFS( historical_events_FACT!J:J, historical_events_FACT!G:G, B52,historical_events_FACT!B:B, "2015",historical_events_FACT!C:C, "7" )</f>
        <v>0</v>
      </c>
      <c r="Q52" s="3">
        <f>COUNTIFS(historical_events_FACT!G:G, B52,historical_events_FACT!B:B, "2015",historical_events_FACT!C:C, "7" )</f>
        <v>0</v>
      </c>
      <c r="R52" s="3">
        <f t="shared" si="26"/>
        <v>0</v>
      </c>
      <c r="S52" s="3">
        <f>SUMIFS( historical_events_FACT!J:J, historical_events_FACT!G:G, B52,historical_events_FACT!B:B, "2016",historical_events_FACT!C:C, "7" )</f>
        <v>0</v>
      </c>
      <c r="T52" s="3">
        <f>COUNTIFS(historical_events_FACT!G:G, B52,historical_events_FACT!B:B, "2016",historical_events_FACT!C:C, "7" )</f>
        <v>0</v>
      </c>
      <c r="U52" s="3">
        <f t="shared" si="27"/>
        <v>0</v>
      </c>
      <c r="V52" s="3">
        <f>MAXIFS( historical_events_FACT!J:J, historical_events_FACT!G:G, B52,historical_events_FACT!C:C, "7" )</f>
        <v>19.33</v>
      </c>
      <c r="X52" s="10">
        <v>71.0</v>
      </c>
      <c r="Y52" s="10">
        <v>5.0</v>
      </c>
    </row>
    <row r="53">
      <c r="A53" s="78"/>
      <c r="B53" s="62" t="s">
        <v>107</v>
      </c>
      <c r="L53" s="3">
        <f t="shared" si="24"/>
        <v>14.56</v>
      </c>
      <c r="M53" s="3">
        <f>SUMIFS( '2014Data'!I:I, '2014Data'!F:F, B53,'2014Data'!B:B, "7" )</f>
        <v>43.67</v>
      </c>
      <c r="N53" s="3">
        <f>COUNTIFS('2014Data'!F:F, B53,'2014Data'!B:B, "7" )</f>
        <v>3</v>
      </c>
      <c r="O53" s="3">
        <f t="shared" si="25"/>
        <v>13.43</v>
      </c>
      <c r="P53" s="3">
        <f>SUMIFS( historical_events_FACT!J:J, historical_events_FACT!G:G, B53,historical_events_FACT!B:B, "2015",historical_events_FACT!C:C, "7" )</f>
        <v>53.7</v>
      </c>
      <c r="Q53" s="3">
        <f>COUNTIFS(historical_events_FACT!G:G, B53,historical_events_FACT!B:B, "2015",historical_events_FACT!C:C, "7" )</f>
        <v>4</v>
      </c>
      <c r="R53" s="3">
        <f t="shared" si="26"/>
        <v>0</v>
      </c>
      <c r="S53" s="3">
        <f>SUMIFS( historical_events_FACT!J:J, historical_events_FACT!G:G, B53,historical_events_FACT!B:B, "2016",historical_events_FACT!C:C, "7" )</f>
        <v>0</v>
      </c>
      <c r="T53" s="3">
        <f>COUNTIFS(historical_events_FACT!G:G, B53,historical_events_FACT!B:B, "2016",historical_events_FACT!C:C, "7" )</f>
        <v>0</v>
      </c>
      <c r="U53" s="3">
        <f t="shared" si="27"/>
        <v>0</v>
      </c>
      <c r="V53" s="3">
        <f>MAXIFS( historical_events_FACT!J:J, historical_events_FACT!G:G, B53,historical_events_FACT!C:C, "7" )</f>
        <v>17.46</v>
      </c>
    </row>
    <row r="54">
      <c r="A54" s="78"/>
    </row>
    <row r="55">
      <c r="A55" s="75"/>
      <c r="L55" s="10">
        <v>14.08</v>
      </c>
      <c r="M55" s="3">
        <f>L55*N55</f>
        <v>56.32</v>
      </c>
      <c r="N55" s="10">
        <v>4.0</v>
      </c>
    </row>
    <row r="56">
      <c r="A56" s="74"/>
    </row>
    <row r="57">
      <c r="A57" s="74"/>
    </row>
    <row r="58">
      <c r="A58" s="74"/>
      <c r="L58" s="3">
        <f>IF(M58=0,0,ROUND(M58/N58,2))</f>
        <v>0</v>
      </c>
      <c r="M58" s="3">
        <f>SUMIFS( '2014Data'!I:I, '2014Data'!F:F, B58,'2014Data'!B:B, "7" )</f>
        <v>0</v>
      </c>
      <c r="N58" s="3">
        <f>COUNTIFS('2014Data'!F:F, B58,'2014Data'!B:B, "7" )</f>
        <v>0</v>
      </c>
      <c r="O58" s="3">
        <f>IF(P58=0,0,ROUND(P58/Q58,2))</f>
        <v>0</v>
      </c>
      <c r="P58" s="3">
        <f>SUMIFS( historical_events_FACT!J:J, historical_events_FACT!G:G, B58,historical_events_FACT!B:B, "2015",historical_events_FACT!C:C, "7" )</f>
        <v>0</v>
      </c>
      <c r="Q58" s="3">
        <f>COUNTIFS(historical_events_FACT!G:G, B58,historical_events_FACT!B:B, "2015",historical_events_FACT!C:C, "7" )</f>
        <v>0</v>
      </c>
      <c r="R58" s="3">
        <f>IF(T58=0,0,ROUND(S58/T58,2))</f>
        <v>0</v>
      </c>
      <c r="S58" s="3">
        <f>SUMIFS( historical_events_FACT!J:J, historical_events_FACT!G:G, B58,historical_events_FACT!B:B, "2016",historical_events_FACT!C:C, "7" )</f>
        <v>0</v>
      </c>
      <c r="T58" s="3">
        <f>COUNTIFS(historical_events_FACT!G:G, B58,historical_events_FACT!B:B, "2016",historical_events_FACT!C:C, "7" )</f>
        <v>0</v>
      </c>
      <c r="U58" s="3">
        <f>IF(H58=99,1,0)</f>
        <v>0</v>
      </c>
      <c r="V58" s="3">
        <f>MAXIFS( historical_events_FACT!J:J, historical_events_FACT!G:G, B58,historical_events_FACT!C:C, "7" )</f>
        <v>0</v>
      </c>
    </row>
    <row r="59">
      <c r="A59" s="74"/>
    </row>
    <row r="60">
      <c r="A60" s="74"/>
      <c r="O60" s="10">
        <v>11.95</v>
      </c>
      <c r="P60" s="3">
        <f>O60*Q60</f>
        <v>47.8</v>
      </c>
      <c r="Q60" s="10">
        <v>4.0</v>
      </c>
      <c r="R60" s="10">
        <v>8.35</v>
      </c>
      <c r="S60" s="3">
        <f>R60*T60</f>
        <v>16.7</v>
      </c>
      <c r="T60" s="10">
        <v>2.0</v>
      </c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28</v>
      </c>
      <c r="B1" s="75">
        <f>19200+5200+1750+5200+6500</f>
        <v>37850</v>
      </c>
      <c r="C1" s="78">
        <v>1.0</v>
      </c>
      <c r="D1" s="75">
        <v>0.0</v>
      </c>
      <c r="E1" s="103">
        <v>76.82</v>
      </c>
    </row>
    <row r="2">
      <c r="A2" s="66" t="s">
        <v>26</v>
      </c>
      <c r="B2" s="75">
        <f>23000+1750+1750+5200+5200</f>
        <v>36900</v>
      </c>
      <c r="C2" s="78">
        <v>1.0</v>
      </c>
      <c r="D2" s="75">
        <v>0.0</v>
      </c>
      <c r="E2" s="103">
        <v>62.46</v>
      </c>
    </row>
    <row r="3">
      <c r="A3" s="66" t="s">
        <v>34</v>
      </c>
      <c r="B3" s="75">
        <f>10250+6500+10000+5200+4000</f>
        <v>35950</v>
      </c>
      <c r="C3" s="78">
        <v>1.0</v>
      </c>
      <c r="D3" s="75">
        <v>0.0</v>
      </c>
      <c r="E3" s="103">
        <v>43.4</v>
      </c>
    </row>
    <row r="4">
      <c r="A4" s="66" t="s">
        <v>57</v>
      </c>
      <c r="B4" s="75">
        <f>19200++5200+1750+4000+5200</f>
        <v>35350</v>
      </c>
      <c r="C4" s="78">
        <v>1.0</v>
      </c>
      <c r="D4" s="75">
        <v>0.0</v>
      </c>
      <c r="E4" s="103">
        <v>66.11</v>
      </c>
    </row>
    <row r="5">
      <c r="A5" s="66" t="s">
        <v>31</v>
      </c>
      <c r="B5" s="75">
        <f>7500+4000+5200+6500+10000</f>
        <v>33200</v>
      </c>
      <c r="C5" s="78">
        <v>1.0</v>
      </c>
      <c r="D5" s="75">
        <v>0.0</v>
      </c>
      <c r="E5" s="103">
        <v>96.48</v>
      </c>
    </row>
    <row r="6">
      <c r="A6" s="66" t="s">
        <v>42</v>
      </c>
      <c r="B6" s="75">
        <f>14400+10000+1750+1750+1750</f>
        <v>29650</v>
      </c>
      <c r="C6" s="78">
        <v>1.0</v>
      </c>
      <c r="D6" s="75">
        <v>0.0</v>
      </c>
      <c r="E6" s="103">
        <v>18.34</v>
      </c>
    </row>
    <row r="7">
      <c r="A7" s="66" t="s">
        <v>30</v>
      </c>
      <c r="B7" s="75">
        <f>8750+4000+1750+6500+8000</f>
        <v>29000</v>
      </c>
      <c r="C7" s="78">
        <v>1.0</v>
      </c>
      <c r="D7" s="75">
        <v>0.0</v>
      </c>
      <c r="E7" s="104">
        <v>100.29</v>
      </c>
    </row>
    <row r="8">
      <c r="A8" s="66" t="s">
        <v>39</v>
      </c>
      <c r="B8" s="75">
        <f>10950+5200+6500+1750+1750</f>
        <v>26150</v>
      </c>
      <c r="C8" s="78">
        <v>1.0</v>
      </c>
      <c r="D8" s="78">
        <v>0.0</v>
      </c>
      <c r="E8" s="103">
        <v>24.4</v>
      </c>
    </row>
    <row r="9">
      <c r="A9" s="66" t="s">
        <v>33</v>
      </c>
      <c r="B9" s="75">
        <f>12200+1750+500+10000+500</f>
        <v>24950</v>
      </c>
      <c r="C9" s="78">
        <v>1.0</v>
      </c>
      <c r="D9" s="78">
        <v>0.0</v>
      </c>
      <c r="E9" s="103">
        <v>14.89</v>
      </c>
    </row>
    <row r="10">
      <c r="A10" s="66" t="s">
        <v>61</v>
      </c>
      <c r="B10" s="75">
        <f>8700+1750+8000+1750+4000</f>
        <v>24200</v>
      </c>
      <c r="C10" s="78">
        <v>1.0</v>
      </c>
      <c r="D10" s="75">
        <v>0.0</v>
      </c>
      <c r="E10" s="104">
        <v>52.49</v>
      </c>
    </row>
    <row r="11">
      <c r="A11" s="66" t="s">
        <v>32</v>
      </c>
      <c r="B11" s="75">
        <f>13750+500+1750+500+6500</f>
        <v>23000</v>
      </c>
      <c r="C11" s="78">
        <v>1.0</v>
      </c>
      <c r="D11" s="78">
        <v>0.0</v>
      </c>
      <c r="E11" s="104">
        <v>67.84</v>
      </c>
    </row>
    <row r="12">
      <c r="A12" s="66" t="s">
        <v>41</v>
      </c>
      <c r="B12" s="75">
        <f>7450+5200+1750+5200+1750</f>
        <v>21350</v>
      </c>
      <c r="C12" s="78">
        <v>1.0</v>
      </c>
      <c r="D12" s="78">
        <v>1.0</v>
      </c>
      <c r="E12" s="104">
        <v>42.33</v>
      </c>
    </row>
    <row r="13">
      <c r="A13" s="66" t="s">
        <v>27</v>
      </c>
      <c r="B13" s="75">
        <f>7450+500+6500+4000+1750</f>
        <v>20200</v>
      </c>
      <c r="C13" s="78">
        <v>1.0</v>
      </c>
      <c r="D13" s="75">
        <v>0.0</v>
      </c>
      <c r="E13" s="104">
        <v>38.54</v>
      </c>
    </row>
    <row r="14">
      <c r="A14" s="66" t="s">
        <v>64</v>
      </c>
      <c r="B14" s="75">
        <f>7450+1750+1750+8000+500</f>
        <v>19450</v>
      </c>
      <c r="C14" s="78">
        <v>1.0</v>
      </c>
      <c r="D14" s="75">
        <v>0.0</v>
      </c>
      <c r="E14" s="104">
        <v>18.49</v>
      </c>
    </row>
    <row r="15">
      <c r="A15" s="66" t="s">
        <v>38</v>
      </c>
      <c r="B15" s="75">
        <f>9750+1750+4000+500+1750</f>
        <v>17750</v>
      </c>
      <c r="C15" s="78">
        <v>1.0</v>
      </c>
      <c r="D15" s="78">
        <v>1.0</v>
      </c>
      <c r="E15" s="104">
        <v>34.41</v>
      </c>
    </row>
    <row r="16">
      <c r="A16" s="66" t="s">
        <v>65</v>
      </c>
      <c r="B16" s="75">
        <f>2750+500+5200+4000+5200</f>
        <v>17650</v>
      </c>
      <c r="C16" s="78">
        <v>1.0</v>
      </c>
      <c r="D16" s="75">
        <v>0.0</v>
      </c>
      <c r="E16" s="104">
        <v>49.99</v>
      </c>
    </row>
    <row r="17">
      <c r="A17" s="66" t="s">
        <v>52</v>
      </c>
      <c r="B17" s="75">
        <f>+500+8500+500+4000+4000</f>
        <v>17500</v>
      </c>
      <c r="C17" s="78">
        <v>1.0</v>
      </c>
      <c r="D17" s="75">
        <v>0.0</v>
      </c>
      <c r="E17" s="104">
        <v>58.03</v>
      </c>
    </row>
    <row r="18">
      <c r="A18" s="66" t="s">
        <v>47</v>
      </c>
      <c r="B18" s="75">
        <f>4000+8000+500+500+4000</f>
        <v>17000</v>
      </c>
      <c r="C18" s="78">
        <v>1.0</v>
      </c>
      <c r="D18" s="75">
        <v>0.0</v>
      </c>
      <c r="E18" s="104">
        <v>53.06</v>
      </c>
    </row>
    <row r="19">
      <c r="A19" s="66" t="s">
        <v>54</v>
      </c>
      <c r="B19" s="75">
        <f>5000+4000+1750+500+5200</f>
        <v>16450</v>
      </c>
      <c r="C19" s="78">
        <v>1.0</v>
      </c>
      <c r="D19" s="75">
        <v>0.0</v>
      </c>
      <c r="E19" s="104">
        <v>69.57</v>
      </c>
    </row>
    <row r="20">
      <c r="A20" s="66" t="s">
        <v>40</v>
      </c>
      <c r="B20" s="75">
        <f>11500+1750+500+1750+500</f>
        <v>16000</v>
      </c>
      <c r="C20" s="78">
        <v>1.0</v>
      </c>
      <c r="D20" s="78">
        <v>1.0</v>
      </c>
      <c r="E20" s="104">
        <v>12.1</v>
      </c>
    </row>
    <row r="21">
      <c r="A21" s="66" t="s">
        <v>50</v>
      </c>
      <c r="B21" s="75">
        <f>7500+1750+1750+1750+1750</f>
        <v>14500</v>
      </c>
      <c r="C21" s="78">
        <v>1.0</v>
      </c>
      <c r="D21" s="75">
        <v>0.0</v>
      </c>
      <c r="E21" s="104">
        <v>39.54</v>
      </c>
    </row>
    <row r="22">
      <c r="A22" s="66" t="s">
        <v>59</v>
      </c>
      <c r="B22" s="75">
        <f>4000+1750+5200+1750+1750</f>
        <v>14450</v>
      </c>
      <c r="C22" s="78">
        <v>1.0</v>
      </c>
      <c r="D22" s="78">
        <v>0.0</v>
      </c>
      <c r="E22" s="104">
        <v>27.36</v>
      </c>
    </row>
    <row r="23">
      <c r="A23" s="66" t="s">
        <v>17</v>
      </c>
      <c r="B23" s="75">
        <f>6200+500+4000+1750+1750</f>
        <v>14200</v>
      </c>
      <c r="C23" s="78">
        <v>1.0</v>
      </c>
      <c r="D23" s="75">
        <v>0.0</v>
      </c>
      <c r="E23" s="104">
        <v>29.04</v>
      </c>
    </row>
    <row r="24">
      <c r="A24" s="82" t="s">
        <v>37</v>
      </c>
      <c r="B24" s="83">
        <f>8700+500+1750+1750+500</f>
        <v>13200</v>
      </c>
      <c r="C24" s="91">
        <v>0.0</v>
      </c>
      <c r="D24" s="91">
        <v>1.0</v>
      </c>
      <c r="E24" s="93"/>
    </row>
    <row r="25">
      <c r="A25" s="66" t="s">
        <v>69</v>
      </c>
      <c r="B25" s="75">
        <f>8750+500+500+1750+500</f>
        <v>12000</v>
      </c>
      <c r="C25" s="78">
        <v>1.0</v>
      </c>
      <c r="D25" s="75">
        <v>0.0</v>
      </c>
      <c r="E25" s="104">
        <v>18.96</v>
      </c>
    </row>
    <row r="26">
      <c r="A26" s="66" t="s">
        <v>67</v>
      </c>
      <c r="B26" s="75">
        <f>4000+1750+4000+500+1750</f>
        <v>12000</v>
      </c>
      <c r="C26" s="78">
        <v>1.0</v>
      </c>
      <c r="D26" s="75">
        <v>0.0</v>
      </c>
      <c r="E26" s="105">
        <v>25.6</v>
      </c>
    </row>
    <row r="27">
      <c r="A27" s="66" t="s">
        <v>68</v>
      </c>
      <c r="B27" s="75">
        <f>7500+500+500+1750+500</f>
        <v>10750</v>
      </c>
      <c r="C27" s="78">
        <v>1.0</v>
      </c>
      <c r="D27" s="75">
        <v>0.0</v>
      </c>
      <c r="E27" s="105">
        <v>18.94</v>
      </c>
    </row>
    <row r="28">
      <c r="A28" s="66" t="s">
        <v>53</v>
      </c>
      <c r="B28" s="75">
        <f>2750+4000+500+500+1750</f>
        <v>9500</v>
      </c>
      <c r="C28" s="78">
        <v>1.0</v>
      </c>
      <c r="D28" s="75">
        <v>0.0</v>
      </c>
      <c r="E28" s="105">
        <v>23.02</v>
      </c>
    </row>
    <row r="29">
      <c r="A29" s="51" t="s">
        <v>66</v>
      </c>
      <c r="B29" s="75">
        <f>1500+500+5200+1750+500</f>
        <v>9450</v>
      </c>
      <c r="C29" s="78">
        <v>1.0</v>
      </c>
      <c r="D29" s="75">
        <v>0.0</v>
      </c>
      <c r="E29" s="105">
        <v>28.54</v>
      </c>
    </row>
    <row r="30">
      <c r="A30" s="66" t="s">
        <v>36</v>
      </c>
      <c r="B30" s="75">
        <f>2750+500+4000+500+500</f>
        <v>8250</v>
      </c>
      <c r="C30" s="78">
        <v>1.0</v>
      </c>
      <c r="D30" s="75">
        <v>0.0</v>
      </c>
      <c r="E30" s="105">
        <v>15.7</v>
      </c>
    </row>
    <row r="31">
      <c r="A31" s="66" t="s">
        <v>56</v>
      </c>
      <c r="B31" s="75">
        <f>4000+1750+500+1750</f>
        <v>8000</v>
      </c>
      <c r="C31" s="78">
        <v>1.0</v>
      </c>
      <c r="D31" s="75">
        <v>0.0</v>
      </c>
      <c r="E31" s="105">
        <v>32.24</v>
      </c>
    </row>
    <row r="32">
      <c r="A32" s="66" t="s">
        <v>55</v>
      </c>
      <c r="B32" s="75">
        <f>500+4000+1750+500+500</f>
        <v>7250</v>
      </c>
      <c r="C32" s="78">
        <v>1.0</v>
      </c>
      <c r="D32" s="75">
        <v>0.0</v>
      </c>
      <c r="E32" s="105">
        <v>7.94</v>
      </c>
    </row>
    <row r="33">
      <c r="A33" s="66" t="s">
        <v>35</v>
      </c>
      <c r="B33" s="75">
        <f>2750+1750+500+1750+500</f>
        <v>7250</v>
      </c>
      <c r="C33" s="78">
        <v>1.0</v>
      </c>
      <c r="D33" s="75">
        <v>0.0</v>
      </c>
      <c r="E33" s="105">
        <v>23.07</v>
      </c>
    </row>
    <row r="34">
      <c r="A34" s="82" t="s">
        <v>169</v>
      </c>
      <c r="B34" s="91">
        <f>6500+500</f>
        <v>7000</v>
      </c>
      <c r="C34" s="91">
        <v>0.0</v>
      </c>
      <c r="D34" s="83">
        <v>0.0</v>
      </c>
      <c r="E34" s="93"/>
    </row>
    <row r="35">
      <c r="A35" s="66" t="s">
        <v>45</v>
      </c>
      <c r="B35" s="75">
        <f>1500+1750+500+500+500</f>
        <v>4750</v>
      </c>
      <c r="C35" s="78">
        <v>1.0</v>
      </c>
      <c r="D35" s="75">
        <v>0.0</v>
      </c>
      <c r="E35" s="105">
        <v>15.73</v>
      </c>
    </row>
    <row r="36">
      <c r="A36" s="66" t="s">
        <v>63</v>
      </c>
      <c r="B36" s="75">
        <f>1500+500+500+500+1750</f>
        <v>4750</v>
      </c>
      <c r="C36" s="78">
        <v>1.0</v>
      </c>
      <c r="D36" s="75">
        <v>0.0</v>
      </c>
      <c r="E36" s="105">
        <v>25.9</v>
      </c>
    </row>
    <row r="37">
      <c r="A37" s="82" t="s">
        <v>142</v>
      </c>
      <c r="B37" s="83">
        <f>1750+500</f>
        <v>2250</v>
      </c>
      <c r="C37" s="78">
        <v>0.0</v>
      </c>
      <c r="D37" s="83">
        <v>0.0</v>
      </c>
      <c r="E37" s="93"/>
    </row>
    <row r="38">
      <c r="A38" s="93" t="s">
        <v>262</v>
      </c>
      <c r="B38" s="83">
        <v>1750.0</v>
      </c>
      <c r="C38" s="78">
        <v>0.0</v>
      </c>
      <c r="D38" s="83">
        <v>0.0</v>
      </c>
      <c r="E38" s="93"/>
    </row>
    <row r="39">
      <c r="A39" s="93" t="s">
        <v>46</v>
      </c>
      <c r="B39" s="83">
        <v>1750.0</v>
      </c>
      <c r="C39" s="78">
        <v>0.0</v>
      </c>
      <c r="D39" s="83">
        <v>0.0</v>
      </c>
      <c r="E39" s="93"/>
    </row>
    <row r="40">
      <c r="A40" s="82" t="s">
        <v>168</v>
      </c>
      <c r="B40" s="91">
        <f>0+500+500</f>
        <v>1000</v>
      </c>
      <c r="C40" s="78">
        <v>0.0</v>
      </c>
      <c r="D40" s="83">
        <v>0.0</v>
      </c>
      <c r="E40" s="93"/>
    </row>
    <row r="41">
      <c r="A41" s="82" t="s">
        <v>144</v>
      </c>
      <c r="B41" s="83">
        <v>500.0</v>
      </c>
      <c r="C41" s="78">
        <v>0.0</v>
      </c>
      <c r="D41" s="91">
        <v>0.0</v>
      </c>
      <c r="E41" s="93"/>
    </row>
    <row r="42">
      <c r="A42" s="82" t="s">
        <v>143</v>
      </c>
      <c r="B42" s="83">
        <v>500.0</v>
      </c>
      <c r="C42" s="78">
        <v>0.0</v>
      </c>
      <c r="D42" s="91">
        <v>0.0</v>
      </c>
      <c r="E42" s="93"/>
    </row>
    <row r="43">
      <c r="A43" s="82" t="s">
        <v>82</v>
      </c>
      <c r="B43" s="91">
        <v>500.0</v>
      </c>
      <c r="C43" s="78">
        <v>0.0</v>
      </c>
      <c r="D43" s="91">
        <v>0.0</v>
      </c>
      <c r="E43" s="93"/>
    </row>
    <row r="44">
      <c r="A44" s="82" t="s">
        <v>110</v>
      </c>
      <c r="B44" s="91">
        <v>500.0</v>
      </c>
      <c r="C44" s="91">
        <v>0.0</v>
      </c>
      <c r="D44" s="91">
        <v>0.0</v>
      </c>
      <c r="E44" s="93"/>
    </row>
    <row r="45">
      <c r="A45" s="82" t="s">
        <v>286</v>
      </c>
      <c r="B45" s="91">
        <v>500.0</v>
      </c>
      <c r="C45" s="91">
        <v>0.0</v>
      </c>
      <c r="D45" s="91">
        <v>0.0</v>
      </c>
      <c r="E45" s="93"/>
    </row>
    <row r="46">
      <c r="A46" s="66" t="s">
        <v>107</v>
      </c>
      <c r="B46" s="78">
        <v>500.0</v>
      </c>
      <c r="C46" s="78">
        <v>1.0</v>
      </c>
      <c r="D46" s="74"/>
      <c r="E46" s="105">
        <v>21.47</v>
      </c>
    </row>
    <row r="47">
      <c r="A47" s="66" t="s">
        <v>115</v>
      </c>
      <c r="B47" s="78">
        <v>500.0</v>
      </c>
      <c r="C47" s="78">
        <v>1.0</v>
      </c>
      <c r="D47" s="74"/>
      <c r="E47" s="105">
        <v>16.73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6" t="s">
        <v>252</v>
      </c>
      <c r="B1" s="69" t="s">
        <v>6</v>
      </c>
      <c r="C1" s="77" t="s">
        <v>271</v>
      </c>
      <c r="D1" s="69" t="s">
        <v>293</v>
      </c>
      <c r="E1" s="69" t="s">
        <v>203</v>
      </c>
      <c r="F1" s="69" t="s">
        <v>283</v>
      </c>
      <c r="G1" s="32" t="s">
        <v>208</v>
      </c>
      <c r="H1" s="69" t="s">
        <v>207</v>
      </c>
      <c r="I1" s="69" t="s">
        <v>206</v>
      </c>
      <c r="J1" s="69" t="s">
        <v>294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32" t="s">
        <v>236</v>
      </c>
      <c r="V1" s="70" t="s">
        <v>239</v>
      </c>
      <c r="W1" s="69" t="s">
        <v>273</v>
      </c>
      <c r="X1" s="70" t="s">
        <v>240</v>
      </c>
      <c r="Y1" s="77" t="s">
        <v>243</v>
      </c>
    </row>
    <row r="2">
      <c r="A2" s="78">
        <v>1.0</v>
      </c>
      <c r="B2" s="66" t="s">
        <v>28</v>
      </c>
      <c r="C2" s="3" t="str">
        <f t="array" ref="C2">XLOOKUP(B2, 'Surfer Stats - Event 4'!B:B, 'Surfer Stats - Event 4'!D:D)</f>
        <v>Regular</v>
      </c>
      <c r="D2" s="3">
        <f t="shared" ref="D2:D50" si="1">SUM(N2,Q2,T2)</f>
        <v>17</v>
      </c>
      <c r="E2" s="10">
        <v>0.0</v>
      </c>
      <c r="F2" s="10">
        <v>0.0</v>
      </c>
      <c r="G2" s="10">
        <v>1.0</v>
      </c>
      <c r="H2" s="10">
        <v>99.0</v>
      </c>
      <c r="I2" s="10">
        <v>1.0</v>
      </c>
      <c r="J2" s="3">
        <f>COUNTIFS( historical_events_FACT!J:J, "&gt;16", historical_events_FACT!G:G, B2,historical_events_FACT!C:C, "8" )</f>
        <v>4</v>
      </c>
      <c r="K2" s="3">
        <f t="shared" ref="K2:K50" si="2">IF(D2=0,0, ROUND(SUM(P2,S2,M2)/D2,2))</f>
        <v>14.83</v>
      </c>
      <c r="L2" s="3">
        <f t="shared" ref="L2:L50" si="3">IF(M2=0,0,ROUND(M2/N2,2))</f>
        <v>14.78</v>
      </c>
      <c r="M2" s="3">
        <f>SUMIFS( '2014Data'!I:I, '2014Data'!F:F, B2,'2014Data'!B:B, "8" )</f>
        <v>103.47</v>
      </c>
      <c r="N2" s="3">
        <f>COUNTIFS('2014Data'!F:F, B2,'2014Data'!B:B, "8" )</f>
        <v>7</v>
      </c>
      <c r="O2" s="10">
        <v>14.36</v>
      </c>
      <c r="P2" s="3">
        <f>O2*Q2</f>
        <v>57.44</v>
      </c>
      <c r="Q2" s="10">
        <v>4.0</v>
      </c>
      <c r="R2" s="3">
        <f t="shared" ref="R2:R4" si="4">IF(T2=0,0,ROUND(S2/T2,2))</f>
        <v>15.2</v>
      </c>
      <c r="S2" s="3">
        <f>SUMIFS( historical_events_FACT!J:J, historical_events_FACT!G:G, B2,historical_events_FACT!B:B, "2016",historical_events_FACT!C:C, "8" )</f>
        <v>91.17</v>
      </c>
      <c r="T2" s="3">
        <f>COUNTIFS(historical_events_FACT!G:G, B2,historical_events_FACT!B:B, "2016",historical_events_FACT!C:C, "8" )</f>
        <v>6</v>
      </c>
      <c r="U2" s="3">
        <f>MAXIFS( historical_events_FACT!J:J, historical_events_FACT!G:G, B2,historical_events_FACT!C:C, "8" )</f>
        <v>18.5</v>
      </c>
      <c r="V2" s="97">
        <f t="array" ref="V2">ROUND(AVERAGEIF({ IFERROR(XLOOKUP(B2, 'Surfer Stats - Event 7'!B:B, 'Surfer Stats - Event 7'!Z:Z), ""), IFERROR(XLOOKUP(B2, 'Surfer Stats - Event 5'!B:B, 'Surfer Stats - Event 5'!AA:AA), ""), IFERROR(XLOOKUP(B2, 'Surfer Stats - Event 6'!B:B, 'Surfer Stats - Event 6'!Y:Y), "") }, "&lt;&gt;"),2)</f>
        <v>65.39</v>
      </c>
      <c r="W2" s="3">
        <f t="array" ref="W2">XLOOKUP(B2, 'Surfer Stats - Event 7'!B:B, 'Surfer Stats - Event 7'!Z:Z)</f>
        <v>76.82</v>
      </c>
      <c r="X2" s="75">
        <f>19200+5200+1750+5200+6500</f>
        <v>37850</v>
      </c>
      <c r="Y2" s="3">
        <f t="array" ref="Y2">XLOOKUP(B2,'Event 8 Assist'!A:A, 'Event 8 Assist'!E:E)</f>
        <v>103.79</v>
      </c>
    </row>
    <row r="3">
      <c r="A3" s="78">
        <v>1.0</v>
      </c>
      <c r="B3" s="66" t="s">
        <v>26</v>
      </c>
      <c r="C3" s="3" t="str">
        <f t="array" ref="C3">XLOOKUP(B3, 'Surfer Stats - Event 4'!B:B, 'Surfer Stats - Event 4'!D:D)</f>
        <v>Regular</v>
      </c>
      <c r="D3" s="3">
        <f t="shared" si="1"/>
        <v>10</v>
      </c>
      <c r="E3" s="10">
        <v>0.0</v>
      </c>
      <c r="F3" s="10">
        <v>0.0</v>
      </c>
      <c r="G3" s="10">
        <v>2.0</v>
      </c>
      <c r="H3" s="10">
        <v>25.0</v>
      </c>
      <c r="I3" s="10">
        <v>13.0</v>
      </c>
      <c r="J3" s="3">
        <f>COUNTIFS( historical_events_FACT!J:J, "&gt;16", historical_events_FACT!G:G, B3,historical_events_FACT!C:C, "8" )</f>
        <v>3</v>
      </c>
      <c r="K3" s="3">
        <f t="shared" si="2"/>
        <v>14.49</v>
      </c>
      <c r="L3" s="3">
        <f t="shared" si="3"/>
        <v>16.65</v>
      </c>
      <c r="M3" s="3">
        <f>SUMIFS( '2014Data'!I:I, '2014Data'!F:F, B3,'2014Data'!B:B, "8" )</f>
        <v>99.91</v>
      </c>
      <c r="N3" s="3">
        <f>COUNTIFS('2014Data'!F:F, B3,'2014Data'!B:B, "8" )</f>
        <v>6</v>
      </c>
      <c r="O3" s="3">
        <f t="shared" ref="O3:O29" si="5">IF(P3=0,0,ROUND(P3/Q3,2))</f>
        <v>11.05</v>
      </c>
      <c r="P3" s="3">
        <f>SUMIFS( historical_events_FACT!J:J, historical_events_FACT!G:G, B3,historical_events_FACT!B:B, "2015",historical_events_FACT!C:C, "8" )</f>
        <v>22.1</v>
      </c>
      <c r="Q3" s="3">
        <f>COUNTIFS(historical_events_FACT!G:G, B3,historical_events_FACT!B:B, "2015",historical_events_FACT!C:C, "8" )</f>
        <v>2</v>
      </c>
      <c r="R3" s="3">
        <f t="shared" si="4"/>
        <v>11.46</v>
      </c>
      <c r="S3" s="3">
        <f>SUMIFS( historical_events_FACT!J:J, historical_events_FACT!G:G, B3,historical_events_FACT!B:B, "2016",historical_events_FACT!C:C, "8" )</f>
        <v>22.91</v>
      </c>
      <c r="T3" s="3">
        <f>COUNTIFS(historical_events_FACT!G:G, B3,historical_events_FACT!B:B, "2016",historical_events_FACT!C:C, "8" )</f>
        <v>2</v>
      </c>
      <c r="U3" s="3">
        <f>MAXIFS( historical_events_FACT!J:J, historical_events_FACT!G:G, B3,historical_events_FACT!C:C, "8" )</f>
        <v>19.73</v>
      </c>
      <c r="V3" s="97">
        <f t="array" ref="V3">ROUND(AVERAGEIF({ IFERROR(XLOOKUP(B3, 'Surfer Stats - Event 7'!B:B, 'Surfer Stats - Event 7'!Z:Z), ""), IFERROR(XLOOKUP(B3, 'Surfer Stats - Event 5'!B:B, 'Surfer Stats - Event 5'!AA:AA), ""), IFERROR(XLOOKUP(B3, 'Surfer Stats - Event 6'!B:B, 'Surfer Stats - Event 6'!Y:Y), "") }, "&lt;&gt;"),2)</f>
        <v>60.2</v>
      </c>
      <c r="W3" s="3">
        <f t="array" ref="W3">XLOOKUP(B3, 'Surfer Stats - Event 7'!B:B, 'Surfer Stats - Event 7'!Z:Z)</f>
        <v>62.46</v>
      </c>
      <c r="X3" s="75">
        <f>23000+1750+1750+5200+5200</f>
        <v>36900</v>
      </c>
      <c r="Y3" s="3">
        <f t="array" ref="Y3">XLOOKUP(B3,'Event 8 Assist'!A:A, 'Event 8 Assist'!E:E)</f>
        <v>96.27</v>
      </c>
    </row>
    <row r="4">
      <c r="A4" s="78">
        <v>1.0</v>
      </c>
      <c r="B4" s="66" t="s">
        <v>34</v>
      </c>
      <c r="C4" s="3" t="str">
        <f t="array" ref="C4">XLOOKUP(B4, 'Surfer Stats - Event 4'!B:B, 'Surfer Stats - Event 4'!D:D)</f>
        <v>Goofy</v>
      </c>
      <c r="D4" s="3">
        <f t="shared" si="1"/>
        <v>7</v>
      </c>
      <c r="E4" s="10">
        <v>0.0</v>
      </c>
      <c r="F4" s="10">
        <v>0.0</v>
      </c>
      <c r="G4" s="10">
        <v>25.0</v>
      </c>
      <c r="H4" s="10">
        <v>13.0</v>
      </c>
      <c r="I4" s="10">
        <v>25.0</v>
      </c>
      <c r="J4" s="3">
        <f>COUNTIFS( historical_events_FACT!J:J, "&gt;16", historical_events_FACT!G:G, B4,historical_events_FACT!C:C, "8" )</f>
        <v>0</v>
      </c>
      <c r="K4" s="3">
        <f t="shared" si="2"/>
        <v>12.36</v>
      </c>
      <c r="L4" s="3">
        <f t="shared" si="3"/>
        <v>9.48</v>
      </c>
      <c r="M4" s="3">
        <f>SUMIFS( '2014Data'!I:I, '2014Data'!F:F, B4,'2014Data'!B:B, "8" )</f>
        <v>18.96</v>
      </c>
      <c r="N4" s="3">
        <f>COUNTIFS('2014Data'!F:F, B4,'2014Data'!B:B, "8" )</f>
        <v>2</v>
      </c>
      <c r="O4" s="3">
        <f t="shared" si="5"/>
        <v>14.64</v>
      </c>
      <c r="P4" s="3">
        <f>SUMIFS( historical_events_FACT!J:J, historical_events_FACT!G:G, B4,historical_events_FACT!B:B, "2015",historical_events_FACT!C:C, "8" )</f>
        <v>43.91</v>
      </c>
      <c r="Q4" s="3">
        <f>COUNTIFS(historical_events_FACT!G:G, B4,historical_events_FACT!B:B, "2015",historical_events_FACT!C:C, "8" )</f>
        <v>3</v>
      </c>
      <c r="R4" s="3">
        <f t="shared" si="4"/>
        <v>11.83</v>
      </c>
      <c r="S4" s="3">
        <f>SUMIFS( historical_events_FACT!J:J, historical_events_FACT!G:G, B4,historical_events_FACT!B:B, "2016",historical_events_FACT!C:C, "8" )</f>
        <v>23.66</v>
      </c>
      <c r="T4" s="3">
        <f>COUNTIFS(historical_events_FACT!G:G, B4,historical_events_FACT!B:B, "2016",historical_events_FACT!C:C, "8" )</f>
        <v>2</v>
      </c>
      <c r="U4" s="3">
        <f>MAXIFS( historical_events_FACT!J:J, historical_events_FACT!G:G, B4,historical_events_FACT!C:C, "8" )</f>
        <v>15.6</v>
      </c>
      <c r="V4" s="97">
        <f t="array" ref="V4">ROUND(AVERAGEIF({ IFERROR(XLOOKUP(B4, 'Surfer Stats - Event 7'!B:B, 'Surfer Stats - Event 7'!Z:Z), ""), IFERROR(XLOOKUP(B4, 'Surfer Stats - Event 5'!B:B, 'Surfer Stats - Event 5'!AA:AA), ""), IFERROR(XLOOKUP(B4, 'Surfer Stats - Event 6'!B:B, 'Surfer Stats - Event 6'!Y:Y), "") }, "&lt;&gt;"),2)</f>
        <v>69.82</v>
      </c>
      <c r="W4" s="3">
        <f t="array" ref="W4">XLOOKUP(B4, 'Surfer Stats - Event 7'!B:B, 'Surfer Stats - Event 7'!Z:Z)</f>
        <v>43.4</v>
      </c>
      <c r="X4" s="75">
        <f>10250+6500+10000+5200+4000</f>
        <v>35950</v>
      </c>
      <c r="Y4" s="3">
        <f t="array" ref="Y4">XLOOKUP(B4,'Event 8 Assist'!A:A, 'Event 8 Assist'!E:E)</f>
        <v>23.16</v>
      </c>
    </row>
    <row r="5">
      <c r="A5" s="78">
        <v>1.0</v>
      </c>
      <c r="B5" s="66" t="s">
        <v>57</v>
      </c>
      <c r="C5" s="3" t="str">
        <f t="array" ref="C5">XLOOKUP(B5, 'Surfer Stats - Event 4'!B:B, 'Surfer Stats - Event 4'!D:D)</f>
        <v>Goofy</v>
      </c>
      <c r="D5" s="3">
        <f t="shared" si="1"/>
        <v>11</v>
      </c>
      <c r="E5" s="10">
        <v>0.0</v>
      </c>
      <c r="F5" s="10">
        <v>0.0</v>
      </c>
      <c r="G5" s="10">
        <v>9.0</v>
      </c>
      <c r="H5" s="10">
        <v>9.0</v>
      </c>
      <c r="I5" s="10">
        <v>99.0</v>
      </c>
      <c r="J5" s="3">
        <f>COUNTIFS( historical_events_FACT!J:J, "&gt;16", historical_events_FACT!G:G, B5,historical_events_FACT!C:C, "8" )</f>
        <v>2</v>
      </c>
      <c r="K5" s="3">
        <f t="shared" si="2"/>
        <v>12.24</v>
      </c>
      <c r="L5" s="3">
        <f t="shared" si="3"/>
        <v>14.76</v>
      </c>
      <c r="M5" s="3">
        <f>SUMIFS( '2014Data'!I:I, '2014Data'!F:F, B5,'2014Data'!B:B, "8" )</f>
        <v>59.04</v>
      </c>
      <c r="N5" s="3">
        <f>COUNTIFS('2014Data'!F:F, B5,'2014Data'!B:B, "8" )</f>
        <v>4</v>
      </c>
      <c r="O5" s="3">
        <f t="shared" si="5"/>
        <v>9.6</v>
      </c>
      <c r="P5" s="3">
        <f>SUMIFS( historical_events_FACT!J:J, historical_events_FACT!G:G, B5,historical_events_FACT!B:B, "2015",historical_events_FACT!C:C, "8" )</f>
        <v>38.4</v>
      </c>
      <c r="Q5" s="3">
        <f>COUNTIFS(historical_events_FACT!G:G, B5,historical_events_FACT!B:B, "2015",historical_events_FACT!C:C, "8" )</f>
        <v>4</v>
      </c>
      <c r="R5" s="10">
        <v>12.41</v>
      </c>
      <c r="S5" s="3">
        <f>R5*T5</f>
        <v>37.23</v>
      </c>
      <c r="T5" s="10">
        <v>3.0</v>
      </c>
      <c r="U5" s="3">
        <f>MAXIFS( historical_events_FACT!J:J, historical_events_FACT!G:G, B5,historical_events_FACT!C:C, "8" )</f>
        <v>17.43</v>
      </c>
      <c r="V5" s="97">
        <f t="array" ref="V5">ROUND(AVERAGEIF({ IFERROR(XLOOKUP(B5, 'Surfer Stats - Event 7'!B:B, 'Surfer Stats - Event 7'!Z:Z), ""), IFERROR(XLOOKUP(B5, 'Surfer Stats - Event 5'!B:B, 'Surfer Stats - Event 5'!AA:AA), ""), IFERROR(XLOOKUP(B5, 'Surfer Stats - Event 6'!B:B, 'Surfer Stats - Event 6'!Y:Y), "") }, "&lt;&gt;"),2)</f>
        <v>54.43</v>
      </c>
      <c r="W5" s="3">
        <f t="array" ref="W5">XLOOKUP(B5, 'Surfer Stats - Event 7'!B:B, 'Surfer Stats - Event 7'!Z:Z)</f>
        <v>66.11</v>
      </c>
      <c r="X5" s="75">
        <f>19200++5200+1750+4000+5200</f>
        <v>35350</v>
      </c>
      <c r="Y5" s="3">
        <f t="array" ref="Y5">XLOOKUP(B5,'Event 8 Assist'!A:A, 'Event 8 Assist'!E:E)</f>
        <v>28.06</v>
      </c>
    </row>
    <row r="6">
      <c r="A6" s="78">
        <v>1.0</v>
      </c>
      <c r="B6" s="66" t="s">
        <v>31</v>
      </c>
      <c r="C6" s="3" t="str">
        <f t="array" ref="C6">XLOOKUP(B6, 'Surfer Stats - Event 4'!B:B, 'Surfer Stats - Event 4'!D:D)</f>
        <v>Regular</v>
      </c>
      <c r="D6" s="3">
        <f t="shared" si="1"/>
        <v>7</v>
      </c>
      <c r="E6" s="10">
        <v>0.0</v>
      </c>
      <c r="F6" s="10">
        <v>0.0</v>
      </c>
      <c r="G6" s="10">
        <v>13.0</v>
      </c>
      <c r="H6" s="10">
        <v>13.0</v>
      </c>
      <c r="I6" s="10">
        <v>25.0</v>
      </c>
      <c r="J6" s="3">
        <f>COUNTIFS( historical_events_FACT!J:J, "&gt;16", historical_events_FACT!G:G, B6,historical_events_FACT!C:C, "8" )</f>
        <v>0</v>
      </c>
      <c r="K6" s="3">
        <f t="shared" si="2"/>
        <v>11.53</v>
      </c>
      <c r="L6" s="3">
        <f t="shared" si="3"/>
        <v>10.81</v>
      </c>
      <c r="M6" s="3">
        <f>SUMIFS( '2014Data'!I:I, '2014Data'!F:F, B6,'2014Data'!B:B, "8" )</f>
        <v>32.43</v>
      </c>
      <c r="N6" s="3">
        <f>COUNTIFS('2014Data'!F:F, B6,'2014Data'!B:B, "8" )</f>
        <v>3</v>
      </c>
      <c r="O6" s="3">
        <f t="shared" si="5"/>
        <v>10.2</v>
      </c>
      <c r="P6" s="3">
        <f>SUMIFS( historical_events_FACT!J:J, historical_events_FACT!G:G, B6,historical_events_FACT!B:B, "2015",historical_events_FACT!C:C, "8" )</f>
        <v>20.4</v>
      </c>
      <c r="Q6" s="3">
        <f>COUNTIFS(historical_events_FACT!G:G, B6,historical_events_FACT!B:B, "2015",historical_events_FACT!C:C, "8" )</f>
        <v>2</v>
      </c>
      <c r="R6" s="3">
        <f t="shared" ref="R6:R22" si="6">IF(T6=0,0,ROUND(S6/T6,2))</f>
        <v>13.94</v>
      </c>
      <c r="S6" s="3">
        <f>SUMIFS( historical_events_FACT!J:J, historical_events_FACT!G:G, B6,historical_events_FACT!B:B, "2016",historical_events_FACT!C:C, "8" )</f>
        <v>27.87</v>
      </c>
      <c r="T6" s="3">
        <f>COUNTIFS(historical_events_FACT!G:G, B6,historical_events_FACT!B:B, "2016",historical_events_FACT!C:C, "8" )</f>
        <v>2</v>
      </c>
      <c r="U6" s="3">
        <f>MAXIFS( historical_events_FACT!J:J, historical_events_FACT!G:G, B6,historical_events_FACT!C:C, "8" )</f>
        <v>15.6</v>
      </c>
      <c r="V6" s="97">
        <f t="array" ref="V6">ROUND(AVERAGEIF({ IFERROR(XLOOKUP(B6, 'Surfer Stats - Event 7'!B:B, 'Surfer Stats - Event 7'!Z:Z), ""), IFERROR(XLOOKUP(B6, 'Surfer Stats - Event 5'!B:B, 'Surfer Stats - Event 5'!AA:AA), ""), IFERROR(XLOOKUP(B6, 'Surfer Stats - Event 6'!B:B, 'Surfer Stats - Event 6'!Y:Y), "") }, "&lt;&gt;"),2)</f>
        <v>92.21</v>
      </c>
      <c r="W6" s="3">
        <f t="array" ref="W6">XLOOKUP(B6, 'Surfer Stats - Event 7'!B:B, 'Surfer Stats - Event 7'!Z:Z)</f>
        <v>96.48</v>
      </c>
      <c r="X6" s="75">
        <f>7500+4000+5200+6500+10000</f>
        <v>33200</v>
      </c>
      <c r="Y6" s="3">
        <f t="array" ref="Y6">XLOOKUP(B6,'Event 8 Assist'!A:A, 'Event 8 Assist'!E:E)</f>
        <v>60.61</v>
      </c>
    </row>
    <row r="7">
      <c r="A7" s="78">
        <v>1.0</v>
      </c>
      <c r="B7" s="66" t="s">
        <v>42</v>
      </c>
      <c r="C7" s="3" t="str">
        <f t="array" ref="C7">XLOOKUP(B7, 'Surfer Stats - Event 4'!B:B, 'Surfer Stats - Event 4'!D:D)</f>
        <v>Regular</v>
      </c>
      <c r="D7" s="3">
        <f t="shared" si="1"/>
        <v>13</v>
      </c>
      <c r="E7" s="10">
        <v>0.0</v>
      </c>
      <c r="F7" s="10">
        <v>0.0</v>
      </c>
      <c r="G7" s="10">
        <v>5.0</v>
      </c>
      <c r="H7" s="10">
        <v>2.0</v>
      </c>
      <c r="I7" s="10">
        <v>25.0</v>
      </c>
      <c r="J7" s="3">
        <f>COUNTIFS( historical_events_FACT!J:J, "&gt;16", historical_events_FACT!G:G, B7,historical_events_FACT!C:C, "8" )</f>
        <v>5</v>
      </c>
      <c r="K7" s="3">
        <f t="shared" si="2"/>
        <v>14.13</v>
      </c>
      <c r="L7" s="3">
        <f t="shared" si="3"/>
        <v>15.71</v>
      </c>
      <c r="M7" s="3">
        <f>SUMIFS( '2014Data'!I:I, '2014Data'!F:F, B7,'2014Data'!B:B, "8" )</f>
        <v>78.54</v>
      </c>
      <c r="N7" s="3">
        <f>COUNTIFS('2014Data'!F:F, B7,'2014Data'!B:B, "8" )</f>
        <v>5</v>
      </c>
      <c r="O7" s="3">
        <f t="shared" si="5"/>
        <v>14.15</v>
      </c>
      <c r="P7" s="3">
        <f>SUMIFS( historical_events_FACT!J:J, historical_events_FACT!G:G, B7,historical_events_FACT!B:B, "2015",historical_events_FACT!C:C, "8" )</f>
        <v>84.87</v>
      </c>
      <c r="Q7" s="3">
        <f>COUNTIFS(historical_events_FACT!G:G, B7,historical_events_FACT!B:B, "2015",historical_events_FACT!C:C, "8" )</f>
        <v>6</v>
      </c>
      <c r="R7" s="3">
        <f t="shared" si="6"/>
        <v>10.12</v>
      </c>
      <c r="S7" s="3">
        <f>SUMIFS( historical_events_FACT!J:J, historical_events_FACT!G:G, B7,historical_events_FACT!B:B, "2016",historical_events_FACT!C:C, "8" )</f>
        <v>20.23</v>
      </c>
      <c r="T7" s="3">
        <f>COUNTIFS(historical_events_FACT!G:G, B7,historical_events_FACT!B:B, "2016",historical_events_FACT!C:C, "8" )</f>
        <v>2</v>
      </c>
      <c r="U7" s="3">
        <f>MAXIFS( historical_events_FACT!J:J, historical_events_FACT!G:G, B7,historical_events_FACT!C:C, "8" )</f>
        <v>18</v>
      </c>
      <c r="V7" s="97">
        <f t="array" ref="V7">ROUND(AVERAGEIF({ IFERROR(XLOOKUP(B7, 'Surfer Stats - Event 7'!B:B, 'Surfer Stats - Event 7'!Z:Z), ""), IFERROR(XLOOKUP(B7, 'Surfer Stats - Event 5'!B:B, 'Surfer Stats - Event 5'!AA:AA), ""), IFERROR(XLOOKUP(B7, 'Surfer Stats - Event 6'!B:B, 'Surfer Stats - Event 6'!Y:Y), "") }, "&lt;&gt;"),2)</f>
        <v>23.91</v>
      </c>
      <c r="W7" s="3">
        <f t="array" ref="W7">XLOOKUP(B7, 'Surfer Stats - Event 7'!B:B, 'Surfer Stats - Event 7'!Z:Z)</f>
        <v>18.34</v>
      </c>
      <c r="X7" s="75">
        <f>14400+10000+1750+1750+1750</f>
        <v>29650</v>
      </c>
      <c r="Y7" s="3">
        <f t="array" ref="Y7">XLOOKUP(B7,'Event 8 Assist'!A:A, 'Event 8 Assist'!E:E)</f>
        <v>59.37</v>
      </c>
    </row>
    <row r="8">
      <c r="A8" s="78">
        <v>1.0</v>
      </c>
      <c r="B8" s="66" t="s">
        <v>30</v>
      </c>
      <c r="C8" s="3" t="str">
        <f t="array" ref="C8">XLOOKUP(B8, 'Surfer Stats - Event 4'!B:B, 'Surfer Stats - Event 4'!D:D)</f>
        <v>Goofy</v>
      </c>
      <c r="D8" s="3">
        <f t="shared" si="1"/>
        <v>13</v>
      </c>
      <c r="E8" s="10">
        <v>0.0</v>
      </c>
      <c r="F8" s="10">
        <v>0.0</v>
      </c>
      <c r="G8" s="10">
        <v>5.0</v>
      </c>
      <c r="H8" s="10">
        <v>3.0</v>
      </c>
      <c r="I8" s="10">
        <v>13.0</v>
      </c>
      <c r="J8" s="3">
        <f>COUNTIFS( historical_events_FACT!J:J, "&gt;16", historical_events_FACT!G:G, B8,historical_events_FACT!C:C, "8" )</f>
        <v>7</v>
      </c>
      <c r="K8" s="3">
        <f t="shared" si="2"/>
        <v>15.24</v>
      </c>
      <c r="L8" s="3">
        <f t="shared" si="3"/>
        <v>14.42</v>
      </c>
      <c r="M8" s="3">
        <f>SUMIFS( '2014Data'!I:I, '2014Data'!F:F, B8,'2014Data'!B:B, "8" )</f>
        <v>72.1</v>
      </c>
      <c r="N8" s="3">
        <f>COUNTIFS('2014Data'!F:F, B8,'2014Data'!B:B, "8" )</f>
        <v>5</v>
      </c>
      <c r="O8" s="3">
        <f t="shared" si="5"/>
        <v>16.21</v>
      </c>
      <c r="P8" s="3">
        <f>SUMIFS( historical_events_FACT!J:J, historical_events_FACT!G:G, B8,historical_events_FACT!B:B, "2015",historical_events_FACT!C:C, "8" )</f>
        <v>97.28</v>
      </c>
      <c r="Q8" s="3">
        <f>COUNTIFS(historical_events_FACT!G:G, B8,historical_events_FACT!B:B, "2015",historical_events_FACT!C:C, "8" )</f>
        <v>6</v>
      </c>
      <c r="R8" s="3">
        <f t="shared" si="6"/>
        <v>14.4</v>
      </c>
      <c r="S8" s="3">
        <f>SUMIFS( historical_events_FACT!J:J, historical_events_FACT!G:G, B8,historical_events_FACT!B:B, "2016",historical_events_FACT!C:C, "8" )</f>
        <v>28.79</v>
      </c>
      <c r="T8" s="3">
        <f>COUNTIFS(historical_events_FACT!G:G, B8,historical_events_FACT!B:B, "2016",historical_events_FACT!C:C, "8" )</f>
        <v>2</v>
      </c>
      <c r="U8" s="3">
        <f>MAXIFS( historical_events_FACT!J:J, historical_events_FACT!G:G, B8,historical_events_FACT!C:C, "8" )</f>
        <v>17.54</v>
      </c>
      <c r="V8" s="97">
        <f t="array" ref="V8">ROUND(AVERAGEIF({ IFERROR(XLOOKUP(B8, 'Surfer Stats - Event 7'!B:B, 'Surfer Stats - Event 7'!Z:Z), ""), IFERROR(XLOOKUP(B8, 'Surfer Stats - Event 5'!B:B, 'Surfer Stats - Event 5'!AA:AA), ""), IFERROR(XLOOKUP(B8, 'Surfer Stats - Event 6'!B:B, 'Surfer Stats - Event 6'!Y:Y), "") }, "&lt;&gt;"),2)</f>
        <v>71.09</v>
      </c>
      <c r="W8" s="3">
        <f t="array" ref="W8">XLOOKUP(B8, 'Surfer Stats - Event 7'!B:B, 'Surfer Stats - Event 7'!Z:Z)</f>
        <v>100.29</v>
      </c>
      <c r="X8" s="75">
        <f>8750+4000+1750+6500+8000</f>
        <v>29000</v>
      </c>
      <c r="Y8" s="3">
        <f t="array" ref="Y8">XLOOKUP(B8,'Event 8 Assist'!A:A, 'Event 8 Assist'!E:E)</f>
        <v>28.47</v>
      </c>
    </row>
    <row r="9">
      <c r="A9" s="78">
        <v>1.0</v>
      </c>
      <c r="B9" s="66" t="s">
        <v>39</v>
      </c>
      <c r="C9" s="3" t="str">
        <f t="array" ref="C9">XLOOKUP(B9, 'Surfer Stats - Event 4'!B:B, 'Surfer Stats - Event 4'!D:D)</f>
        <v>Regular</v>
      </c>
      <c r="D9" s="3">
        <f t="shared" si="1"/>
        <v>17</v>
      </c>
      <c r="E9" s="10">
        <v>0.0</v>
      </c>
      <c r="F9" s="10">
        <v>0.0</v>
      </c>
      <c r="G9" s="10">
        <v>5.0</v>
      </c>
      <c r="H9" s="10">
        <v>5.0</v>
      </c>
      <c r="I9" s="10">
        <v>2.0</v>
      </c>
      <c r="J9" s="3">
        <f>COUNTIFS( historical_events_FACT!J:J, "&gt;16", historical_events_FACT!G:G, B9,historical_events_FACT!C:C, "8" )</f>
        <v>6</v>
      </c>
      <c r="K9" s="3">
        <f t="shared" si="2"/>
        <v>14.68</v>
      </c>
      <c r="L9" s="3">
        <f t="shared" si="3"/>
        <v>14.18</v>
      </c>
      <c r="M9" s="3">
        <f>SUMIFS( '2014Data'!I:I, '2014Data'!F:F, B9,'2014Data'!B:B, "8" )</f>
        <v>56.7</v>
      </c>
      <c r="N9" s="3">
        <f>COUNTIFS('2014Data'!F:F, B9,'2014Data'!B:B, "8" )</f>
        <v>4</v>
      </c>
      <c r="O9" s="3">
        <f t="shared" si="5"/>
        <v>14.78</v>
      </c>
      <c r="P9" s="3">
        <f>SUMIFS( historical_events_FACT!J:J, historical_events_FACT!G:G, B9,historical_events_FACT!B:B, "2015",historical_events_FACT!C:C, "8" )</f>
        <v>88.66</v>
      </c>
      <c r="Q9" s="3">
        <f>COUNTIFS(historical_events_FACT!G:G, B9,historical_events_FACT!B:B, "2015",historical_events_FACT!C:C, "8" )</f>
        <v>6</v>
      </c>
      <c r="R9" s="3">
        <f t="shared" si="6"/>
        <v>14.88</v>
      </c>
      <c r="S9" s="3">
        <f>SUMIFS( historical_events_FACT!J:J, historical_events_FACT!G:G, B9,historical_events_FACT!B:B, "2016",historical_events_FACT!C:C, "8" )</f>
        <v>104.13</v>
      </c>
      <c r="T9" s="3">
        <f>COUNTIFS(historical_events_FACT!G:G, B9,historical_events_FACT!B:B, "2016",historical_events_FACT!C:C, "8" )</f>
        <v>7</v>
      </c>
      <c r="U9" s="3">
        <f>MAXIFS( historical_events_FACT!J:J, historical_events_FACT!G:G, B9,historical_events_FACT!C:C, "8" )</f>
        <v>18.74</v>
      </c>
      <c r="V9" s="97">
        <f t="array" ref="V9">ROUND(AVERAGEIF({ IFERROR(XLOOKUP(B9, 'Surfer Stats - Event 7'!B:B, 'Surfer Stats - Event 7'!Z:Z), ""), IFERROR(XLOOKUP(B9, 'Surfer Stats - Event 5'!B:B, 'Surfer Stats - Event 5'!AA:AA), ""), IFERROR(XLOOKUP(B9, 'Surfer Stats - Event 6'!B:B, 'Surfer Stats - Event 6'!Y:Y), "") }, "&lt;&gt;"),2)</f>
        <v>44.84</v>
      </c>
      <c r="W9" s="3">
        <f t="array" ref="W9">XLOOKUP(B9, 'Surfer Stats - Event 7'!B:B, 'Surfer Stats - Event 7'!Z:Z)</f>
        <v>24.4</v>
      </c>
      <c r="X9" s="75">
        <f>10950+5200+6500+1750+1750</f>
        <v>26150</v>
      </c>
      <c r="Y9" s="3">
        <f t="array" ref="Y9">XLOOKUP(B9,'Event 8 Assist'!A:A, 'Event 8 Assist'!E:E)</f>
        <v>13.73</v>
      </c>
    </row>
    <row r="10">
      <c r="A10" s="78">
        <v>1.0</v>
      </c>
      <c r="B10" s="66" t="s">
        <v>33</v>
      </c>
      <c r="C10" s="3" t="str">
        <f t="array" ref="C10">XLOOKUP(B10, 'Surfer Stats - Event 4'!B:B, 'Surfer Stats - Event 4'!D:D)</f>
        <v>Regular</v>
      </c>
      <c r="D10" s="3">
        <f t="shared" si="1"/>
        <v>14</v>
      </c>
      <c r="E10" s="10">
        <v>0.0</v>
      </c>
      <c r="F10" s="10">
        <v>0.0</v>
      </c>
      <c r="G10" s="10">
        <v>13.0</v>
      </c>
      <c r="H10" s="10">
        <v>3.0</v>
      </c>
      <c r="I10" s="10">
        <v>3.0</v>
      </c>
      <c r="J10" s="3">
        <f>COUNTIFS( historical_events_FACT!J:J, "&gt;16", historical_events_FACT!G:G, B10,historical_events_FACT!C:C, "8" )</f>
        <v>9</v>
      </c>
      <c r="K10" s="3">
        <f t="shared" si="2"/>
        <v>16.56</v>
      </c>
      <c r="L10" s="3">
        <f t="shared" si="3"/>
        <v>15.59</v>
      </c>
      <c r="M10" s="3">
        <f>SUMIFS( '2014Data'!I:I, '2014Data'!F:F, B10,'2014Data'!B:B, "8" )</f>
        <v>46.77</v>
      </c>
      <c r="N10" s="3">
        <f>COUNTIFS('2014Data'!F:F, B10,'2014Data'!B:B, "8" )</f>
        <v>3</v>
      </c>
      <c r="O10" s="3">
        <f t="shared" si="5"/>
        <v>16.26</v>
      </c>
      <c r="P10" s="3">
        <f>SUMIFS( historical_events_FACT!J:J, historical_events_FACT!G:G, B10,historical_events_FACT!B:B, "2015",historical_events_FACT!C:C, "8" )</f>
        <v>97.56</v>
      </c>
      <c r="Q10" s="3">
        <f>COUNTIFS(historical_events_FACT!G:G, B10,historical_events_FACT!B:B, "2015",historical_events_FACT!C:C, "8" )</f>
        <v>6</v>
      </c>
      <c r="R10" s="3">
        <f t="shared" si="6"/>
        <v>17.49</v>
      </c>
      <c r="S10" s="3">
        <f>SUMIFS( historical_events_FACT!J:J, historical_events_FACT!G:G, B10,historical_events_FACT!B:B, "2016",historical_events_FACT!C:C, "8" )</f>
        <v>87.44</v>
      </c>
      <c r="T10" s="3">
        <f>COUNTIFS(historical_events_FACT!G:G, B10,historical_events_FACT!B:B, "2016",historical_events_FACT!C:C, "8" )</f>
        <v>5</v>
      </c>
      <c r="U10" s="3">
        <f>MAXIFS( historical_events_FACT!J:J, historical_events_FACT!G:G, B10,historical_events_FACT!C:C, "8" )</f>
        <v>18.97</v>
      </c>
      <c r="V10" s="97">
        <f t="array" ref="V10">ROUND(AVERAGEIF({ IFERROR(XLOOKUP(B10, 'Surfer Stats - Event 7'!B:B, 'Surfer Stats - Event 7'!Z:Z), ""), IFERROR(XLOOKUP(B10, 'Surfer Stats - Event 5'!B:B, 'Surfer Stats - Event 5'!AA:AA), ""), IFERROR(XLOOKUP(B10, 'Surfer Stats - Event 6'!B:B, 'Surfer Stats - Event 6'!Y:Y), "") }, "&lt;&gt;"),2)</f>
        <v>40.67</v>
      </c>
      <c r="W10" s="3">
        <f t="array" ref="W10">XLOOKUP(B10, 'Surfer Stats - Event 7'!B:B, 'Surfer Stats - Event 7'!Z:Z)</f>
        <v>14.89</v>
      </c>
      <c r="X10" s="75">
        <f>12200+1750+500+10000+500</f>
        <v>24950</v>
      </c>
      <c r="Y10" s="3">
        <f t="array" ref="Y10">XLOOKUP(B10,'Event 8 Assist'!A:A, 'Event 8 Assist'!E:E)</f>
        <v>96.49</v>
      </c>
    </row>
    <row r="11">
      <c r="A11" s="78">
        <v>1.0</v>
      </c>
      <c r="B11" s="66" t="s">
        <v>61</v>
      </c>
      <c r="C11" s="3" t="str">
        <f t="array" ref="C11">XLOOKUP(B11, 'Surfer Stats - Event 4'!B:B, 'Surfer Stats - Event 4'!D:D)</f>
        <v>Goofy</v>
      </c>
      <c r="D11" s="3">
        <f t="shared" si="1"/>
        <v>2</v>
      </c>
      <c r="E11" s="10">
        <v>0.0</v>
      </c>
      <c r="F11" s="10">
        <v>0.0</v>
      </c>
      <c r="G11" s="10">
        <v>99.0</v>
      </c>
      <c r="H11" s="10">
        <v>99.0</v>
      </c>
      <c r="I11" s="10">
        <v>13.0</v>
      </c>
      <c r="J11" s="3">
        <f>COUNTIFS( historical_events_FACT!J:J, "&gt;16", historical_events_FACT!G:G, B11,historical_events_FACT!C:C, "8" )</f>
        <v>0</v>
      </c>
      <c r="K11" s="3">
        <f t="shared" si="2"/>
        <v>11.1</v>
      </c>
      <c r="L11" s="3">
        <f t="shared" si="3"/>
        <v>0</v>
      </c>
      <c r="M11" s="3">
        <f>SUMIFS( '2014Data'!I:I, '2014Data'!F:F, B11,'2014Data'!B:B, "8" )</f>
        <v>0</v>
      </c>
      <c r="N11" s="3">
        <f>COUNTIFS('2014Data'!F:F, B11,'2014Data'!B:B, "8" )</f>
        <v>0</v>
      </c>
      <c r="O11" s="3">
        <f t="shared" si="5"/>
        <v>11.07</v>
      </c>
      <c r="P11" s="10">
        <v>11.07</v>
      </c>
      <c r="Q11" s="10">
        <v>1.0</v>
      </c>
      <c r="R11" s="3">
        <f t="shared" si="6"/>
        <v>11.13</v>
      </c>
      <c r="S11" s="10">
        <v>11.13</v>
      </c>
      <c r="T11" s="10">
        <v>1.0</v>
      </c>
      <c r="U11" s="10">
        <v>11.13</v>
      </c>
      <c r="V11" s="97">
        <f t="array" ref="V11">ROUND(AVERAGEIF({ IFERROR(XLOOKUP(B11, 'Surfer Stats - Event 7'!B:B, 'Surfer Stats - Event 7'!Z:Z), ""), IFERROR(XLOOKUP(B11, 'Surfer Stats - Event 5'!B:B, 'Surfer Stats - Event 5'!AA:AA), ""), IFERROR(XLOOKUP(B11, 'Surfer Stats - Event 6'!B:B, 'Surfer Stats - Event 6'!Y:Y), "") }, "&lt;&gt;"),2)</f>
        <v>55.57</v>
      </c>
      <c r="W11" s="3">
        <f t="array" ref="W11">XLOOKUP(B11, 'Surfer Stats - Event 7'!B:B, 'Surfer Stats - Event 7'!Z:Z)</f>
        <v>52.49</v>
      </c>
      <c r="X11" s="75">
        <f>8700+1750+8000+1750+4000</f>
        <v>24200</v>
      </c>
      <c r="Y11" s="3">
        <f t="array" ref="Y11">XLOOKUP(B11,'Event 8 Assist'!A:A, 'Event 8 Assist'!E:E)</f>
        <v>22.26</v>
      </c>
    </row>
    <row r="12">
      <c r="A12" s="78">
        <v>1.0</v>
      </c>
      <c r="B12" s="66" t="s">
        <v>32</v>
      </c>
      <c r="C12" s="3" t="str">
        <f t="array" ref="C12">XLOOKUP(B12, 'Surfer Stats - Event 4'!B:B, 'Surfer Stats - Event 4'!D:D)</f>
        <v>Regular</v>
      </c>
      <c r="D12" s="3">
        <f t="shared" si="1"/>
        <v>10</v>
      </c>
      <c r="E12" s="10">
        <v>1.0</v>
      </c>
      <c r="F12" s="10">
        <v>1.0</v>
      </c>
      <c r="G12" s="10">
        <v>13.0</v>
      </c>
      <c r="H12" s="10">
        <v>13.0</v>
      </c>
      <c r="I12" s="10">
        <v>9.0</v>
      </c>
      <c r="J12" s="3">
        <f>COUNTIFS( historical_events_FACT!J:J, "&gt;16", historical_events_FACT!G:G, B12,historical_events_FACT!C:C, "8" )</f>
        <v>1</v>
      </c>
      <c r="K12" s="3">
        <f t="shared" si="2"/>
        <v>13.04</v>
      </c>
      <c r="L12" s="3">
        <f t="shared" si="3"/>
        <v>12.54</v>
      </c>
      <c r="M12" s="3">
        <f>SUMIFS( '2014Data'!I:I, '2014Data'!F:F, B12,'2014Data'!B:B, "8" )</f>
        <v>37.63</v>
      </c>
      <c r="N12" s="3">
        <f>COUNTIFS('2014Data'!F:F, B12,'2014Data'!B:B, "8" )</f>
        <v>3</v>
      </c>
      <c r="O12" s="3">
        <f t="shared" si="5"/>
        <v>13.72</v>
      </c>
      <c r="P12" s="3">
        <f>SUMIFS( historical_events_FACT!J:J, historical_events_FACT!G:G, B12,historical_events_FACT!B:B, "2015",historical_events_FACT!C:C, "8" )</f>
        <v>27.44</v>
      </c>
      <c r="Q12" s="3">
        <f>COUNTIFS(historical_events_FACT!G:G, B12,historical_events_FACT!B:B, "2015",historical_events_FACT!C:C, "8" )</f>
        <v>2</v>
      </c>
      <c r="R12" s="3">
        <f t="shared" si="6"/>
        <v>13.07</v>
      </c>
      <c r="S12" s="3">
        <f>SUMIFS( historical_events_FACT!J:J, historical_events_FACT!G:G, B12,historical_events_FACT!B:B, "2016",historical_events_FACT!C:C, "8" )</f>
        <v>65.37</v>
      </c>
      <c r="T12" s="3">
        <f>COUNTIFS(historical_events_FACT!G:G, B12,historical_events_FACT!B:B, "2016",historical_events_FACT!C:C, "8" )</f>
        <v>5</v>
      </c>
      <c r="U12" s="3">
        <f>MAXIFS( historical_events_FACT!J:J, historical_events_FACT!G:G, B12,historical_events_FACT!C:C, "8" )</f>
        <v>16.57</v>
      </c>
      <c r="V12" s="97">
        <f t="array" ref="V12">ROUND(AVERAGEIF({ IFERROR(XLOOKUP(B12, 'Surfer Stats - Event 7'!B:B, 'Surfer Stats - Event 7'!Z:Z), ""), IFERROR(XLOOKUP(B12, 'Surfer Stats - Event 5'!B:B, 'Surfer Stats - Event 5'!AA:AA), ""), IFERROR(XLOOKUP(B12, 'Surfer Stats - Event 6'!B:B, 'Surfer Stats - Event 6'!Y:Y), "") }, "&lt;&gt;"),2)</f>
        <v>41.76</v>
      </c>
      <c r="W12" s="3">
        <f t="array" ref="W12">XLOOKUP(B12, 'Surfer Stats - Event 7'!B:B, 'Surfer Stats - Event 7'!Z:Z)</f>
        <v>67.84</v>
      </c>
      <c r="X12" s="75">
        <f>13750+500+1750+500+6500</f>
        <v>23000</v>
      </c>
      <c r="Y12" s="3">
        <f t="array" ref="Y12">XLOOKUP(B12,'Event 8 Assist'!A:A, 'Event 8 Assist'!E:E)</f>
        <v>20.63</v>
      </c>
    </row>
    <row r="13">
      <c r="A13" s="78">
        <v>1.0</v>
      </c>
      <c r="B13" s="66" t="s">
        <v>41</v>
      </c>
      <c r="C13" s="3" t="str">
        <f t="array" ref="C13">XLOOKUP(B13, 'Surfer Stats - Event 4'!B:B, 'Surfer Stats - Event 4'!D:D)</f>
        <v>Regular</v>
      </c>
      <c r="D13" s="3">
        <f t="shared" si="1"/>
        <v>14</v>
      </c>
      <c r="E13" s="10">
        <v>0.0</v>
      </c>
      <c r="F13" s="10">
        <v>0.0</v>
      </c>
      <c r="G13" s="10">
        <v>5.0</v>
      </c>
      <c r="H13" s="10">
        <v>1.0</v>
      </c>
      <c r="I13" s="10">
        <v>13.0</v>
      </c>
      <c r="J13" s="3">
        <f>COUNTIFS( historical_events_FACT!J:J, "&gt;16", historical_events_FACT!G:G, B13,historical_events_FACT!C:C, "8" )</f>
        <v>5</v>
      </c>
      <c r="K13" s="3">
        <f t="shared" si="2"/>
        <v>15.38</v>
      </c>
      <c r="L13" s="3">
        <f t="shared" si="3"/>
        <v>13.86</v>
      </c>
      <c r="M13" s="3">
        <f>SUMIFS( '2014Data'!I:I, '2014Data'!F:F, B13,'2014Data'!B:B, "8" )</f>
        <v>55.43</v>
      </c>
      <c r="N13" s="3">
        <f>COUNTIFS('2014Data'!F:F, B13,'2014Data'!B:B, "8" )</f>
        <v>4</v>
      </c>
      <c r="O13" s="3">
        <f t="shared" si="5"/>
        <v>16.2</v>
      </c>
      <c r="P13" s="3">
        <f>SUMIFS( historical_events_FACT!J:J, historical_events_FACT!G:G, B13,historical_events_FACT!B:B, "2015",historical_events_FACT!C:C, "8" )</f>
        <v>113.41</v>
      </c>
      <c r="Q13" s="3">
        <f>COUNTIFS(historical_events_FACT!G:G, B13,historical_events_FACT!B:B, "2015",historical_events_FACT!C:C, "8" )</f>
        <v>7</v>
      </c>
      <c r="R13" s="3">
        <f t="shared" si="6"/>
        <v>15.5</v>
      </c>
      <c r="S13" s="3">
        <f>SUMIFS( historical_events_FACT!J:J, historical_events_FACT!G:G, B13,historical_events_FACT!B:B, "2016",historical_events_FACT!C:C, "8" )</f>
        <v>46.5</v>
      </c>
      <c r="T13" s="3">
        <f>COUNTIFS(historical_events_FACT!G:G, B13,historical_events_FACT!B:B, "2016",historical_events_FACT!C:C, "8" )</f>
        <v>3</v>
      </c>
      <c r="U13" s="3">
        <f>MAXIFS( historical_events_FACT!J:J, historical_events_FACT!G:G, B13,historical_events_FACT!C:C, "8" )</f>
        <v>18.6</v>
      </c>
      <c r="V13" s="97">
        <f t="array" ref="V13">ROUND(AVERAGEIF({ IFERROR(XLOOKUP(B13, 'Surfer Stats - Event 7'!B:B, 'Surfer Stats - Event 7'!Z:Z), ""), IFERROR(XLOOKUP(B13, 'Surfer Stats - Event 5'!B:B, 'Surfer Stats - Event 5'!AA:AA), ""), IFERROR(XLOOKUP(B13, 'Surfer Stats - Event 6'!B:B, 'Surfer Stats - Event 6'!Y:Y), "") }, "&lt;&gt;"),2)</f>
        <v>47.32</v>
      </c>
      <c r="W13" s="3">
        <f t="array" ref="W13">XLOOKUP(B13, 'Surfer Stats - Event 7'!B:B, 'Surfer Stats - Event 7'!Z:Z)</f>
        <v>42.33</v>
      </c>
      <c r="X13" s="75">
        <f>7450+5200+1750+5200+1750</f>
        <v>21350</v>
      </c>
      <c r="Y13" s="3">
        <f t="array" ref="Y13">XLOOKUP(B13,'Event 8 Assist'!A:A, 'Event 8 Assist'!E:E)</f>
        <v>20.83</v>
      </c>
    </row>
    <row r="14">
      <c r="A14" s="78">
        <v>1.0</v>
      </c>
      <c r="B14" s="66" t="s">
        <v>27</v>
      </c>
      <c r="C14" s="3" t="str">
        <f t="array" ref="C14">XLOOKUP(B14, 'Surfer Stats - Event 4'!B:B, 'Surfer Stats - Event 4'!D:D)</f>
        <v>Regular</v>
      </c>
      <c r="D14" s="3">
        <f t="shared" si="1"/>
        <v>11</v>
      </c>
      <c r="E14" s="10">
        <v>0.0</v>
      </c>
      <c r="F14" s="10">
        <v>0.0</v>
      </c>
      <c r="G14" s="10">
        <v>9.0</v>
      </c>
      <c r="H14" s="10">
        <v>13.0</v>
      </c>
      <c r="I14" s="10">
        <v>9.0</v>
      </c>
      <c r="J14" s="3">
        <f>COUNTIFS( historical_events_FACT!J:J, "&gt;16", historical_events_FACT!G:G, B14,historical_events_FACT!C:C, "8" )</f>
        <v>0</v>
      </c>
      <c r="K14" s="3">
        <f t="shared" si="2"/>
        <v>13.55</v>
      </c>
      <c r="L14" s="3">
        <f t="shared" si="3"/>
        <v>14.91</v>
      </c>
      <c r="M14" s="3">
        <f>SUMIFS( '2014Data'!I:I, '2014Data'!F:F, B14,'2014Data'!B:B, "8" )</f>
        <v>59.64</v>
      </c>
      <c r="N14" s="3">
        <f>COUNTIFS('2014Data'!F:F, B14,'2014Data'!B:B, "8" )</f>
        <v>4</v>
      </c>
      <c r="O14" s="3">
        <f t="shared" si="5"/>
        <v>13.52</v>
      </c>
      <c r="P14" s="3">
        <f>SUMIFS( historical_events_FACT!J:J, historical_events_FACT!G:G, B14,historical_events_FACT!B:B, "2015",historical_events_FACT!C:C, "8" )</f>
        <v>40.56</v>
      </c>
      <c r="Q14" s="3">
        <f>COUNTIFS(historical_events_FACT!G:G, B14,historical_events_FACT!B:B, "2015",historical_events_FACT!C:C, "8" )</f>
        <v>3</v>
      </c>
      <c r="R14" s="3">
        <f t="shared" si="6"/>
        <v>12.21</v>
      </c>
      <c r="S14" s="3">
        <f>SUMIFS( historical_events_FACT!J:J, historical_events_FACT!G:G, B14,historical_events_FACT!B:B, "2016",historical_events_FACT!C:C, "8" )</f>
        <v>48.82</v>
      </c>
      <c r="T14" s="3">
        <f>COUNTIFS(historical_events_FACT!G:G, B14,historical_events_FACT!B:B, "2016",historical_events_FACT!C:C, "8" )</f>
        <v>4</v>
      </c>
      <c r="U14" s="3">
        <f>MAXIFS( historical_events_FACT!J:J, historical_events_FACT!G:G, B14,historical_events_FACT!C:C, "8" )</f>
        <v>15.7</v>
      </c>
      <c r="V14" s="97">
        <f t="array" ref="V14">ROUND(AVERAGEIF({ IFERROR(XLOOKUP(B14, 'Surfer Stats - Event 7'!B:B, 'Surfer Stats - Event 7'!Z:Z), ""), IFERROR(XLOOKUP(B14, 'Surfer Stats - Event 5'!B:B, 'Surfer Stats - Event 5'!AA:AA), ""), IFERROR(XLOOKUP(B14, 'Surfer Stats - Event 6'!B:B, 'Surfer Stats - Event 6'!Y:Y), "") }, "&lt;&gt;"),2)</f>
        <v>58.62</v>
      </c>
      <c r="W14" s="3">
        <f t="array" ref="W14">XLOOKUP(B14, 'Surfer Stats - Event 7'!B:B, 'Surfer Stats - Event 7'!Z:Z)</f>
        <v>38.54</v>
      </c>
      <c r="X14" s="75">
        <f>7450+500+6500+4000+1750</f>
        <v>20200</v>
      </c>
      <c r="Y14" s="3">
        <f t="array" ref="Y14">XLOOKUP(B14,'Event 8 Assist'!A:A, 'Event 8 Assist'!E:E)</f>
        <v>26.67</v>
      </c>
    </row>
    <row r="15">
      <c r="A15" s="78">
        <v>1.0</v>
      </c>
      <c r="B15" s="66" t="s">
        <v>64</v>
      </c>
      <c r="C15" s="3" t="str">
        <f t="array" ref="C15">XLOOKUP(B15, 'Surfer Stats - Event 4'!B:B, 'Surfer Stats - Event 4'!D:D)</f>
        <v>Regular</v>
      </c>
      <c r="D15" s="3">
        <f t="shared" si="1"/>
        <v>4</v>
      </c>
      <c r="E15" s="10">
        <v>0.0</v>
      </c>
      <c r="F15" s="10">
        <v>0.0</v>
      </c>
      <c r="G15" s="10">
        <v>99.0</v>
      </c>
      <c r="H15" s="10">
        <v>99.0</v>
      </c>
      <c r="I15" s="10">
        <v>99.0</v>
      </c>
      <c r="J15" s="3">
        <f>COUNTIFS( historical_events_FACT!J:J, "&gt;16", historical_events_FACT!G:G, B15,historical_events_FACT!C:C, "8" )</f>
        <v>0</v>
      </c>
      <c r="K15" s="3">
        <f t="shared" si="2"/>
        <v>12.49</v>
      </c>
      <c r="L15" s="3">
        <f t="shared" si="3"/>
        <v>10.93</v>
      </c>
      <c r="M15" s="10">
        <v>10.93</v>
      </c>
      <c r="N15" s="10">
        <v>1.0</v>
      </c>
      <c r="O15" s="3">
        <f t="shared" si="5"/>
        <v>14.1</v>
      </c>
      <c r="P15" s="10">
        <v>28.2</v>
      </c>
      <c r="Q15" s="10">
        <v>2.0</v>
      </c>
      <c r="R15" s="3">
        <f t="shared" si="6"/>
        <v>10.83</v>
      </c>
      <c r="S15" s="10">
        <v>10.83</v>
      </c>
      <c r="T15" s="10">
        <v>1.0</v>
      </c>
      <c r="U15" s="10">
        <v>14.4</v>
      </c>
      <c r="V15" s="97">
        <f t="array" ref="V15">ROUND(AVERAGEIF({ IFERROR(XLOOKUP(B15, 'Surfer Stats - Event 7'!B:B, 'Surfer Stats - Event 7'!Z:Z), ""), IFERROR(XLOOKUP(B15, 'Surfer Stats - Event 5'!B:B, 'Surfer Stats - Event 5'!AA:AA), ""), IFERROR(XLOOKUP(B15, 'Surfer Stats - Event 6'!B:B, 'Surfer Stats - Event 6'!Y:Y), "") }, "&lt;&gt;"),2)</f>
        <v>51.87</v>
      </c>
      <c r="W15" s="3">
        <f t="array" ref="W15">XLOOKUP(B15, 'Surfer Stats - Event 7'!B:B, 'Surfer Stats - Event 7'!Z:Z)</f>
        <v>18.49</v>
      </c>
      <c r="X15" s="75">
        <f>7450+1750+1750+8000+500</f>
        <v>19450</v>
      </c>
      <c r="Y15" s="3">
        <f t="array" ref="Y15">XLOOKUP(B15,'Event 8 Assist'!A:A, 'Event 8 Assist'!E:E)</f>
        <v>65.43</v>
      </c>
    </row>
    <row r="16">
      <c r="A16" s="78">
        <v>1.0</v>
      </c>
      <c r="B16" s="66" t="s">
        <v>38</v>
      </c>
      <c r="C16" s="3" t="str">
        <f t="array" ref="C16">XLOOKUP(B16, 'Surfer Stats - Event 4'!B:B, 'Surfer Stats - Event 4'!D:D)</f>
        <v>Regular</v>
      </c>
      <c r="D16" s="3">
        <f t="shared" si="1"/>
        <v>6</v>
      </c>
      <c r="E16" s="10">
        <v>0.0</v>
      </c>
      <c r="F16" s="10">
        <v>0.0</v>
      </c>
      <c r="G16" s="10">
        <v>25.0</v>
      </c>
      <c r="H16" s="10">
        <v>25.0</v>
      </c>
      <c r="I16" s="10">
        <v>25.0</v>
      </c>
      <c r="J16" s="3">
        <f>COUNTIFS( historical_events_FACT!J:J, "&gt;16", historical_events_FACT!G:G, B16,historical_events_FACT!C:C, "8" )</f>
        <v>0</v>
      </c>
      <c r="K16" s="3">
        <f t="shared" si="2"/>
        <v>11.06</v>
      </c>
      <c r="L16" s="3">
        <f t="shared" si="3"/>
        <v>11.12</v>
      </c>
      <c r="M16" s="3">
        <f>SUMIFS( '2014Data'!I:I, '2014Data'!F:F, B16,'2014Data'!B:B, "8" )</f>
        <v>22.24</v>
      </c>
      <c r="N16" s="3">
        <f>COUNTIFS('2014Data'!F:F, B16,'2014Data'!B:B, "8" )</f>
        <v>2</v>
      </c>
      <c r="O16" s="3">
        <f t="shared" si="5"/>
        <v>9.6</v>
      </c>
      <c r="P16" s="3">
        <f>SUMIFS( historical_events_FACT!J:J, historical_events_FACT!G:G, B16,historical_events_FACT!B:B, "2015",historical_events_FACT!C:C, "8" )</f>
        <v>19.2</v>
      </c>
      <c r="Q16" s="3">
        <f>COUNTIFS(historical_events_FACT!G:G, B16,historical_events_FACT!B:B, "2015",historical_events_FACT!C:C, "8" )</f>
        <v>2</v>
      </c>
      <c r="R16" s="3">
        <f t="shared" si="6"/>
        <v>12.45</v>
      </c>
      <c r="S16" s="3">
        <f>SUMIFS( historical_events_FACT!J:J, historical_events_FACT!G:G, B16,historical_events_FACT!B:B, "2016",historical_events_FACT!C:C, "8" )</f>
        <v>24.9</v>
      </c>
      <c r="T16" s="3">
        <f>COUNTIFS(historical_events_FACT!G:G, B16,historical_events_FACT!B:B, "2016",historical_events_FACT!C:C, "8" )</f>
        <v>2</v>
      </c>
      <c r="U16" s="3">
        <f>MAXIFS( historical_events_FACT!J:J, historical_events_FACT!G:G, B16,historical_events_FACT!C:C, "8" )</f>
        <v>12.74</v>
      </c>
      <c r="V16" s="97">
        <f t="array" ref="V16">ROUND(AVERAGEIF({ IFERROR(XLOOKUP(B16, 'Surfer Stats - Event 7'!B:B, 'Surfer Stats - Event 7'!Z:Z), ""), IFERROR(XLOOKUP(B16, 'Surfer Stats - Event 5'!B:B, 'Surfer Stats - Event 5'!AA:AA), ""), IFERROR(XLOOKUP(B16, 'Surfer Stats - Event 6'!B:B, 'Surfer Stats - Event 6'!Y:Y), "") }, "&lt;&gt;"),2)</f>
        <v>38.96</v>
      </c>
      <c r="W16" s="3">
        <f t="array" ref="W16">XLOOKUP(B16, 'Surfer Stats - Event 7'!B:B, 'Surfer Stats - Event 7'!Z:Z)</f>
        <v>34.41</v>
      </c>
      <c r="X16" s="75">
        <f>9750+1750+4000+500+1750</f>
        <v>17750</v>
      </c>
      <c r="Y16" s="3">
        <f t="array" ref="Y16">XLOOKUP(B16,'Event 8 Assist'!A:A, 'Event 8 Assist'!E:E)</f>
        <v>51.8</v>
      </c>
    </row>
    <row r="17">
      <c r="A17" s="78">
        <v>1.0</v>
      </c>
      <c r="B17" s="66" t="s">
        <v>65</v>
      </c>
      <c r="C17" s="3" t="str">
        <f t="array" ref="C17">XLOOKUP(B17, 'Surfer Stats - Event 4'!B:B, 'Surfer Stats - Event 4'!D:D)</f>
        <v>Goofy</v>
      </c>
      <c r="D17" s="3">
        <f t="shared" si="1"/>
        <v>7</v>
      </c>
      <c r="E17" s="10">
        <v>0.0</v>
      </c>
      <c r="F17" s="10">
        <v>0.0</v>
      </c>
      <c r="G17" s="10">
        <v>99.0</v>
      </c>
      <c r="H17" s="10">
        <v>99.0</v>
      </c>
      <c r="I17" s="10">
        <v>99.0</v>
      </c>
      <c r="J17" s="3">
        <f>COUNTIFS( historical_events_FACT!J:J, "&gt;16", historical_events_FACT!G:G, B17,historical_events_FACT!C:C, "8" )</f>
        <v>0</v>
      </c>
      <c r="K17" s="3">
        <f t="shared" si="2"/>
        <v>11.23</v>
      </c>
      <c r="L17" s="3">
        <f t="shared" si="3"/>
        <v>12.24</v>
      </c>
      <c r="M17" s="10">
        <v>24.47</v>
      </c>
      <c r="N17" s="10">
        <v>2.0</v>
      </c>
      <c r="O17" s="3">
        <f t="shared" si="5"/>
        <v>10.9</v>
      </c>
      <c r="P17" s="10">
        <v>32.69</v>
      </c>
      <c r="Q17" s="10">
        <v>3.0</v>
      </c>
      <c r="R17" s="3">
        <f t="shared" si="6"/>
        <v>10.72</v>
      </c>
      <c r="S17" s="10">
        <v>21.43</v>
      </c>
      <c r="T17" s="10">
        <v>2.0</v>
      </c>
      <c r="U17" s="10">
        <v>14.16</v>
      </c>
      <c r="V17" s="97">
        <f t="array" ref="V17">ROUND(AVERAGEIF({ IFERROR(XLOOKUP(B17, 'Surfer Stats - Event 7'!B:B, 'Surfer Stats - Event 7'!Z:Z), ""), IFERROR(XLOOKUP(B17, 'Surfer Stats - Event 5'!B:B, 'Surfer Stats - Event 5'!AA:AA), ""), IFERROR(XLOOKUP(B17, 'Surfer Stats - Event 6'!B:B, 'Surfer Stats - Event 6'!Y:Y), "") }, "&lt;&gt;"),2)</f>
        <v>64.98</v>
      </c>
      <c r="W17" s="3">
        <f t="array" ref="W17">XLOOKUP(B17, 'Surfer Stats - Event 7'!B:B, 'Surfer Stats - Event 7'!Z:Z)</f>
        <v>49.99</v>
      </c>
      <c r="X17" s="75">
        <f>2750+500+5200+4000+5200</f>
        <v>17650</v>
      </c>
      <c r="Y17" s="3">
        <f t="array" ref="Y17">XLOOKUP(B17,'Event 8 Assist'!A:A, 'Event 8 Assist'!E:E)</f>
        <v>43.4</v>
      </c>
    </row>
    <row r="18">
      <c r="A18" s="78">
        <v>1.0</v>
      </c>
      <c r="B18" s="66" t="s">
        <v>52</v>
      </c>
      <c r="C18" s="3" t="str">
        <f t="array" ref="C18">XLOOKUP(B18, 'Surfer Stats - Event 4'!B:B, 'Surfer Stats - Event 4'!D:D)</f>
        <v>Regular</v>
      </c>
      <c r="D18" s="3">
        <f t="shared" si="1"/>
        <v>7</v>
      </c>
      <c r="E18" s="10">
        <v>0.0</v>
      </c>
      <c r="F18" s="10">
        <v>1.0</v>
      </c>
      <c r="G18" s="10">
        <v>99.0</v>
      </c>
      <c r="H18" s="10">
        <v>99.0</v>
      </c>
      <c r="I18" s="10">
        <v>99.0</v>
      </c>
      <c r="J18" s="3">
        <f>COUNTIFS( historical_events_FACT!J:J, "&gt;16", historical_events_FACT!G:G, B18,historical_events_FACT!C:C, "8" )</f>
        <v>0</v>
      </c>
      <c r="K18" s="3">
        <f t="shared" si="2"/>
        <v>13.52</v>
      </c>
      <c r="L18" s="3">
        <f t="shared" si="3"/>
        <v>0</v>
      </c>
      <c r="M18" s="3">
        <f>SUMIFS( '2014Data'!I:I, '2014Data'!F:F, B18,'2014Data'!B:B, "8" )</f>
        <v>0</v>
      </c>
      <c r="N18" s="3">
        <f>COUNTIFS('2014Data'!F:F, B18,'2014Data'!B:B, "8" )</f>
        <v>0</v>
      </c>
      <c r="O18" s="3">
        <f t="shared" si="5"/>
        <v>14.82</v>
      </c>
      <c r="P18" s="10">
        <v>59.29</v>
      </c>
      <c r="Q18" s="10">
        <v>4.0</v>
      </c>
      <c r="R18" s="3">
        <f t="shared" si="6"/>
        <v>11.78</v>
      </c>
      <c r="S18" s="3">
        <f>SUMIFS( historical_events_FACT!J:J, historical_events_FACT!G:G, B18,historical_events_FACT!B:B, "2016",historical_events_FACT!C:C, "8" )</f>
        <v>35.33</v>
      </c>
      <c r="T18" s="3">
        <f>COUNTIFS(historical_events_FACT!G:G, B18,historical_events_FACT!B:B, "2016",historical_events_FACT!C:C, "8" )</f>
        <v>3</v>
      </c>
      <c r="U18" s="3">
        <f>MAXIFS( historical_events_FACT!J:J, historical_events_FACT!G:G, B18,historical_events_FACT!C:C, "8" )</f>
        <v>13.17</v>
      </c>
      <c r="V18" s="97">
        <f t="array" ref="V18">ROUND(AVERAGEIF({ IFERROR(XLOOKUP(B18, 'Surfer Stats - Event 7'!B:B, 'Surfer Stats - Event 7'!Z:Z), ""), IFERROR(XLOOKUP(B18, 'Surfer Stats - Event 5'!B:B, 'Surfer Stats - Event 5'!AA:AA), ""), IFERROR(XLOOKUP(B18, 'Surfer Stats - Event 6'!B:B, 'Surfer Stats - Event 6'!Y:Y), "") }, "&lt;&gt;"),2)</f>
        <v>50.75</v>
      </c>
      <c r="W18" s="3">
        <f t="array" ref="W18">XLOOKUP(B18, 'Surfer Stats - Event 7'!B:B, 'Surfer Stats - Event 7'!Z:Z)</f>
        <v>58.03</v>
      </c>
      <c r="X18" s="75">
        <f>+500+8500+500+4000+4000</f>
        <v>17500</v>
      </c>
      <c r="Y18" s="3">
        <f t="array" ref="Y18">XLOOKUP(B18,'Event 8 Assist'!A:A, 'Event 8 Assist'!E:E)</f>
        <v>30.27</v>
      </c>
    </row>
    <row r="19">
      <c r="A19" s="78">
        <v>1.0</v>
      </c>
      <c r="B19" s="66" t="s">
        <v>47</v>
      </c>
      <c r="C19" s="3" t="str">
        <f t="array" ref="C19">XLOOKUP(B19, 'Surfer Stats - Event 4'!B:B, 'Surfer Stats - Event 4'!D:D)</f>
        <v>Goofy</v>
      </c>
      <c r="D19" s="3">
        <f t="shared" si="1"/>
        <v>12</v>
      </c>
      <c r="E19" s="10">
        <v>0.0</v>
      </c>
      <c r="F19" s="10">
        <v>0.0</v>
      </c>
      <c r="G19" s="10">
        <v>3.0</v>
      </c>
      <c r="H19" s="10">
        <v>5.0</v>
      </c>
      <c r="I19" s="10">
        <v>13.0</v>
      </c>
      <c r="J19" s="3">
        <f>COUNTIFS( historical_events_FACT!J:J, "&gt;16", historical_events_FACT!G:G, B19,historical_events_FACT!C:C, "8" )</f>
        <v>3</v>
      </c>
      <c r="K19" s="3">
        <f t="shared" si="2"/>
        <v>14.27</v>
      </c>
      <c r="L19" s="3">
        <f t="shared" si="3"/>
        <v>14.46</v>
      </c>
      <c r="M19" s="3">
        <f>SUMIFS( '2014Data'!I:I, '2014Data'!F:F, B19,'2014Data'!B:B, "8" )</f>
        <v>86.77</v>
      </c>
      <c r="N19" s="3">
        <f>COUNTIFS('2014Data'!F:F, B19,'2014Data'!B:B, "8" )</f>
        <v>6</v>
      </c>
      <c r="O19" s="3">
        <f t="shared" si="5"/>
        <v>13.66</v>
      </c>
      <c r="P19" s="3">
        <f>SUMIFS( historical_events_FACT!J:J, historical_events_FACT!G:G, B19,historical_events_FACT!B:B, "2015",historical_events_FACT!C:C, "8" )</f>
        <v>54.63</v>
      </c>
      <c r="Q19" s="3">
        <f>COUNTIFS(historical_events_FACT!G:G, B19,historical_events_FACT!B:B, "2015",historical_events_FACT!C:C, "8" )</f>
        <v>4</v>
      </c>
      <c r="R19" s="3">
        <f t="shared" si="6"/>
        <v>14.9</v>
      </c>
      <c r="S19" s="3">
        <f>SUMIFS( historical_events_FACT!J:J, historical_events_FACT!G:G, B19,historical_events_FACT!B:B, "2016",historical_events_FACT!C:C, "8" )</f>
        <v>29.8</v>
      </c>
      <c r="T19" s="3">
        <f>COUNTIFS(historical_events_FACT!G:G, B19,historical_events_FACT!B:B, "2016",historical_events_FACT!C:C, "8" )</f>
        <v>2</v>
      </c>
      <c r="U19" s="3">
        <f>MAXIFS( historical_events_FACT!J:J, historical_events_FACT!G:G, B19,historical_events_FACT!C:C, "8" )</f>
        <v>17.43</v>
      </c>
      <c r="V19" s="97">
        <f t="array" ref="V19">ROUND(AVERAGEIF({ IFERROR(XLOOKUP(B19, 'Surfer Stats - Event 7'!B:B, 'Surfer Stats - Event 7'!Z:Z), ""), IFERROR(XLOOKUP(B19, 'Surfer Stats - Event 5'!B:B, 'Surfer Stats - Event 5'!AA:AA), ""), IFERROR(XLOOKUP(B19, 'Surfer Stats - Event 6'!B:B, 'Surfer Stats - Event 6'!Y:Y), "") }, "&lt;&gt;"),2)</f>
        <v>34.97</v>
      </c>
      <c r="W19" s="3">
        <f t="array" ref="W19">XLOOKUP(B19, 'Surfer Stats - Event 7'!B:B, 'Surfer Stats - Event 7'!Z:Z)</f>
        <v>53.06</v>
      </c>
      <c r="X19" s="75">
        <f>4000+8000+500+500+4000</f>
        <v>17000</v>
      </c>
      <c r="Y19" s="3">
        <f t="array" ref="Y19">XLOOKUP(B19,'Event 8 Assist'!A:A, 'Event 8 Assist'!E:E)</f>
        <v>97.51</v>
      </c>
    </row>
    <row r="20">
      <c r="A20" s="78">
        <v>1.0</v>
      </c>
      <c r="B20" s="66" t="s">
        <v>54</v>
      </c>
      <c r="C20" s="3" t="str">
        <f t="array" ref="C20">XLOOKUP(B20, 'Surfer Stats - Event 4'!B:B, 'Surfer Stats - Event 4'!D:D)</f>
        <v>Goofy</v>
      </c>
      <c r="D20" s="3">
        <f t="shared" si="1"/>
        <v>8</v>
      </c>
      <c r="E20" s="10">
        <v>0.0</v>
      </c>
      <c r="F20" s="10">
        <v>0.0</v>
      </c>
      <c r="G20" s="10">
        <v>99.0</v>
      </c>
      <c r="H20" s="10">
        <v>5.0</v>
      </c>
      <c r="I20" s="10">
        <v>13.0</v>
      </c>
      <c r="J20" s="3">
        <f>COUNTIFS( historical_events_FACT!J:J, "&gt;16", historical_events_FACT!G:G, B20,historical_events_FACT!C:C, "8" )</f>
        <v>2</v>
      </c>
      <c r="K20" s="3">
        <f t="shared" si="2"/>
        <v>14.18</v>
      </c>
      <c r="L20" s="3">
        <f t="shared" si="3"/>
        <v>0</v>
      </c>
      <c r="M20" s="3">
        <f>SUMIFS( '2014Data'!I:I, '2014Data'!F:F, B20,'2014Data'!B:B, "8" )</f>
        <v>0</v>
      </c>
      <c r="N20" s="3">
        <f>COUNTIFS('2014Data'!F:F, B20,'2014Data'!B:B, "8" )</f>
        <v>0</v>
      </c>
      <c r="O20" s="3">
        <f t="shared" si="5"/>
        <v>14.16</v>
      </c>
      <c r="P20" s="3">
        <f>SUMIFS( historical_events_FACT!J:J, historical_events_FACT!G:G, B20,historical_events_FACT!B:B, "2015",historical_events_FACT!C:C, "8" )</f>
        <v>84.93</v>
      </c>
      <c r="Q20" s="3">
        <f>COUNTIFS(historical_events_FACT!G:G, B20,historical_events_FACT!B:B, "2015",historical_events_FACT!C:C, "8" )</f>
        <v>6</v>
      </c>
      <c r="R20" s="3">
        <f t="shared" si="6"/>
        <v>14.24</v>
      </c>
      <c r="S20" s="3">
        <f>SUMIFS( historical_events_FACT!J:J, historical_events_FACT!G:G, B20,historical_events_FACT!B:B, "2016",historical_events_FACT!C:C, "8" )</f>
        <v>28.47</v>
      </c>
      <c r="T20" s="3">
        <f>COUNTIFS(historical_events_FACT!G:G, B20,historical_events_FACT!B:B, "2016",historical_events_FACT!C:C, "8" )</f>
        <v>2</v>
      </c>
      <c r="U20" s="3">
        <f>MAXIFS( historical_events_FACT!J:J, historical_events_FACT!G:G, B20,historical_events_FACT!C:C, "8" )</f>
        <v>16.73</v>
      </c>
      <c r="V20" s="97">
        <f t="array" ref="V20">ROUND(AVERAGEIF({ IFERROR(XLOOKUP(B20, 'Surfer Stats - Event 7'!B:B, 'Surfer Stats - Event 7'!Z:Z), ""), IFERROR(XLOOKUP(B20, 'Surfer Stats - Event 5'!B:B, 'Surfer Stats - Event 5'!AA:AA), ""), IFERROR(XLOOKUP(B20, 'Surfer Stats - Event 6'!B:B, 'Surfer Stats - Event 6'!Y:Y), "") }, "&lt;&gt;"),2)</f>
        <v>44.25</v>
      </c>
      <c r="W20" s="3">
        <f t="array" ref="W20">XLOOKUP(B20, 'Surfer Stats - Event 7'!B:B, 'Surfer Stats - Event 7'!Z:Z)</f>
        <v>69.57</v>
      </c>
      <c r="X20" s="75">
        <f>5000+4000+1750+500+5200</f>
        <v>16450</v>
      </c>
      <c r="Y20" s="3">
        <f t="array" ref="Y20">XLOOKUP(B20,'Event 8 Assist'!A:A, 'Event 8 Assist'!E:E)</f>
        <v>32.67</v>
      </c>
    </row>
    <row r="21">
      <c r="A21" s="78">
        <v>1.0</v>
      </c>
      <c r="B21" s="66" t="s">
        <v>40</v>
      </c>
      <c r="C21" s="3" t="str">
        <f t="array" ref="C21">XLOOKUP(B21, 'Surfer Stats - Event 4'!B:B, 'Surfer Stats - Event 4'!D:D)</f>
        <v>Regular</v>
      </c>
      <c r="D21" s="3">
        <f t="shared" si="1"/>
        <v>5</v>
      </c>
      <c r="E21" s="10">
        <v>0.0</v>
      </c>
      <c r="F21" s="10">
        <v>0.0</v>
      </c>
      <c r="G21" s="10">
        <v>99.0</v>
      </c>
      <c r="H21" s="10">
        <v>99.0</v>
      </c>
      <c r="I21" s="10">
        <v>13.0</v>
      </c>
      <c r="J21" s="3">
        <f>COUNTIFS( historical_events_FACT!J:J, "&gt;16", historical_events_FACT!G:G, B21,historical_events_FACT!C:C, "8" )</f>
        <v>0</v>
      </c>
      <c r="K21" s="3">
        <f t="shared" si="2"/>
        <v>11.38</v>
      </c>
      <c r="L21" s="3">
        <f t="shared" si="3"/>
        <v>10.83</v>
      </c>
      <c r="M21" s="10">
        <v>10.83</v>
      </c>
      <c r="N21" s="10">
        <v>1.0</v>
      </c>
      <c r="O21" s="3">
        <f t="shared" si="5"/>
        <v>8.67</v>
      </c>
      <c r="P21" s="10">
        <v>8.67</v>
      </c>
      <c r="Q21" s="10">
        <v>1.0</v>
      </c>
      <c r="R21" s="3">
        <f t="shared" si="6"/>
        <v>12.46</v>
      </c>
      <c r="S21" s="3">
        <f>SUMIFS( historical_events_FACT!J:J, historical_events_FACT!G:G, B21,historical_events_FACT!B:B, "2016",historical_events_FACT!C:C, "8" )</f>
        <v>37.39</v>
      </c>
      <c r="T21" s="3">
        <f>COUNTIFS(historical_events_FACT!G:G, B21,historical_events_FACT!B:B, "2016",historical_events_FACT!C:C, "8" )</f>
        <v>3</v>
      </c>
      <c r="U21" s="3">
        <f>MAXIFS( historical_events_FACT!J:J, historical_events_FACT!G:G, B21,historical_events_FACT!C:C, "8" )</f>
        <v>13.76</v>
      </c>
      <c r="V21" s="97">
        <f t="array" ref="V21">ROUND(AVERAGEIF({ IFERROR(XLOOKUP(B21, 'Surfer Stats - Event 7'!B:B, 'Surfer Stats - Event 7'!Z:Z), ""), IFERROR(XLOOKUP(B21, 'Surfer Stats - Event 5'!B:B, 'Surfer Stats - Event 5'!AA:AA), ""), IFERROR(XLOOKUP(B21, 'Surfer Stats - Event 6'!B:B, 'Surfer Stats - Event 6'!Y:Y), "") }, "&lt;&gt;"),2)</f>
        <v>16.79</v>
      </c>
      <c r="W21" s="3">
        <f t="array" ref="W21">XLOOKUP(B21, 'Surfer Stats - Event 7'!B:B, 'Surfer Stats - Event 7'!Z:Z)</f>
        <v>12.1</v>
      </c>
      <c r="X21" s="75">
        <f>11500+1750+500+1750+500</f>
        <v>16000</v>
      </c>
      <c r="Y21" s="3">
        <f t="array" ref="Y21">XLOOKUP(B21,'Event 8 Assist'!A:A, 'Event 8 Assist'!E:E)</f>
        <v>22.2</v>
      </c>
    </row>
    <row r="22">
      <c r="A22" s="78">
        <v>1.0</v>
      </c>
      <c r="B22" s="66" t="s">
        <v>50</v>
      </c>
      <c r="C22" s="3" t="str">
        <f t="array" ref="C22">XLOOKUP(B22, 'Surfer Stats - Event 4'!B:B, 'Surfer Stats - Event 4'!D:D)</f>
        <v>Regular</v>
      </c>
      <c r="D22" s="3">
        <f t="shared" si="1"/>
        <v>6</v>
      </c>
      <c r="E22" s="10">
        <v>0.0</v>
      </c>
      <c r="F22" s="10">
        <v>0.0</v>
      </c>
      <c r="G22" s="10">
        <v>25.0</v>
      </c>
      <c r="H22" s="10">
        <v>13.0</v>
      </c>
      <c r="I22" s="10">
        <v>25.0</v>
      </c>
      <c r="J22" s="3">
        <f>COUNTIFS( historical_events_FACT!J:J, "&gt;16", historical_events_FACT!G:G, B22,historical_events_FACT!C:C, "8" )</f>
        <v>0</v>
      </c>
      <c r="K22" s="3">
        <f t="shared" si="2"/>
        <v>13.4</v>
      </c>
      <c r="L22" s="3">
        <f t="shared" si="3"/>
        <v>11.97</v>
      </c>
      <c r="M22" s="3">
        <f>SUMIFS( '2014Data'!I:I, '2014Data'!F:F, B22,'2014Data'!B:B, "8" )</f>
        <v>23.93</v>
      </c>
      <c r="N22" s="3">
        <f>COUNTIFS('2014Data'!F:F, B22,'2014Data'!B:B, "8" )</f>
        <v>2</v>
      </c>
      <c r="O22" s="3">
        <f t="shared" si="5"/>
        <v>14.77</v>
      </c>
      <c r="P22" s="3">
        <f>SUMIFS( historical_events_FACT!J:J, historical_events_FACT!G:G, B22,historical_events_FACT!B:B, "2015",historical_events_FACT!C:C, "8" )</f>
        <v>29.53</v>
      </c>
      <c r="Q22" s="3">
        <f>COUNTIFS(historical_events_FACT!G:G, B22,historical_events_FACT!B:B, "2015",historical_events_FACT!C:C, "8" )</f>
        <v>2</v>
      </c>
      <c r="R22" s="3">
        <f t="shared" si="6"/>
        <v>13.46</v>
      </c>
      <c r="S22" s="3">
        <f>SUMIFS( historical_events_FACT!J:J, historical_events_FACT!G:G, B22,historical_events_FACT!B:B, "2016",historical_events_FACT!C:C, "8" )</f>
        <v>26.91</v>
      </c>
      <c r="T22" s="3">
        <f>COUNTIFS(historical_events_FACT!G:G, B22,historical_events_FACT!B:B, "2016",historical_events_FACT!C:C, "8" )</f>
        <v>2</v>
      </c>
      <c r="U22" s="3">
        <f>MAXIFS( historical_events_FACT!J:J, historical_events_FACT!G:G, B22,historical_events_FACT!C:C, "8" )</f>
        <v>15.26</v>
      </c>
      <c r="V22" s="97">
        <f t="array" ref="V22">ROUND(AVERAGEIF({ IFERROR(XLOOKUP(B22, 'Surfer Stats - Event 7'!B:B, 'Surfer Stats - Event 7'!Z:Z), ""), IFERROR(XLOOKUP(B22, 'Surfer Stats - Event 5'!B:B, 'Surfer Stats - Event 5'!AA:AA), ""), IFERROR(XLOOKUP(B22, 'Surfer Stats - Event 6'!B:B, 'Surfer Stats - Event 6'!Y:Y), "") }, "&lt;&gt;"),2)</f>
        <v>33.66</v>
      </c>
      <c r="W22" s="3">
        <f t="array" ref="W22">XLOOKUP(B22, 'Surfer Stats - Event 7'!B:B, 'Surfer Stats - Event 7'!Z:Z)</f>
        <v>39.54</v>
      </c>
      <c r="X22" s="75">
        <f>7500+1750+1750+1750+1750</f>
        <v>14500</v>
      </c>
      <c r="Y22" s="3">
        <f t="array" ref="Y22">XLOOKUP(B22,'Event 8 Assist'!A:A, 'Event 8 Assist'!E:E)</f>
        <v>60.61</v>
      </c>
    </row>
    <row r="23">
      <c r="A23" s="78">
        <v>1.0</v>
      </c>
      <c r="B23" s="66" t="s">
        <v>59</v>
      </c>
      <c r="C23" s="3" t="str">
        <f t="array" ref="C23">XLOOKUP(B23, 'Surfer Stats - Event 4'!B:B, 'Surfer Stats - Event 4'!D:D)</f>
        <v>Regular</v>
      </c>
      <c r="D23" s="3">
        <f t="shared" si="1"/>
        <v>8</v>
      </c>
      <c r="E23" s="10">
        <v>0.0</v>
      </c>
      <c r="F23" s="10">
        <v>0.0</v>
      </c>
      <c r="G23" s="10">
        <v>25.0</v>
      </c>
      <c r="H23" s="10">
        <v>13.0</v>
      </c>
      <c r="I23" s="10">
        <v>99.0</v>
      </c>
      <c r="J23" s="3">
        <f>COUNTIFS( historical_events_FACT!J:J, "&gt;16", historical_events_FACT!G:G, B23,historical_events_FACT!C:C, "8" )</f>
        <v>1</v>
      </c>
      <c r="K23" s="3">
        <f t="shared" si="2"/>
        <v>13.57</v>
      </c>
      <c r="L23" s="3">
        <f t="shared" si="3"/>
        <v>13.37</v>
      </c>
      <c r="M23" s="3">
        <f>SUMIFS( '2014Data'!I:I, '2014Data'!F:F, B23,'2014Data'!B:B, "8" )</f>
        <v>26.74</v>
      </c>
      <c r="N23" s="3">
        <f>COUNTIFS('2014Data'!F:F, B23,'2014Data'!B:B, "8" )</f>
        <v>2</v>
      </c>
      <c r="O23" s="3">
        <f t="shared" si="5"/>
        <v>14.86</v>
      </c>
      <c r="P23" s="3">
        <f>SUMIFS( historical_events_FACT!J:J, historical_events_FACT!G:G, B23,historical_events_FACT!B:B, "2015",historical_events_FACT!C:C, "8" )</f>
        <v>44.57</v>
      </c>
      <c r="Q23" s="3">
        <f>COUNTIFS(historical_events_FACT!G:G, B23,historical_events_FACT!B:B, "2015",historical_events_FACT!C:C, "8" )</f>
        <v>3</v>
      </c>
      <c r="R23" s="10">
        <v>12.41</v>
      </c>
      <c r="S23" s="3">
        <f>R23*T23</f>
        <v>37.23</v>
      </c>
      <c r="T23" s="10">
        <v>3.0</v>
      </c>
      <c r="U23" s="3">
        <f>MAXIFS( historical_events_FACT!J:J, historical_events_FACT!G:G, B23,historical_events_FACT!C:C, "8" )</f>
        <v>16.2</v>
      </c>
      <c r="V23" s="97">
        <f t="array" ref="V23">ROUND(AVERAGEIF({ IFERROR(XLOOKUP(B23, 'Surfer Stats - Event 7'!B:B, 'Surfer Stats - Event 7'!Z:Z), ""), IFERROR(XLOOKUP(B23, 'Surfer Stats - Event 5'!B:B, 'Surfer Stats - Event 5'!AA:AA), ""), IFERROR(XLOOKUP(B23, 'Surfer Stats - Event 6'!B:B, 'Surfer Stats - Event 6'!Y:Y), "") }, "&lt;&gt;"),2)</f>
        <v>38.14</v>
      </c>
      <c r="W23" s="3">
        <f t="array" ref="W23">XLOOKUP(B23, 'Surfer Stats - Event 7'!B:B, 'Surfer Stats - Event 7'!Z:Z)</f>
        <v>27.36</v>
      </c>
      <c r="X23" s="75">
        <f>4000+1750+5200+1750+1750</f>
        <v>14450</v>
      </c>
      <c r="Y23" s="3">
        <f t="array" ref="Y23">XLOOKUP(B23,'Event 8 Assist'!A:A, 'Event 8 Assist'!E:E)</f>
        <v>59.56</v>
      </c>
    </row>
    <row r="24">
      <c r="A24" s="78">
        <v>1.0</v>
      </c>
      <c r="B24" s="66" t="s">
        <v>17</v>
      </c>
      <c r="C24" s="3" t="str">
        <f t="array" ref="C24">XLOOKUP(B24, 'Surfer Stats - Event 4'!B:B, 'Surfer Stats - Event 4'!D:D)</f>
        <v>Goofy</v>
      </c>
      <c r="D24" s="3">
        <f t="shared" si="1"/>
        <v>7</v>
      </c>
      <c r="E24" s="10">
        <v>0.0</v>
      </c>
      <c r="F24" s="10">
        <v>0.0</v>
      </c>
      <c r="G24" s="10">
        <v>99.0</v>
      </c>
      <c r="H24" s="10">
        <v>9.0</v>
      </c>
      <c r="I24" s="10">
        <v>13.0</v>
      </c>
      <c r="J24" s="3">
        <f>COUNTIFS( historical_events_FACT!J:J, "&gt;16", historical_events_FACT!G:G, B24,historical_events_FACT!C:C, "8" )</f>
        <v>2</v>
      </c>
      <c r="K24" s="3">
        <f t="shared" si="2"/>
        <v>14.57</v>
      </c>
      <c r="L24" s="3">
        <f t="shared" si="3"/>
        <v>0</v>
      </c>
      <c r="M24" s="3">
        <f>SUMIFS( '2014Data'!I:I, '2014Data'!F:F, B24,'2014Data'!B:B, "8" )</f>
        <v>0</v>
      </c>
      <c r="N24" s="3">
        <f>COUNTIFS('2014Data'!F:F, B24,'2014Data'!B:B, "8" )</f>
        <v>0</v>
      </c>
      <c r="O24" s="3">
        <f t="shared" si="5"/>
        <v>15.26</v>
      </c>
      <c r="P24" s="3">
        <f>SUMIFS( historical_events_FACT!J:J, historical_events_FACT!G:G, B24,historical_events_FACT!B:B, "2015",historical_events_FACT!C:C, "8" )</f>
        <v>61.04</v>
      </c>
      <c r="Q24" s="3">
        <f>COUNTIFS(historical_events_FACT!G:G, B24,historical_events_FACT!B:B, "2015",historical_events_FACT!C:C, "8" )</f>
        <v>4</v>
      </c>
      <c r="R24" s="3">
        <f t="shared" ref="R24:R25" si="7">IF(T24=0,0,ROUND(S24/T24,2))</f>
        <v>13.65</v>
      </c>
      <c r="S24" s="3">
        <f>SUMIFS( historical_events_FACT!J:J, historical_events_FACT!G:G, B24,historical_events_FACT!B:B, "2016",historical_events_FACT!C:C, "8" )</f>
        <v>40.96</v>
      </c>
      <c r="T24" s="3">
        <f>COUNTIFS(historical_events_FACT!G:G, B24,historical_events_FACT!B:B, "2016",historical_events_FACT!C:C, "8" )</f>
        <v>3</v>
      </c>
      <c r="U24" s="3">
        <f>MAXIFS( historical_events_FACT!J:J, historical_events_FACT!G:G, B24,historical_events_FACT!C:C, "8" )</f>
        <v>16.17</v>
      </c>
      <c r="V24" s="97">
        <f t="array" ref="V24">ROUND(AVERAGEIF({ IFERROR(XLOOKUP(B24, 'Surfer Stats - Event 7'!B:B, 'Surfer Stats - Event 7'!Z:Z), ""), IFERROR(XLOOKUP(B24, 'Surfer Stats - Event 5'!B:B, 'Surfer Stats - Event 5'!AA:AA), ""), IFERROR(XLOOKUP(B24, 'Surfer Stats - Event 6'!B:B, 'Surfer Stats - Event 6'!Y:Y), "") }, "&lt;&gt;"),2)</f>
        <v>34.49</v>
      </c>
      <c r="W24" s="3">
        <f t="array" ref="W24">XLOOKUP(B24, 'Surfer Stats - Event 7'!B:B, 'Surfer Stats - Event 7'!Z:Z)</f>
        <v>29.04</v>
      </c>
      <c r="X24" s="75">
        <f>6200+500+4000+1750+1750</f>
        <v>14200</v>
      </c>
      <c r="Y24" s="3">
        <f t="array" ref="Y24">XLOOKUP(B24,'Event 8 Assist'!A:A, 'Event 8 Assist'!E:E)</f>
        <v>38.87</v>
      </c>
    </row>
    <row r="25">
      <c r="A25" s="64">
        <v>0.0</v>
      </c>
      <c r="B25" s="82" t="s">
        <v>37</v>
      </c>
      <c r="C25" s="3" t="str">
        <f t="array" ref="C25">XLOOKUP(B25, 'Surfer Stats - Event 4'!B:B, 'Surfer Stats - Event 4'!D:D)</f>
        <v>Regular</v>
      </c>
      <c r="D25" s="3">
        <f t="shared" si="1"/>
        <v>17</v>
      </c>
      <c r="E25" s="10">
        <v>0.0</v>
      </c>
      <c r="F25" s="10">
        <v>1.0</v>
      </c>
      <c r="G25" s="10">
        <v>3.0</v>
      </c>
      <c r="H25" s="10">
        <v>9.0</v>
      </c>
      <c r="I25" s="10">
        <v>5.0</v>
      </c>
      <c r="J25" s="3">
        <f>COUNTIFS( historical_events_FACT!J:J, "&gt;16", historical_events_FACT!G:G, B25,historical_events_FACT!C:C, "8" )</f>
        <v>3</v>
      </c>
      <c r="K25" s="3">
        <f t="shared" si="2"/>
        <v>14.61</v>
      </c>
      <c r="L25" s="3">
        <f t="shared" si="3"/>
        <v>14.65</v>
      </c>
      <c r="M25" s="3">
        <f>SUMIFS( '2014Data'!I:I, '2014Data'!F:F, B25,'2014Data'!B:B, "8" )</f>
        <v>102.57</v>
      </c>
      <c r="N25" s="3">
        <f>COUNTIFS('2014Data'!F:F, B25,'2014Data'!B:B, "8" )</f>
        <v>7</v>
      </c>
      <c r="O25" s="3">
        <f t="shared" si="5"/>
        <v>13.6</v>
      </c>
      <c r="P25" s="3">
        <f>SUMIFS( historical_events_FACT!J:J, historical_events_FACT!G:G, B25,historical_events_FACT!B:B, "2015",historical_events_FACT!C:C, "8" )</f>
        <v>54.4</v>
      </c>
      <c r="Q25" s="3">
        <f>COUNTIFS(historical_events_FACT!G:G, B25,historical_events_FACT!B:B, "2015",historical_events_FACT!C:C, "8" )</f>
        <v>4</v>
      </c>
      <c r="R25" s="3">
        <f t="shared" si="7"/>
        <v>15.24</v>
      </c>
      <c r="S25" s="3">
        <f>SUMIFS( historical_events_FACT!J:J, historical_events_FACT!G:G, B25,historical_events_FACT!B:B, "2016",historical_events_FACT!C:C, "8" )</f>
        <v>91.46</v>
      </c>
      <c r="T25" s="3">
        <f>COUNTIFS(historical_events_FACT!G:G, B25,historical_events_FACT!B:B, "2016",historical_events_FACT!C:C, "8" )</f>
        <v>6</v>
      </c>
      <c r="U25" s="3">
        <f>MAXIFS( historical_events_FACT!J:J, historical_events_FACT!G:G, B25,historical_events_FACT!C:C, "8" )</f>
        <v>16.5</v>
      </c>
      <c r="V25" s="97">
        <f t="array" ref="V25">ROUND(AVERAGEIF({ IFERROR(XLOOKUP(B25, 'Surfer Stats - Event 7'!B:B, 'Surfer Stats - Event 7'!Z:Z), ""), IFERROR(XLOOKUP(B25, 'Surfer Stats - Event 5'!B:B, 'Surfer Stats - Event 5'!AA:AA), ""), IFERROR(XLOOKUP(B25, 'Surfer Stats - Event 6'!B:B, 'Surfer Stats - Event 6'!Y:Y), "") }, "&lt;&gt;"),2)</f>
        <v>23.67</v>
      </c>
      <c r="W25" s="3" t="str">
        <f t="array" ref="W25">XLOOKUP(B25, 'Surfer Stats - Event 7'!B:B, 'Surfer Stats - Event 7'!Z:Z)</f>
        <v/>
      </c>
      <c r="X25" s="83">
        <f>8700+500+1750+1750+500</f>
        <v>13200</v>
      </c>
      <c r="Y25" s="3" t="str">
        <f t="array" ref="Y25">XLOOKUP(B25,'Event 8 Assist'!A:A, 'Event 8 Assist'!E:E)</f>
        <v/>
      </c>
    </row>
    <row r="26">
      <c r="A26" s="78">
        <v>1.0</v>
      </c>
      <c r="B26" s="66" t="s">
        <v>69</v>
      </c>
      <c r="C26" s="3" t="str">
        <f t="array" ref="C26">XLOOKUP(B26, 'Surfer Stats - Event 4'!B:B, 'Surfer Stats - Event 4'!D:D)</f>
        <v>Regular</v>
      </c>
      <c r="D26" s="3">
        <f t="shared" si="1"/>
        <v>8</v>
      </c>
      <c r="E26" s="10">
        <v>0.0</v>
      </c>
      <c r="F26" s="10">
        <v>0.0</v>
      </c>
      <c r="G26" s="10">
        <v>99.0</v>
      </c>
      <c r="H26" s="10">
        <v>99.0</v>
      </c>
      <c r="I26" s="10">
        <v>99.0</v>
      </c>
      <c r="J26" s="3">
        <f>COUNTIFS( historical_events_FACT!J:J, "&gt;16", historical_events_FACT!G:G, B26,historical_events_FACT!C:C, "8" )</f>
        <v>0</v>
      </c>
      <c r="K26" s="3">
        <f t="shared" si="2"/>
        <v>12.56</v>
      </c>
      <c r="L26" s="3">
        <f t="shared" si="3"/>
        <v>11.8</v>
      </c>
      <c r="M26" s="10">
        <v>23.59</v>
      </c>
      <c r="N26" s="10">
        <v>2.0</v>
      </c>
      <c r="O26" s="3">
        <f t="shared" si="5"/>
        <v>13.21</v>
      </c>
      <c r="P26" s="10">
        <v>39.62</v>
      </c>
      <c r="Q26" s="10">
        <v>3.0</v>
      </c>
      <c r="R26" s="10">
        <v>12.41</v>
      </c>
      <c r="S26" s="3">
        <f>R26*T26</f>
        <v>37.23</v>
      </c>
      <c r="T26" s="10">
        <v>3.0</v>
      </c>
      <c r="U26" s="10">
        <v>14.56</v>
      </c>
      <c r="V26" s="97">
        <f t="array" ref="V26">ROUND(AVERAGEIF({ IFERROR(XLOOKUP(B26, 'Surfer Stats - Event 7'!B:B, 'Surfer Stats - Event 7'!Z:Z), ""), IFERROR(XLOOKUP(B26, 'Surfer Stats - Event 5'!B:B, 'Surfer Stats - Event 5'!AA:AA), ""), IFERROR(XLOOKUP(B26, 'Surfer Stats - Event 6'!B:B, 'Surfer Stats - Event 6'!Y:Y), "") }, "&lt;&gt;"),2)</f>
        <v>24.51</v>
      </c>
      <c r="W26" s="3">
        <f t="array" ref="W26">XLOOKUP(B26, 'Surfer Stats - Event 7'!B:B, 'Surfer Stats - Event 7'!Z:Z)</f>
        <v>18.96</v>
      </c>
      <c r="X26" s="75">
        <f>8750+500+500+1750+500</f>
        <v>12000</v>
      </c>
      <c r="Y26" s="3">
        <f t="array" ref="Y26">XLOOKUP(B26,'Event 8 Assist'!A:A, 'Event 8 Assist'!E:E)</f>
        <v>45.76</v>
      </c>
    </row>
    <row r="27">
      <c r="A27" s="64">
        <v>1.0</v>
      </c>
      <c r="B27" s="66" t="s">
        <v>67</v>
      </c>
      <c r="C27" s="3" t="str">
        <f t="array" ref="C27">XLOOKUP(B27, 'Surfer Stats - Event 4'!B:B, 'Surfer Stats - Event 4'!D:D)</f>
        <v>Goofy</v>
      </c>
      <c r="D27" s="3">
        <f t="shared" si="1"/>
        <v>3</v>
      </c>
      <c r="E27" s="10">
        <v>0.0</v>
      </c>
      <c r="F27" s="10">
        <v>0.0</v>
      </c>
      <c r="G27" s="10">
        <v>99.0</v>
      </c>
      <c r="H27" s="10">
        <v>99.0</v>
      </c>
      <c r="I27" s="10">
        <v>99.0</v>
      </c>
      <c r="J27" s="3">
        <f>COUNTIFS( historical_events_FACT!J:J, "&gt;16", historical_events_FACT!G:G, B27,historical_events_FACT!C:C, "8" )</f>
        <v>0</v>
      </c>
      <c r="K27" s="3">
        <f t="shared" si="2"/>
        <v>10.81</v>
      </c>
      <c r="L27" s="3">
        <f t="shared" si="3"/>
        <v>0</v>
      </c>
      <c r="M27" s="3">
        <f>SUMIFS( '2014Data'!I:I, '2014Data'!F:F, B27,'2014Data'!B:B, "8" )</f>
        <v>0</v>
      </c>
      <c r="N27" s="3">
        <f>COUNTIFS('2014Data'!F:F, B27,'2014Data'!B:B, "8" )</f>
        <v>0</v>
      </c>
      <c r="O27" s="3">
        <f t="shared" si="5"/>
        <v>8.93</v>
      </c>
      <c r="P27" s="10">
        <v>8.93</v>
      </c>
      <c r="Q27" s="10">
        <v>1.0</v>
      </c>
      <c r="R27" s="3">
        <f t="shared" ref="R27:R34" si="8">IF(T27=0,0,ROUND(S27/T27,2))</f>
        <v>11.75</v>
      </c>
      <c r="S27" s="10">
        <v>23.5</v>
      </c>
      <c r="T27" s="10">
        <v>2.0</v>
      </c>
      <c r="U27" s="10">
        <v>12.1</v>
      </c>
      <c r="V27" s="97">
        <f t="array" ref="V27">ROUND(AVERAGEIF({ IFERROR(XLOOKUP(B27, 'Surfer Stats - Event 7'!B:B, 'Surfer Stats - Event 7'!Z:Z), ""), IFERROR(XLOOKUP(B27, 'Surfer Stats - Event 5'!B:B, 'Surfer Stats - Event 5'!AA:AA), ""), IFERROR(XLOOKUP(B27, 'Surfer Stats - Event 6'!B:B, 'Surfer Stats - Event 6'!Y:Y), "") }, "&lt;&gt;"),2)</f>
        <v>38.11</v>
      </c>
      <c r="W27" s="3">
        <f t="array" ref="W27">XLOOKUP(B27, 'Surfer Stats - Event 7'!B:B, 'Surfer Stats - Event 7'!Z:Z)</f>
        <v>25.6</v>
      </c>
      <c r="X27" s="75">
        <f>4000+1750+4000+500+1750</f>
        <v>12000</v>
      </c>
      <c r="Y27" s="3">
        <f t="array" ref="Y27">XLOOKUP(B27,'Event 8 Assist'!A:A, 'Event 8 Assist'!E:E)</f>
        <v>21.2</v>
      </c>
    </row>
    <row r="28">
      <c r="A28" s="51">
        <v>1.0</v>
      </c>
      <c r="B28" s="66" t="s">
        <v>68</v>
      </c>
      <c r="C28" s="3" t="str">
        <f t="array" ref="C28">XLOOKUP(B28, 'Surfer Stats - Event 4'!B:B, 'Surfer Stats - Event 4'!D:D)</f>
        <v>Regular</v>
      </c>
      <c r="D28" s="3">
        <f t="shared" si="1"/>
        <v>7</v>
      </c>
      <c r="E28" s="10">
        <v>0.0</v>
      </c>
      <c r="F28" s="10">
        <v>0.0</v>
      </c>
      <c r="G28" s="10">
        <v>99.0</v>
      </c>
      <c r="H28" s="10">
        <v>99.0</v>
      </c>
      <c r="I28" s="10">
        <v>13.0</v>
      </c>
      <c r="J28" s="3">
        <f>COUNTIFS( historical_events_FACT!J:J, "&gt;16", historical_events_FACT!G:G, B28,historical_events_FACT!C:C, "8" )</f>
        <v>0</v>
      </c>
      <c r="K28" s="3">
        <f t="shared" si="2"/>
        <v>14.41</v>
      </c>
      <c r="L28" s="3">
        <f t="shared" si="3"/>
        <v>13.9</v>
      </c>
      <c r="M28" s="10">
        <v>13.9</v>
      </c>
      <c r="N28" s="10">
        <v>1.0</v>
      </c>
      <c r="O28" s="3">
        <f t="shared" si="5"/>
        <v>15.53</v>
      </c>
      <c r="P28" s="10">
        <v>62.11</v>
      </c>
      <c r="Q28" s="10">
        <v>4.0</v>
      </c>
      <c r="R28" s="3">
        <f t="shared" si="8"/>
        <v>12.42</v>
      </c>
      <c r="S28" s="3">
        <f>SUMIFS( historical_events_FACT!J:J, historical_events_FACT!G:G, B28,historical_events_FACT!B:B, "2016",historical_events_FACT!C:C, "8" )</f>
        <v>24.84</v>
      </c>
      <c r="T28" s="3">
        <f>COUNTIFS(historical_events_FACT!G:G, B28,historical_events_FACT!B:B, "2016",historical_events_FACT!C:C, "8" )</f>
        <v>2</v>
      </c>
      <c r="U28" s="3">
        <f>MAXIFS( historical_events_FACT!J:J, historical_events_FACT!G:G, B28,historical_events_FACT!C:C, "8" )</f>
        <v>15.5</v>
      </c>
      <c r="V28" s="97">
        <f t="array" ref="V28">ROUND(AVERAGEIF({ IFERROR(XLOOKUP(B28, 'Surfer Stats - Event 7'!B:B, 'Surfer Stats - Event 7'!Z:Z), ""), IFERROR(XLOOKUP(B28, 'Surfer Stats - Event 5'!B:B, 'Surfer Stats - Event 5'!AA:AA), ""), IFERROR(XLOOKUP(B28, 'Surfer Stats - Event 6'!B:B, 'Surfer Stats - Event 6'!Y:Y), "") }, "&lt;&gt;"),2)</f>
        <v>20.91</v>
      </c>
      <c r="W28" s="3">
        <f t="array" ref="W28">XLOOKUP(B28, 'Surfer Stats - Event 7'!B:B, 'Surfer Stats - Event 7'!Z:Z)</f>
        <v>18.94</v>
      </c>
      <c r="X28" s="75">
        <f>7500+500+500+1750+500</f>
        <v>10750</v>
      </c>
      <c r="Y28" s="3">
        <f t="array" ref="Y28">XLOOKUP(B28,'Event 8 Assist'!A:A, 'Event 8 Assist'!E:E)</f>
        <v>27.08</v>
      </c>
    </row>
    <row r="29">
      <c r="A29" s="78">
        <v>1.0</v>
      </c>
      <c r="B29" s="66" t="s">
        <v>53</v>
      </c>
      <c r="C29" s="3" t="str">
        <f t="array" ref="C29">XLOOKUP(B29, 'Surfer Stats - Event 4'!B:B, 'Surfer Stats - Event 4'!D:D)</f>
        <v>Regular</v>
      </c>
      <c r="D29" s="3">
        <f t="shared" si="1"/>
        <v>7</v>
      </c>
      <c r="E29" s="10">
        <v>0.0</v>
      </c>
      <c r="F29" s="10">
        <v>0.0</v>
      </c>
      <c r="G29" s="10">
        <v>99.0</v>
      </c>
      <c r="H29" s="10">
        <v>99.0</v>
      </c>
      <c r="I29" s="10">
        <v>13.0</v>
      </c>
      <c r="J29" s="3">
        <f>COUNTIFS( historical_events_FACT!J:J, "&gt;16", historical_events_FACT!G:G, B29,historical_events_FACT!C:C, "8" )</f>
        <v>0</v>
      </c>
      <c r="K29" s="3">
        <f t="shared" si="2"/>
        <v>12.47</v>
      </c>
      <c r="L29" s="3">
        <f t="shared" si="3"/>
        <v>13.22</v>
      </c>
      <c r="M29" s="10">
        <v>52.86</v>
      </c>
      <c r="N29" s="10">
        <v>4.0</v>
      </c>
      <c r="O29" s="3">
        <f t="shared" si="5"/>
        <v>10.07</v>
      </c>
      <c r="P29" s="10">
        <v>10.07</v>
      </c>
      <c r="Q29" s="10">
        <v>1.0</v>
      </c>
      <c r="R29" s="3">
        <f t="shared" si="8"/>
        <v>12.17</v>
      </c>
      <c r="S29" s="3">
        <f>SUMIFS( historical_events_FACT!J:J, historical_events_FACT!G:G, B29,historical_events_FACT!B:B, "2016",historical_events_FACT!C:C, "8" )</f>
        <v>24.34</v>
      </c>
      <c r="T29" s="3">
        <f>COUNTIFS(historical_events_FACT!G:G, B29,historical_events_FACT!B:B, "2016",historical_events_FACT!C:C, "8" )</f>
        <v>2</v>
      </c>
      <c r="U29" s="3">
        <f>MAXIFS( historical_events_FACT!J:J, historical_events_FACT!G:G, B29,historical_events_FACT!C:C, "8" )</f>
        <v>14.67</v>
      </c>
      <c r="V29" s="97">
        <f t="array" ref="V29">ROUND(AVERAGEIF({ IFERROR(XLOOKUP(B29, 'Surfer Stats - Event 7'!B:B, 'Surfer Stats - Event 7'!Z:Z), ""), IFERROR(XLOOKUP(B29, 'Surfer Stats - Event 5'!B:B, 'Surfer Stats - Event 5'!AA:AA), ""), IFERROR(XLOOKUP(B29, 'Surfer Stats - Event 6'!B:B, 'Surfer Stats - Event 6'!Y:Y), "") }, "&lt;&gt;"),2)</f>
        <v>19.73</v>
      </c>
      <c r="W29" s="3">
        <f t="array" ref="W29">XLOOKUP(B29, 'Surfer Stats - Event 7'!B:B, 'Surfer Stats - Event 7'!Z:Z)</f>
        <v>23.02</v>
      </c>
      <c r="X29" s="75">
        <f>2750+4000+500+500+1750</f>
        <v>9500</v>
      </c>
      <c r="Y29" s="3">
        <f t="array" ref="Y29">XLOOKUP(B29,'Event 8 Assist'!A:A, 'Event 8 Assist'!E:E)</f>
        <v>74.39</v>
      </c>
    </row>
    <row r="30">
      <c r="A30" s="78">
        <v>1.0</v>
      </c>
      <c r="B30" s="51" t="s">
        <v>66</v>
      </c>
      <c r="C30" s="3" t="str">
        <f t="array" ref="C30">XLOOKUP(B30, 'Surfer Stats - Event 4'!B:B, 'Surfer Stats - Event 4'!D:D)</f>
        <v>Regular</v>
      </c>
      <c r="D30" s="3">
        <f t="shared" si="1"/>
        <v>5</v>
      </c>
      <c r="E30" s="10">
        <v>0.0</v>
      </c>
      <c r="F30" s="10">
        <v>0.0</v>
      </c>
      <c r="G30" s="10">
        <v>99.0</v>
      </c>
      <c r="H30" s="10">
        <v>99.0</v>
      </c>
      <c r="I30" s="10">
        <v>99.0</v>
      </c>
      <c r="J30" s="3">
        <f>COUNTIFS( historical_events_FACT!J:J, "&gt;16", historical_events_FACT!G:G, B30,historical_events_FACT!C:C, "8" )</f>
        <v>0</v>
      </c>
      <c r="K30" s="3">
        <f t="shared" si="2"/>
        <v>12.91</v>
      </c>
      <c r="L30" s="3">
        <f t="shared" si="3"/>
        <v>0</v>
      </c>
      <c r="M30" s="3">
        <f>SUMIFS( '2014Data'!I:I, '2014Data'!F:F, B30,'2014Data'!B:B, "8" )</f>
        <v>0</v>
      </c>
      <c r="N30" s="3">
        <f>COUNTIFS('2014Data'!F:F, B30,'2014Data'!B:B, "8" )</f>
        <v>0</v>
      </c>
      <c r="O30" s="10">
        <v>14.36</v>
      </c>
      <c r="P30" s="3">
        <f t="shared" ref="P30:P31" si="9">O30*Q30</f>
        <v>57.44</v>
      </c>
      <c r="Q30" s="10">
        <v>4.0</v>
      </c>
      <c r="R30" s="3">
        <f t="shared" si="8"/>
        <v>7.1</v>
      </c>
      <c r="S30" s="10">
        <v>7.1</v>
      </c>
      <c r="T30" s="10">
        <v>1.0</v>
      </c>
      <c r="U30" s="10">
        <v>7.1</v>
      </c>
      <c r="V30" s="97">
        <f t="array" ref="V30">ROUND(AVERAGEIF({ IFERROR(XLOOKUP(B30, 'Surfer Stats - Event 7'!B:B, 'Surfer Stats - Event 7'!Z:Z), ""), IFERROR(XLOOKUP(B30, 'Surfer Stats - Event 5'!B:B, 'Surfer Stats - Event 5'!AA:AA), ""), IFERROR(XLOOKUP(B30, 'Surfer Stats - Event 6'!B:B, 'Surfer Stats - Event 6'!Y:Y), "") }, "&lt;&gt;"),2)</f>
        <v>24.19</v>
      </c>
      <c r="W30" s="3">
        <f t="array" ref="W30">XLOOKUP(B30, 'Surfer Stats - Event 7'!B:B, 'Surfer Stats - Event 7'!Z:Z)</f>
        <v>28.54</v>
      </c>
      <c r="X30" s="75">
        <f>1500+500+5200+1750+500</f>
        <v>9450</v>
      </c>
      <c r="Y30" s="3">
        <f t="array" ref="Y30">XLOOKUP(B30,'Event 8 Assist'!A:A, 'Event 8 Assist'!E:E)</f>
        <v>23.46</v>
      </c>
    </row>
    <row r="31">
      <c r="A31" s="78">
        <v>1.0</v>
      </c>
      <c r="B31" s="66" t="s">
        <v>36</v>
      </c>
      <c r="C31" s="3" t="str">
        <f t="array" ref="C31">XLOOKUP(B31, 'Surfer Stats - Event 4'!B:B, 'Surfer Stats - Event 4'!D:D)</f>
        <v>Regular</v>
      </c>
      <c r="D31" s="3">
        <f t="shared" si="1"/>
        <v>9</v>
      </c>
      <c r="E31" s="10">
        <v>0.0</v>
      </c>
      <c r="F31" s="10">
        <v>1.0</v>
      </c>
      <c r="G31" s="10">
        <v>99.0</v>
      </c>
      <c r="H31" s="10">
        <v>99.0</v>
      </c>
      <c r="I31" s="10">
        <v>5.0</v>
      </c>
      <c r="J31" s="3">
        <f>COUNTIFS( historical_events_FACT!J:J, "&gt;16", historical_events_FACT!G:G, B31,historical_events_FACT!C:C, "8" )</f>
        <v>1</v>
      </c>
      <c r="K31" s="3">
        <f t="shared" si="2"/>
        <v>13.71</v>
      </c>
      <c r="L31" s="3">
        <f t="shared" si="3"/>
        <v>0</v>
      </c>
      <c r="M31" s="3">
        <f>SUMIFS( '2014Data'!I:I, '2014Data'!F:F, B31,'2014Data'!B:B, "8" )</f>
        <v>0</v>
      </c>
      <c r="N31" s="3">
        <f>COUNTIFS('2014Data'!F:F, B31,'2014Data'!B:B, "8" )</f>
        <v>0</v>
      </c>
      <c r="O31" s="10">
        <v>14.36</v>
      </c>
      <c r="P31" s="3">
        <f t="shared" si="9"/>
        <v>57.44</v>
      </c>
      <c r="Q31" s="10">
        <v>4.0</v>
      </c>
      <c r="R31" s="3">
        <f t="shared" si="8"/>
        <v>13.19</v>
      </c>
      <c r="S31" s="3">
        <f>SUMIFS( historical_events_FACT!J:J, historical_events_FACT!G:G, B31,historical_events_FACT!B:B, "2016",historical_events_FACT!C:C, "8" )</f>
        <v>65.95</v>
      </c>
      <c r="T31" s="3">
        <f>COUNTIFS(historical_events_FACT!G:G, B31,historical_events_FACT!B:B, "2016",historical_events_FACT!C:C, "8" )</f>
        <v>5</v>
      </c>
      <c r="U31" s="3">
        <f>MAXIFS( historical_events_FACT!J:J, historical_events_FACT!G:G, B31,historical_events_FACT!C:C, "8" )</f>
        <v>16.37</v>
      </c>
      <c r="V31" s="97">
        <f t="array" ref="V31">ROUND(AVERAGEIF({ IFERROR(XLOOKUP(B31, 'Surfer Stats - Event 7'!B:B, 'Surfer Stats - Event 7'!Z:Z), ""), IFERROR(XLOOKUP(B31, 'Surfer Stats - Event 5'!B:B, 'Surfer Stats - Event 5'!AA:AA), ""), IFERROR(XLOOKUP(B31, 'Surfer Stats - Event 6'!B:B, 'Surfer Stats - Event 6'!Y:Y), "") }, "&lt;&gt;"),2)</f>
        <v>32.55</v>
      </c>
      <c r="W31" s="3">
        <f t="array" ref="W31">XLOOKUP(B31, 'Surfer Stats - Event 7'!B:B, 'Surfer Stats - Event 7'!Z:Z)</f>
        <v>15.7</v>
      </c>
      <c r="X31" s="75">
        <f>2750+500+4000+500+500</f>
        <v>8250</v>
      </c>
      <c r="Y31" s="3">
        <f t="array" ref="Y31">XLOOKUP(B31,'Event 8 Assist'!A:A, 'Event 8 Assist'!E:E)</f>
        <v>20.37</v>
      </c>
    </row>
    <row r="32">
      <c r="A32" s="78">
        <v>1.0</v>
      </c>
      <c r="B32" s="66" t="s">
        <v>56</v>
      </c>
      <c r="C32" s="3" t="str">
        <f t="array" ref="C32">XLOOKUP(B32, 'Surfer Stats - Event 4'!B:B, 'Surfer Stats - Event 4'!D:D)</f>
        <v>Goofy</v>
      </c>
      <c r="D32" s="3">
        <f t="shared" si="1"/>
        <v>10</v>
      </c>
      <c r="E32" s="10">
        <v>0.0</v>
      </c>
      <c r="F32" s="10">
        <v>1.0</v>
      </c>
      <c r="G32" s="10">
        <v>13.0</v>
      </c>
      <c r="H32" s="10">
        <v>5.0</v>
      </c>
      <c r="I32" s="10">
        <v>25.0</v>
      </c>
      <c r="J32" s="3">
        <f>COUNTIFS( historical_events_FACT!J:J, "&gt;16", historical_events_FACT!G:G, B32,historical_events_FACT!C:C, "8" )</f>
        <v>3</v>
      </c>
      <c r="K32" s="3">
        <f t="shared" si="2"/>
        <v>14.13</v>
      </c>
      <c r="L32" s="3">
        <f t="shared" si="3"/>
        <v>16.15</v>
      </c>
      <c r="M32" s="3">
        <f>SUMIFS( '2014Data'!I:I, '2014Data'!F:F, B32,'2014Data'!B:B, "8" )</f>
        <v>32.3</v>
      </c>
      <c r="N32" s="3">
        <f>COUNTIFS('2014Data'!F:F, B32,'2014Data'!B:B, "8" )</f>
        <v>2</v>
      </c>
      <c r="O32" s="3">
        <f t="shared" ref="O32:O36" si="10">IF(P32=0,0,ROUND(P32/Q32,2))</f>
        <v>14.36</v>
      </c>
      <c r="P32" s="3">
        <f>SUMIFS( historical_events_FACT!J:J, historical_events_FACT!G:G, B32,historical_events_FACT!B:B, "2015",historical_events_FACT!C:C, "8" )</f>
        <v>86.18</v>
      </c>
      <c r="Q32" s="3">
        <f>COUNTIFS(historical_events_FACT!G:G, B32,historical_events_FACT!B:B, "2015",historical_events_FACT!C:C, "8" )</f>
        <v>6</v>
      </c>
      <c r="R32" s="3">
        <f t="shared" si="8"/>
        <v>11.42</v>
      </c>
      <c r="S32" s="3">
        <f>SUMIFS( historical_events_FACT!J:J, historical_events_FACT!G:G, B32,historical_events_FACT!B:B, "2016",historical_events_FACT!C:C, "8" )</f>
        <v>22.83</v>
      </c>
      <c r="T32" s="3">
        <f>COUNTIFS(historical_events_FACT!G:G, B32,historical_events_FACT!B:B, "2016",historical_events_FACT!C:C, "8" )</f>
        <v>2</v>
      </c>
      <c r="U32" s="3">
        <f>MAXIFS( historical_events_FACT!J:J, historical_events_FACT!G:G, B32,historical_events_FACT!C:C, "8" )</f>
        <v>18.1</v>
      </c>
      <c r="V32" s="97">
        <f t="array" ref="V32">ROUND(AVERAGEIF({ IFERROR(XLOOKUP(B32, 'Surfer Stats - Event 7'!B:B, 'Surfer Stats - Event 7'!Z:Z), ""), IFERROR(XLOOKUP(B32, 'Surfer Stats - Event 5'!B:B, 'Surfer Stats - Event 5'!AA:AA), ""), IFERROR(XLOOKUP(B32, 'Surfer Stats - Event 6'!B:B, 'Surfer Stats - Event 6'!Y:Y), "") }, "&lt;&gt;"),2)</f>
        <v>25.39</v>
      </c>
      <c r="W32" s="3">
        <f t="array" ref="W32">XLOOKUP(B32, 'Surfer Stats - Event 7'!B:B, 'Surfer Stats - Event 7'!Z:Z)</f>
        <v>32.24</v>
      </c>
      <c r="X32" s="75">
        <f>4000+1750+500+1750</f>
        <v>8000</v>
      </c>
      <c r="Y32" s="3">
        <f t="array" ref="Y32">XLOOKUP(B32,'Event 8 Assist'!A:A, 'Event 8 Assist'!E:E)</f>
        <v>23.53</v>
      </c>
    </row>
    <row r="33">
      <c r="A33" s="78">
        <v>1.0</v>
      </c>
      <c r="B33" s="66" t="s">
        <v>55</v>
      </c>
      <c r="C33" s="3" t="str">
        <f t="array" ref="C33">XLOOKUP(B33, 'Surfer Stats - Event 4'!B:B, 'Surfer Stats - Event 4'!D:D)</f>
        <v>Goofy</v>
      </c>
      <c r="D33" s="3">
        <f t="shared" si="1"/>
        <v>13</v>
      </c>
      <c r="E33" s="10">
        <v>0.0</v>
      </c>
      <c r="F33" s="10">
        <v>0.0</v>
      </c>
      <c r="G33" s="10">
        <v>9.0</v>
      </c>
      <c r="H33" s="10">
        <v>99.0</v>
      </c>
      <c r="I33" s="10">
        <v>99.0</v>
      </c>
      <c r="J33" s="3">
        <f>COUNTIFS( historical_events_FACT!J:J, "&gt;16", historical_events_FACT!G:G, B33,historical_events_FACT!C:C, "8" )</f>
        <v>4</v>
      </c>
      <c r="K33" s="3">
        <f t="shared" si="2"/>
        <v>14.06</v>
      </c>
      <c r="L33" s="3">
        <f t="shared" si="3"/>
        <v>12.86</v>
      </c>
      <c r="M33" s="3">
        <f>SUMIFS( '2014Data'!I:I, '2014Data'!F:F, B33,'2014Data'!B:B, "8" )</f>
        <v>64.31</v>
      </c>
      <c r="N33" s="3">
        <f>COUNTIFS('2014Data'!F:F, B33,'2014Data'!B:B, "8" )</f>
        <v>5</v>
      </c>
      <c r="O33" s="3">
        <f t="shared" si="10"/>
        <v>15.43</v>
      </c>
      <c r="P33" s="3">
        <f>SUMIFS( historical_events_FACT!J:J, historical_events_FACT!G:G, B33,historical_events_FACT!B:B, "2015",historical_events_FACT!C:C, "8" )</f>
        <v>77.17</v>
      </c>
      <c r="Q33" s="3">
        <f>COUNTIFS(historical_events_FACT!G:G, B33,historical_events_FACT!B:B, "2015",historical_events_FACT!C:C, "8" )</f>
        <v>5</v>
      </c>
      <c r="R33" s="3">
        <f t="shared" si="8"/>
        <v>13.76</v>
      </c>
      <c r="S33" s="3">
        <f>SUMIFS( historical_events_FACT!J:J, historical_events_FACT!G:G, B33,historical_events_FACT!B:B, "2016",historical_events_FACT!C:C, "8" )</f>
        <v>41.27</v>
      </c>
      <c r="T33" s="3">
        <f>COUNTIFS(historical_events_FACT!G:G, B33,historical_events_FACT!B:B, "2016",historical_events_FACT!C:C, "8" )</f>
        <v>3</v>
      </c>
      <c r="U33" s="3">
        <f>MAXIFS( historical_events_FACT!J:J, historical_events_FACT!G:G, B33,historical_events_FACT!C:C, "8" )</f>
        <v>17.2</v>
      </c>
      <c r="V33" s="97">
        <f t="array" ref="V33">ROUND(AVERAGEIF({ IFERROR(XLOOKUP(B33, 'Surfer Stats - Event 7'!B:B, 'Surfer Stats - Event 7'!Z:Z), ""), IFERROR(XLOOKUP(B33, 'Surfer Stats - Event 5'!B:B, 'Surfer Stats - Event 5'!AA:AA), ""), IFERROR(XLOOKUP(B33, 'Surfer Stats - Event 6'!B:B, 'Surfer Stats - Event 6'!Y:Y), "") }, "&lt;&gt;"),2)</f>
        <v>22.18</v>
      </c>
      <c r="W33" s="3">
        <f t="array" ref="W33">XLOOKUP(B33, 'Surfer Stats - Event 7'!B:B, 'Surfer Stats - Event 7'!Z:Z)</f>
        <v>7.94</v>
      </c>
      <c r="X33" s="75">
        <f>500+4000+1750+500+500</f>
        <v>7250</v>
      </c>
      <c r="Y33" s="3">
        <f t="array" ref="Y33">XLOOKUP(B33,'Event 8 Assist'!A:A, 'Event 8 Assist'!E:E)</f>
        <v>36.13</v>
      </c>
    </row>
    <row r="34">
      <c r="A34" s="78">
        <v>1.0</v>
      </c>
      <c r="B34" s="66" t="s">
        <v>35</v>
      </c>
      <c r="C34" s="3" t="str">
        <f t="array" ref="C34">XLOOKUP(B34, 'Surfer Stats - Event 4'!B:B, 'Surfer Stats - Event 4'!D:D)</f>
        <v>Goofy</v>
      </c>
      <c r="D34" s="3">
        <f t="shared" si="1"/>
        <v>10</v>
      </c>
      <c r="E34" s="10">
        <v>0.0</v>
      </c>
      <c r="F34" s="10">
        <v>0.0</v>
      </c>
      <c r="G34" s="10">
        <v>13.0</v>
      </c>
      <c r="H34" s="10">
        <v>25.0</v>
      </c>
      <c r="I34" s="10">
        <v>9.0</v>
      </c>
      <c r="J34" s="3">
        <f>COUNTIFS( historical_events_FACT!J:J, "&gt;16", historical_events_FACT!G:G, B34,historical_events_FACT!C:C, "8" )</f>
        <v>1</v>
      </c>
      <c r="K34" s="3">
        <f t="shared" si="2"/>
        <v>13.86</v>
      </c>
      <c r="L34" s="3">
        <f t="shared" si="3"/>
        <v>14.48</v>
      </c>
      <c r="M34" s="3">
        <f>SUMIFS( '2014Data'!I:I, '2014Data'!F:F, B34,'2014Data'!B:B, "8" )</f>
        <v>43.44</v>
      </c>
      <c r="N34" s="3">
        <f>COUNTIFS('2014Data'!F:F, B34,'2014Data'!B:B, "8" )</f>
        <v>3</v>
      </c>
      <c r="O34" s="3">
        <f t="shared" si="10"/>
        <v>13.55</v>
      </c>
      <c r="P34" s="3">
        <f>SUMIFS( historical_events_FACT!J:J, historical_events_FACT!G:G, B34,historical_events_FACT!B:B, "2015",historical_events_FACT!C:C, "8" )</f>
        <v>27.1</v>
      </c>
      <c r="Q34" s="3">
        <f>COUNTIFS(historical_events_FACT!G:G, B34,historical_events_FACT!B:B, "2015",historical_events_FACT!C:C, "8" )</f>
        <v>2</v>
      </c>
      <c r="R34" s="3">
        <f t="shared" si="8"/>
        <v>13.62</v>
      </c>
      <c r="S34" s="3">
        <f>SUMIFS( historical_events_FACT!J:J, historical_events_FACT!G:G, B34,historical_events_FACT!B:B, "2016",historical_events_FACT!C:C, "8" )</f>
        <v>68.1</v>
      </c>
      <c r="T34" s="3">
        <f>COUNTIFS(historical_events_FACT!G:G, B34,historical_events_FACT!B:B, "2016",historical_events_FACT!C:C, "8" )</f>
        <v>5</v>
      </c>
      <c r="U34" s="3">
        <f>MAXIFS( historical_events_FACT!J:J, historical_events_FACT!G:G, B34,historical_events_FACT!C:C, "8" )</f>
        <v>17.5</v>
      </c>
      <c r="V34" s="97">
        <f t="array" ref="V34">ROUND(AVERAGEIF({ IFERROR(XLOOKUP(B34, 'Surfer Stats - Event 7'!B:B, 'Surfer Stats - Event 7'!Z:Z), ""), IFERROR(XLOOKUP(B34, 'Surfer Stats - Event 5'!B:B, 'Surfer Stats - Event 5'!AA:AA), ""), IFERROR(XLOOKUP(B34, 'Surfer Stats - Event 6'!B:B, 'Surfer Stats - Event 6'!Y:Y), "") }, "&lt;&gt;"),2)</f>
        <v>27.66</v>
      </c>
      <c r="W34" s="3">
        <f t="array" ref="W34">XLOOKUP(B34, 'Surfer Stats - Event 7'!B:B, 'Surfer Stats - Event 7'!Z:Z)</f>
        <v>23.07</v>
      </c>
      <c r="X34" s="75">
        <f>2750+1750+500+1750+500</f>
        <v>7250</v>
      </c>
      <c r="Y34" s="3">
        <f t="array" ref="Y34">XLOOKUP(B34,'Event 8 Assist'!A:A, 'Event 8 Assist'!E:E)</f>
        <v>70.44</v>
      </c>
    </row>
    <row r="35">
      <c r="A35" s="64">
        <v>0.0</v>
      </c>
      <c r="B35" s="82" t="s">
        <v>169</v>
      </c>
      <c r="C35" s="3" t="str">
        <f t="array" ref="C35">XLOOKUP(B35, 'Surfer Stats - Event 4'!B:B, 'Surfer Stats - Event 4'!D:D)</f>
        <v>Goofy</v>
      </c>
      <c r="D35" s="3">
        <f t="shared" si="1"/>
        <v>3</v>
      </c>
      <c r="E35" s="10">
        <v>0.0</v>
      </c>
      <c r="F35" s="10">
        <v>0.0</v>
      </c>
      <c r="G35" s="10">
        <v>99.0</v>
      </c>
      <c r="H35" s="10">
        <v>99.0</v>
      </c>
      <c r="I35" s="10">
        <v>99.0</v>
      </c>
      <c r="J35" s="3">
        <f>COUNTIFS( historical_events_FACT!J:J, "&gt;16", historical_events_FACT!G:G, B35,historical_events_FACT!C:C, "8" )</f>
        <v>0</v>
      </c>
      <c r="K35" s="3">
        <f t="shared" si="2"/>
        <v>12.41</v>
      </c>
      <c r="L35" s="3">
        <f t="shared" si="3"/>
        <v>0</v>
      </c>
      <c r="M35" s="3">
        <f>SUMIFS( '2014Data'!I:I, '2014Data'!F:F, B35,'2014Data'!B:B, "8" )</f>
        <v>0</v>
      </c>
      <c r="N35" s="3">
        <f>COUNTIFS('2014Data'!F:F, B35,'2014Data'!B:B, "8" )</f>
        <v>0</v>
      </c>
      <c r="O35" s="3">
        <f t="shared" si="10"/>
        <v>0</v>
      </c>
      <c r="P35" s="3">
        <f>SUMIFS( historical_events_FACT!J:J, historical_events_FACT!G:G, B35,historical_events_FACT!B:B, "2015",historical_events_FACT!C:C, "8" )</f>
        <v>0</v>
      </c>
      <c r="Q35" s="3">
        <f>COUNTIFS(historical_events_FACT!G:G, B35,historical_events_FACT!B:B, "2015",historical_events_FACT!C:C, "8" )</f>
        <v>0</v>
      </c>
      <c r="R35" s="10">
        <v>12.41</v>
      </c>
      <c r="S35" s="3">
        <f>R35*T35</f>
        <v>37.23</v>
      </c>
      <c r="T35" s="10">
        <v>3.0</v>
      </c>
      <c r="U35" s="3">
        <f>MAXIFS( historical_events_FACT!J:J, historical_events_FACT!G:G, B35,historical_events_FACT!C:C, "8" )</f>
        <v>0</v>
      </c>
      <c r="V35" s="97">
        <f t="array" ref="V35">ROUND(AVERAGEIF({ IFERROR(XLOOKUP(B35, 'Surfer Stats - Event 7'!B:B, 'Surfer Stats - Event 7'!Z:Z), ""), IFERROR(XLOOKUP(B35, 'Surfer Stats - Event 5'!B:B, 'Surfer Stats - Event 5'!AA:AA), ""), IFERROR(XLOOKUP(B35, 'Surfer Stats - Event 6'!B:B, 'Surfer Stats - Event 6'!Y:Y), "") }, "&lt;&gt;"),2)</f>
        <v>19.76</v>
      </c>
      <c r="W35" s="3" t="str">
        <f t="array" ref="W35">XLOOKUP(B35, 'Surfer Stats - Event 7'!B:B, 'Surfer Stats - Event 7'!Z:Z)</f>
        <v/>
      </c>
      <c r="X35" s="91">
        <f>6500+500</f>
        <v>7000</v>
      </c>
      <c r="Y35" s="3" t="str">
        <f t="array" ref="Y35">XLOOKUP(B35,'Event 8 Assist'!A:A, 'Event 8 Assist'!E:E)</f>
        <v/>
      </c>
    </row>
    <row r="36">
      <c r="A36" s="51">
        <v>1.0</v>
      </c>
      <c r="B36" s="66" t="s">
        <v>45</v>
      </c>
      <c r="C36" s="3" t="str">
        <f t="array" ref="C36">XLOOKUP(B36, 'Surfer Stats - Event 4'!B:B, 'Surfer Stats - Event 4'!D:D)</f>
        <v>Regular</v>
      </c>
      <c r="D36" s="3">
        <f t="shared" si="1"/>
        <v>10</v>
      </c>
      <c r="E36" s="10">
        <v>0.0</v>
      </c>
      <c r="F36" s="10">
        <v>1.0</v>
      </c>
      <c r="G36" s="10">
        <v>25.0</v>
      </c>
      <c r="H36" s="10">
        <v>13.0</v>
      </c>
      <c r="I36" s="10">
        <v>9.0</v>
      </c>
      <c r="J36" s="3">
        <f>COUNTIFS( historical_events_FACT!J:J, "&gt;16", historical_events_FACT!G:G, B36,historical_events_FACT!C:C, "8" )</f>
        <v>0</v>
      </c>
      <c r="K36" s="3">
        <f t="shared" si="2"/>
        <v>12.37</v>
      </c>
      <c r="L36" s="3">
        <f t="shared" si="3"/>
        <v>11.79</v>
      </c>
      <c r="M36" s="3">
        <f>SUMIFS( '2014Data'!I:I, '2014Data'!F:F, B36,'2014Data'!B:B, "8" )</f>
        <v>23.57</v>
      </c>
      <c r="N36" s="3">
        <f>COUNTIFS('2014Data'!F:F, B36,'2014Data'!B:B, "8" )</f>
        <v>2</v>
      </c>
      <c r="O36" s="3">
        <f t="shared" si="10"/>
        <v>14.07</v>
      </c>
      <c r="P36" s="3">
        <f>SUMIFS( historical_events_FACT!J:J, historical_events_FACT!G:G, B36,historical_events_FACT!B:B, "2015",historical_events_FACT!C:C, "8" )</f>
        <v>42.2</v>
      </c>
      <c r="Q36" s="3">
        <f>COUNTIFS(historical_events_FACT!G:G, B36,historical_events_FACT!B:B, "2015",historical_events_FACT!C:C, "8" )</f>
        <v>3</v>
      </c>
      <c r="R36" s="3">
        <f t="shared" ref="R36:R48" si="11">IF(T36=0,0,ROUND(S36/T36,2))</f>
        <v>11.58</v>
      </c>
      <c r="S36" s="3">
        <f>SUMIFS( historical_events_FACT!J:J, historical_events_FACT!G:G, B36,historical_events_FACT!B:B, "2016",historical_events_FACT!C:C, "8" )</f>
        <v>57.9</v>
      </c>
      <c r="T36" s="3">
        <f>COUNTIFS(historical_events_FACT!G:G, B36,historical_events_FACT!B:B, "2016",historical_events_FACT!C:C, "8" )</f>
        <v>5</v>
      </c>
      <c r="U36" s="3">
        <f>MAXIFS( historical_events_FACT!J:J, historical_events_FACT!G:G, B36,historical_events_FACT!C:C, "8" )</f>
        <v>15.16</v>
      </c>
      <c r="V36" s="97">
        <f t="array" ref="V36">ROUND(AVERAGEIF({ IFERROR(XLOOKUP(B36, 'Surfer Stats - Event 7'!B:B, 'Surfer Stats - Event 7'!Z:Z), ""), IFERROR(XLOOKUP(B36, 'Surfer Stats - Event 5'!B:B, 'Surfer Stats - Event 5'!AA:AA), ""), IFERROR(XLOOKUP(B36, 'Surfer Stats - Event 6'!B:B, 'Surfer Stats - Event 6'!Y:Y), "") }, "&lt;&gt;"),2)</f>
        <v>18.5</v>
      </c>
      <c r="W36" s="3">
        <f t="array" ref="W36">XLOOKUP(B36, 'Surfer Stats - Event 7'!B:B, 'Surfer Stats - Event 7'!Z:Z)</f>
        <v>15.73</v>
      </c>
      <c r="X36" s="75">
        <f>1500+1750+500+500+500</f>
        <v>4750</v>
      </c>
      <c r="Y36" s="3">
        <f t="array" ref="Y36">XLOOKUP(B36,'Event 8 Assist'!A:A, 'Event 8 Assist'!E:E)</f>
        <v>39.7</v>
      </c>
    </row>
    <row r="37">
      <c r="A37" s="78">
        <v>1.0</v>
      </c>
      <c r="B37" s="66" t="s">
        <v>63</v>
      </c>
      <c r="C37" s="3" t="str">
        <f t="array" ref="C37">XLOOKUP(B37, 'Surfer Stats - Event 4'!B:B, 'Surfer Stats - Event 4'!D:D)</f>
        <v>Regular</v>
      </c>
      <c r="D37" s="3">
        <f t="shared" si="1"/>
        <v>12</v>
      </c>
      <c r="E37" s="10">
        <v>0.0</v>
      </c>
      <c r="F37" s="10">
        <v>0.0</v>
      </c>
      <c r="G37" s="10">
        <v>99.0</v>
      </c>
      <c r="H37" s="10">
        <v>99.0</v>
      </c>
      <c r="I37" s="10">
        <v>99.0</v>
      </c>
      <c r="J37" s="3">
        <f>COUNTIFS( historical_events_FACT!J:J, "&gt;16", historical_events_FACT!G:G, B37,historical_events_FACT!C:C, "8" )</f>
        <v>0</v>
      </c>
      <c r="K37" s="3">
        <f t="shared" si="2"/>
        <v>13.62</v>
      </c>
      <c r="L37" s="3">
        <f t="shared" si="3"/>
        <v>0</v>
      </c>
      <c r="M37" s="3">
        <f>SUMIFS( '2014Data'!I:I, '2014Data'!F:F, B37,'2014Data'!B:B, "8" )</f>
        <v>0</v>
      </c>
      <c r="N37" s="3">
        <f>COUNTIFS('2014Data'!F:F, B37,'2014Data'!B:B, "8" )</f>
        <v>0</v>
      </c>
      <c r="O37" s="10">
        <v>14.36</v>
      </c>
      <c r="P37" s="3">
        <f>O37*Q37</f>
        <v>57.44</v>
      </c>
      <c r="Q37" s="10">
        <v>4.0</v>
      </c>
      <c r="R37" s="3">
        <f t="shared" si="11"/>
        <v>13.25</v>
      </c>
      <c r="S37" s="10">
        <v>106.03</v>
      </c>
      <c r="T37" s="10">
        <v>8.0</v>
      </c>
      <c r="U37" s="10">
        <v>15.3</v>
      </c>
      <c r="V37" s="97">
        <f t="array" ref="V37">ROUND(AVERAGEIF({ IFERROR(XLOOKUP(B37, 'Surfer Stats - Event 7'!B:B, 'Surfer Stats - Event 7'!Z:Z), ""), IFERROR(XLOOKUP(B37, 'Surfer Stats - Event 5'!B:B, 'Surfer Stats - Event 5'!AA:AA), ""), IFERROR(XLOOKUP(B37, 'Surfer Stats - Event 6'!B:B, 'Surfer Stats - Event 6'!Y:Y), "") }, "&lt;&gt;"),2)</f>
        <v>20.94</v>
      </c>
      <c r="W37" s="3">
        <f t="array" ref="W37">XLOOKUP(B37, 'Surfer Stats - Event 7'!B:B, 'Surfer Stats - Event 7'!Z:Z)</f>
        <v>25.9</v>
      </c>
      <c r="X37" s="75">
        <f>1500+500+500+500+1750</f>
        <v>4750</v>
      </c>
      <c r="Y37" s="3">
        <f t="array" ref="Y37">XLOOKUP(B37,'Event 8 Assist'!A:A, 'Event 8 Assist'!E:E)</f>
        <v>30.23</v>
      </c>
    </row>
    <row r="38">
      <c r="A38" s="51">
        <v>0.0</v>
      </c>
      <c r="B38" s="82" t="s">
        <v>142</v>
      </c>
      <c r="C38" s="3" t="str">
        <f t="array" ref="C38">XLOOKUP(B38, 'Surfer Stats - Event 4'!B:B, 'Surfer Stats - Event 4'!D:D)</f>
        <v>Goofy</v>
      </c>
      <c r="D38" s="3">
        <f t="shared" si="1"/>
        <v>0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"8" )</f>
        <v>0</v>
      </c>
      <c r="K38" s="3">
        <f t="shared" si="2"/>
        <v>0</v>
      </c>
      <c r="L38" s="3">
        <f t="shared" si="3"/>
        <v>0</v>
      </c>
      <c r="M38" s="3">
        <f>SUMIFS( '2014Data'!I:I, '2014Data'!F:F, B38,'2014Data'!B:B, "8" )</f>
        <v>0</v>
      </c>
      <c r="N38" s="3">
        <f>COUNTIFS('2014Data'!F:F, B38,'2014Data'!B:B, "8" )</f>
        <v>0</v>
      </c>
      <c r="O38" s="3">
        <f t="shared" ref="O38:O50" si="12">IF(P38=0,0,ROUND(P38/Q38,2))</f>
        <v>0</v>
      </c>
      <c r="P38" s="3">
        <f>SUMIFS( historical_events_FACT!J:J, historical_events_FACT!G:G, B38,historical_events_FACT!B:B, "2015",historical_events_FACT!C:C, "8" )</f>
        <v>0</v>
      </c>
      <c r="Q38" s="3">
        <f>COUNTIFS(historical_events_FACT!G:G, B38,historical_events_FACT!B:B, "2015",historical_events_FACT!C:C, "8" )</f>
        <v>0</v>
      </c>
      <c r="R38" s="3">
        <f t="shared" si="11"/>
        <v>0</v>
      </c>
      <c r="S38" s="3">
        <f>SUMIFS( historical_events_FACT!J:J, historical_events_FACT!G:G, B38,historical_events_FACT!B:B, "2016",historical_events_FACT!C:C, "8" )</f>
        <v>0</v>
      </c>
      <c r="T38" s="3">
        <f>COUNTIFS(historical_events_FACT!G:G, B38,historical_events_FACT!B:B, "2016",historical_events_FACT!C:C, "8" )</f>
        <v>0</v>
      </c>
      <c r="U38" s="3">
        <f>MAXIFS( historical_events_FACT!J:J, historical_events_FACT!G:G, B38,historical_events_FACT!C:C, "8" )</f>
        <v>0</v>
      </c>
      <c r="V38" s="97">
        <f t="array" ref="V38">ROUND(AVERAGEIF({ IFERROR(XLOOKUP(B38, 'Surfer Stats - Event 7'!B:B, 'Surfer Stats - Event 7'!Z:Z), ""), IFERROR(XLOOKUP(B38, 'Surfer Stats - Event 5'!B:B, 'Surfer Stats - Event 5'!AA:AA), ""), IFERROR(XLOOKUP(B38, 'Surfer Stats - Event 6'!B:B, 'Surfer Stats - Event 6'!Y:Y), "") }, "&lt;&gt;"),2)</f>
        <v>0</v>
      </c>
      <c r="W38" s="3" t="str">
        <f t="array" ref="W38">XLOOKUP(B38, 'Surfer Stats - Event 7'!B:B, 'Surfer Stats - Event 7'!Z:Z)</f>
        <v/>
      </c>
      <c r="X38" s="83">
        <f>1750+500</f>
        <v>2250</v>
      </c>
      <c r="Y38" s="3" t="str">
        <f t="array" ref="Y38">XLOOKUP(B38,'Event 8 Assist'!A:A, 'Event 8 Assist'!E:E)</f>
        <v/>
      </c>
    </row>
    <row r="39">
      <c r="A39" s="51">
        <v>0.0</v>
      </c>
      <c r="B39" s="93" t="s">
        <v>262</v>
      </c>
      <c r="C39" s="3" t="str">
        <f t="array" ref="C39">XLOOKUP(B39, 'Surfer Stats - Event 4'!B:B, 'Surfer Stats - Event 4'!D:D)</f>
        <v>Goofy</v>
      </c>
      <c r="D39" s="3">
        <f t="shared" si="1"/>
        <v>0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"8" )</f>
        <v>0</v>
      </c>
      <c r="K39" s="3">
        <f t="shared" si="2"/>
        <v>0</v>
      </c>
      <c r="L39" s="3">
        <f t="shared" si="3"/>
        <v>0</v>
      </c>
      <c r="M39" s="3">
        <f>SUMIFS( '2014Data'!I:I, '2014Data'!F:F, B39,'2014Data'!B:B, "8" )</f>
        <v>0</v>
      </c>
      <c r="N39" s="3">
        <f>COUNTIFS('2014Data'!F:F, B39,'2014Data'!B:B, "8" )</f>
        <v>0</v>
      </c>
      <c r="O39" s="3">
        <f t="shared" si="12"/>
        <v>0</v>
      </c>
      <c r="P39" s="3">
        <f>SUMIFS( historical_events_FACT!J:J, historical_events_FACT!G:G, B39,historical_events_FACT!B:B, "2015",historical_events_FACT!C:C, "8" )</f>
        <v>0</v>
      </c>
      <c r="Q39" s="3">
        <f>COUNTIFS(historical_events_FACT!G:G, B39,historical_events_FACT!B:B, "2015",historical_events_FACT!C:C, "8" )</f>
        <v>0</v>
      </c>
      <c r="R39" s="3">
        <f t="shared" si="11"/>
        <v>0</v>
      </c>
      <c r="S39" s="3">
        <f>SUMIFS( historical_events_FACT!J:J, historical_events_FACT!G:G, B39,historical_events_FACT!B:B, "2016",historical_events_FACT!C:C, "8" )</f>
        <v>0</v>
      </c>
      <c r="T39" s="3">
        <f>COUNTIFS(historical_events_FACT!G:G, B39,historical_events_FACT!B:B, "2016",historical_events_FACT!C:C, "8" )</f>
        <v>0</v>
      </c>
      <c r="U39" s="3">
        <f>MAXIFS( historical_events_FACT!J:J, historical_events_FACT!G:G, B39,historical_events_FACT!C:C, "8" )</f>
        <v>0</v>
      </c>
      <c r="V39" s="97">
        <f t="array" ref="V39">ROUND(AVERAGEIF({ IFERROR(XLOOKUP(B39, 'Surfer Stats - Event 7'!B:B, 'Surfer Stats - Event 7'!Z:Z), ""), IFERROR(XLOOKUP(B39, 'Surfer Stats - Event 5'!B:B, 'Surfer Stats - Event 5'!AA:AA), ""), IFERROR(XLOOKUP(B39, 'Surfer Stats - Event 6'!B:B, 'Surfer Stats - Event 6'!Y:Y), "") }, "&lt;&gt;"),2)</f>
        <v>0</v>
      </c>
      <c r="W39" s="3" t="str">
        <f t="array" ref="W39">XLOOKUP(B39, 'Surfer Stats - Event 7'!B:B, 'Surfer Stats - Event 7'!Z:Z)</f>
        <v/>
      </c>
      <c r="X39" s="83">
        <v>1750.0</v>
      </c>
      <c r="Y39" s="3" t="str">
        <f t="array" ref="Y39">XLOOKUP(B39,'Event 8 Assist'!A:A, 'Event 8 Assist'!E:E)</f>
        <v/>
      </c>
    </row>
    <row r="40">
      <c r="A40" s="51">
        <v>0.0</v>
      </c>
      <c r="B40" s="93" t="s">
        <v>46</v>
      </c>
      <c r="C40" s="3" t="str">
        <f t="array" ref="C40">XLOOKUP(B40, 'Surfer Stats - Event 4'!B:B, 'Surfer Stats - Event 4'!D:D)</f>
        <v>Regular</v>
      </c>
      <c r="D40" s="3">
        <f t="shared" si="1"/>
        <v>0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"8" )</f>
        <v>0</v>
      </c>
      <c r="K40" s="3">
        <f t="shared" si="2"/>
        <v>0</v>
      </c>
      <c r="L40" s="3">
        <f t="shared" si="3"/>
        <v>0</v>
      </c>
      <c r="M40" s="3">
        <f>SUMIFS( '2014Data'!I:I, '2014Data'!F:F, B40,'2014Data'!B:B, "8" )</f>
        <v>0</v>
      </c>
      <c r="N40" s="3">
        <f>COUNTIFS('2014Data'!F:F, B40,'2014Data'!B:B, "8" )</f>
        <v>0</v>
      </c>
      <c r="O40" s="3">
        <f t="shared" si="12"/>
        <v>0</v>
      </c>
      <c r="P40" s="3">
        <f>SUMIFS( historical_events_FACT!J:J, historical_events_FACT!G:G, B40,historical_events_FACT!B:B, "2015",historical_events_FACT!C:C, "8" )</f>
        <v>0</v>
      </c>
      <c r="Q40" s="3">
        <f>COUNTIFS(historical_events_FACT!G:G, B40,historical_events_FACT!B:B, "2015",historical_events_FACT!C:C, "8" )</f>
        <v>0</v>
      </c>
      <c r="R40" s="3">
        <f t="shared" si="11"/>
        <v>0</v>
      </c>
      <c r="S40" s="3">
        <f>SUMIFS( historical_events_FACT!J:J, historical_events_FACT!G:G, B40,historical_events_FACT!B:B, "2016",historical_events_FACT!C:C, "8" )</f>
        <v>0</v>
      </c>
      <c r="T40" s="3">
        <f>COUNTIFS(historical_events_FACT!G:G, B40,historical_events_FACT!B:B, "2016",historical_events_FACT!C:C, "8" )</f>
        <v>0</v>
      </c>
      <c r="U40" s="3">
        <f>MAXIFS( historical_events_FACT!J:J, historical_events_FACT!G:G, B40,historical_events_FACT!C:C, "8" )</f>
        <v>0</v>
      </c>
      <c r="V40" s="97">
        <f t="array" ref="V40">ROUND(AVERAGEIF({ IFERROR(XLOOKUP(B40, 'Surfer Stats - Event 7'!B:B, 'Surfer Stats - Event 7'!Z:Z), ""), IFERROR(XLOOKUP(B40, 'Surfer Stats - Event 5'!B:B, 'Surfer Stats - Event 5'!AA:AA), ""), IFERROR(XLOOKUP(B40, 'Surfer Stats - Event 6'!B:B, 'Surfer Stats - Event 6'!Y:Y), "") }, "&lt;&gt;"),2)</f>
        <v>0</v>
      </c>
      <c r="W40" s="3" t="str">
        <f t="array" ref="W40">XLOOKUP(B40, 'Surfer Stats - Event 7'!B:B, 'Surfer Stats - Event 7'!Z:Z)</f>
        <v/>
      </c>
      <c r="X40" s="83">
        <v>1750.0</v>
      </c>
      <c r="Y40" s="3" t="str">
        <f t="array" ref="Y40">XLOOKUP(B40,'Event 8 Assist'!A:A, 'Event 8 Assist'!E:E)</f>
        <v/>
      </c>
    </row>
    <row r="41">
      <c r="A41" s="51">
        <v>0.0</v>
      </c>
      <c r="B41" s="82" t="s">
        <v>168</v>
      </c>
      <c r="C41" s="3" t="str">
        <f t="array" ref="C41">XLOOKUP(B41, 'Surfer Stats - Event 4'!B:B, 'Surfer Stats - Event 4'!D:D)</f>
        <v>Regular</v>
      </c>
      <c r="D41" s="3">
        <f t="shared" si="1"/>
        <v>0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"8" )</f>
        <v>0</v>
      </c>
      <c r="K41" s="3">
        <f t="shared" si="2"/>
        <v>0</v>
      </c>
      <c r="L41" s="3">
        <f t="shared" si="3"/>
        <v>0</v>
      </c>
      <c r="M41" s="3">
        <f>SUMIFS( '2014Data'!I:I, '2014Data'!F:F, B41,'2014Data'!B:B, "8" )</f>
        <v>0</v>
      </c>
      <c r="N41" s="3">
        <f>COUNTIFS('2014Data'!F:F, B41,'2014Data'!B:B, "8" )</f>
        <v>0</v>
      </c>
      <c r="O41" s="3">
        <f t="shared" si="12"/>
        <v>0</v>
      </c>
      <c r="P41" s="3">
        <f>SUMIFS( historical_events_FACT!J:J, historical_events_FACT!G:G, B41,historical_events_FACT!B:B, "2015",historical_events_FACT!C:C, "8" )</f>
        <v>0</v>
      </c>
      <c r="Q41" s="3">
        <f>COUNTIFS(historical_events_FACT!G:G, B41,historical_events_FACT!B:B, "2015",historical_events_FACT!C:C, "8" )</f>
        <v>0</v>
      </c>
      <c r="R41" s="3">
        <f t="shared" si="11"/>
        <v>0</v>
      </c>
      <c r="S41" s="3">
        <f>SUMIFS( historical_events_FACT!J:J, historical_events_FACT!G:G, B41,historical_events_FACT!B:B, "2016",historical_events_FACT!C:C, "8" )</f>
        <v>0</v>
      </c>
      <c r="T41" s="3">
        <f>COUNTIFS(historical_events_FACT!G:G, B41,historical_events_FACT!B:B, "2016",historical_events_FACT!C:C, "8" )</f>
        <v>0</v>
      </c>
      <c r="U41" s="3">
        <f>MAXIFS( historical_events_FACT!J:J, historical_events_FACT!G:G, B41,historical_events_FACT!C:C, "8" )</f>
        <v>0</v>
      </c>
      <c r="V41" s="97">
        <f t="array" ref="V41">ROUND(AVERAGEIF({ IFERROR(XLOOKUP(B41, 'Surfer Stats - Event 7'!B:B, 'Surfer Stats - Event 7'!Z:Z), ""), IFERROR(XLOOKUP(B41, 'Surfer Stats - Event 5'!B:B, 'Surfer Stats - Event 5'!AA:AA), ""), IFERROR(XLOOKUP(B41, 'Surfer Stats - Event 6'!B:B, 'Surfer Stats - Event 6'!Y:Y), "") }, "&lt;&gt;"),2)</f>
        <v>12.83</v>
      </c>
      <c r="W41" s="3" t="str">
        <f t="array" ref="W41">XLOOKUP(B41, 'Surfer Stats - Event 7'!B:B, 'Surfer Stats - Event 7'!Z:Z)</f>
        <v/>
      </c>
      <c r="X41" s="91">
        <f>0+500+500</f>
        <v>1000</v>
      </c>
      <c r="Y41" s="3" t="str">
        <f t="array" ref="Y41">XLOOKUP(B41,'Event 8 Assist'!A:A, 'Event 8 Assist'!E:E)</f>
        <v/>
      </c>
    </row>
    <row r="42">
      <c r="A42" s="51">
        <v>0.0</v>
      </c>
      <c r="B42" s="82" t="s">
        <v>144</v>
      </c>
      <c r="C42" s="3" t="str">
        <f t="array" ref="C42">XLOOKUP(B42, 'Surfer Stats - Event 4'!B:B, 'Surfer Stats - Event 4'!D:D)</f>
        <v>Regular</v>
      </c>
      <c r="D42" s="3">
        <f t="shared" si="1"/>
        <v>0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"8" )</f>
        <v>0</v>
      </c>
      <c r="K42" s="3">
        <f t="shared" si="2"/>
        <v>0</v>
      </c>
      <c r="L42" s="3">
        <f t="shared" si="3"/>
        <v>0</v>
      </c>
      <c r="M42" s="3">
        <f>SUMIFS( '2014Data'!I:I, '2014Data'!F:F, B42,'2014Data'!B:B, "8" )</f>
        <v>0</v>
      </c>
      <c r="N42" s="3">
        <f>COUNTIFS('2014Data'!F:F, B42,'2014Data'!B:B, "8" )</f>
        <v>0</v>
      </c>
      <c r="O42" s="3">
        <f t="shared" si="12"/>
        <v>0</v>
      </c>
      <c r="P42" s="3">
        <f>SUMIFS( historical_events_FACT!J:J, historical_events_FACT!G:G, B42,historical_events_FACT!B:B, "2015",historical_events_FACT!C:C, "8" )</f>
        <v>0</v>
      </c>
      <c r="Q42" s="3">
        <f>COUNTIFS(historical_events_FACT!G:G, B42,historical_events_FACT!B:B, "2015",historical_events_FACT!C:C, "8" )</f>
        <v>0</v>
      </c>
      <c r="R42" s="3">
        <f t="shared" si="11"/>
        <v>0</v>
      </c>
      <c r="S42" s="3">
        <f>SUMIFS( historical_events_FACT!J:J, historical_events_FACT!G:G, B42,historical_events_FACT!B:B, "2016",historical_events_FACT!C:C, "8" )</f>
        <v>0</v>
      </c>
      <c r="T42" s="3">
        <f>COUNTIFS(historical_events_FACT!G:G, B42,historical_events_FACT!B:B, "2016",historical_events_FACT!C:C, "8" )</f>
        <v>0</v>
      </c>
      <c r="U42" s="3">
        <f>MAXIFS( historical_events_FACT!J:J, historical_events_FACT!G:G, B42,historical_events_FACT!C:C, "8" )</f>
        <v>0</v>
      </c>
      <c r="V42" s="97">
        <f t="array" ref="V42">ROUND(AVERAGEIF({ IFERROR(XLOOKUP(B42, 'Surfer Stats - Event 7'!B:B, 'Surfer Stats - Event 7'!Z:Z), ""), IFERROR(XLOOKUP(B42, 'Surfer Stats - Event 5'!B:B, 'Surfer Stats - Event 5'!AA:AA), ""), IFERROR(XLOOKUP(B42, 'Surfer Stats - Event 6'!B:B, 'Surfer Stats - Event 6'!Y:Y), "") }, "&lt;&gt;"),2)</f>
        <v>0</v>
      </c>
      <c r="W42" s="3" t="str">
        <f t="array" ref="W42">XLOOKUP(B42, 'Surfer Stats - Event 7'!B:B, 'Surfer Stats - Event 7'!Z:Z)</f>
        <v/>
      </c>
      <c r="X42" s="83">
        <v>500.0</v>
      </c>
      <c r="Y42" s="3" t="str">
        <f t="array" ref="Y42">XLOOKUP(B42,'Event 8 Assist'!A:A, 'Event 8 Assist'!E:E)</f>
        <v/>
      </c>
    </row>
    <row r="43">
      <c r="A43" s="51">
        <v>0.0</v>
      </c>
      <c r="B43" s="82" t="s">
        <v>143</v>
      </c>
      <c r="C43" s="3" t="str">
        <f t="array" ref="C43">XLOOKUP(B43, 'Surfer Stats - Event 4'!B:B, 'Surfer Stats - Event 4'!D:D)</f>
        <v>Regular</v>
      </c>
      <c r="D43" s="3">
        <f t="shared" si="1"/>
        <v>0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"8" )</f>
        <v>0</v>
      </c>
      <c r="K43" s="3">
        <f t="shared" si="2"/>
        <v>0</v>
      </c>
      <c r="L43" s="3">
        <f t="shared" si="3"/>
        <v>0</v>
      </c>
      <c r="M43" s="3">
        <f>SUMIFS( '2014Data'!I:I, '2014Data'!F:F, B43,'2014Data'!B:B, "8" )</f>
        <v>0</v>
      </c>
      <c r="N43" s="3">
        <f>COUNTIFS('2014Data'!F:F, B43,'2014Data'!B:B, "8" )</f>
        <v>0</v>
      </c>
      <c r="O43" s="3">
        <f t="shared" si="12"/>
        <v>0</v>
      </c>
      <c r="P43" s="3">
        <f>SUMIFS( historical_events_FACT!J:J, historical_events_FACT!G:G, B43,historical_events_FACT!B:B, "2015",historical_events_FACT!C:C, "8" )</f>
        <v>0</v>
      </c>
      <c r="Q43" s="3">
        <f>COUNTIFS(historical_events_FACT!G:G, B43,historical_events_FACT!B:B, "2015",historical_events_FACT!C:C, "8" )</f>
        <v>0</v>
      </c>
      <c r="R43" s="3">
        <f t="shared" si="11"/>
        <v>0</v>
      </c>
      <c r="S43" s="3">
        <f>SUMIFS( historical_events_FACT!J:J, historical_events_FACT!G:G, B43,historical_events_FACT!B:B, "2016",historical_events_FACT!C:C, "8" )</f>
        <v>0</v>
      </c>
      <c r="T43" s="3">
        <f>COUNTIFS(historical_events_FACT!G:G, B43,historical_events_FACT!B:B, "2016",historical_events_FACT!C:C, "8" )</f>
        <v>0</v>
      </c>
      <c r="U43" s="3">
        <f>MAXIFS( historical_events_FACT!J:J, historical_events_FACT!G:G, B43,historical_events_FACT!C:C, "8" )</f>
        <v>0</v>
      </c>
      <c r="V43" s="97">
        <f t="array" ref="V43">ROUND(AVERAGEIF({ IFERROR(XLOOKUP(B43, 'Surfer Stats - Event 7'!B:B, 'Surfer Stats - Event 7'!Z:Z), ""), IFERROR(XLOOKUP(B43, 'Surfer Stats - Event 5'!B:B, 'Surfer Stats - Event 5'!AA:AA), ""), IFERROR(XLOOKUP(B43, 'Surfer Stats - Event 6'!B:B, 'Surfer Stats - Event 6'!Y:Y), "") }, "&lt;&gt;"),2)</f>
        <v>0</v>
      </c>
      <c r="W43" s="3" t="str">
        <f t="array" ref="W43">XLOOKUP(B43, 'Surfer Stats - Event 7'!B:B, 'Surfer Stats - Event 7'!Z:Z)</f>
        <v/>
      </c>
      <c r="X43" s="83">
        <v>500.0</v>
      </c>
      <c r="Y43" s="3" t="str">
        <f t="array" ref="Y43">XLOOKUP(B43,'Event 8 Assist'!A:A, 'Event 8 Assist'!E:E)</f>
        <v/>
      </c>
    </row>
    <row r="44">
      <c r="A44" s="51">
        <v>0.0</v>
      </c>
      <c r="B44" s="82" t="s">
        <v>82</v>
      </c>
      <c r="C44" s="10" t="s">
        <v>247</v>
      </c>
      <c r="D44" s="3">
        <f t="shared" si="1"/>
        <v>0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"8" )</f>
        <v>0</v>
      </c>
      <c r="K44" s="3">
        <f t="shared" si="2"/>
        <v>0</v>
      </c>
      <c r="L44" s="3">
        <f t="shared" si="3"/>
        <v>0</v>
      </c>
      <c r="M44" s="3">
        <f>SUMIFS( '2014Data'!I:I, '2014Data'!F:F, B44,'2014Data'!B:B, "8" )</f>
        <v>0</v>
      </c>
      <c r="N44" s="3">
        <f>COUNTIFS('2014Data'!F:F, B44,'2014Data'!B:B, "8" )</f>
        <v>0</v>
      </c>
      <c r="O44" s="3">
        <f t="shared" si="12"/>
        <v>0</v>
      </c>
      <c r="P44" s="3">
        <f>SUMIFS( historical_events_FACT!J:J, historical_events_FACT!G:G, B44,historical_events_FACT!B:B, "2015",historical_events_FACT!C:C, "8" )</f>
        <v>0</v>
      </c>
      <c r="Q44" s="3">
        <f>COUNTIFS(historical_events_FACT!G:G, B44,historical_events_FACT!B:B, "2015",historical_events_FACT!C:C, "8" )</f>
        <v>0</v>
      </c>
      <c r="R44" s="3">
        <f t="shared" si="11"/>
        <v>0</v>
      </c>
      <c r="S44" s="3">
        <f>SUMIFS( historical_events_FACT!J:J, historical_events_FACT!G:G, B44,historical_events_FACT!B:B, "2016",historical_events_FACT!C:C, "8" )</f>
        <v>0</v>
      </c>
      <c r="T44" s="3">
        <f>COUNTIFS(historical_events_FACT!G:G, B44,historical_events_FACT!B:B, "2016",historical_events_FACT!C:C, "8" )</f>
        <v>0</v>
      </c>
      <c r="U44" s="3">
        <f>MAXIFS( historical_events_FACT!J:J, historical_events_FACT!G:G, B44,historical_events_FACT!C:C, "8" )</f>
        <v>0</v>
      </c>
      <c r="V44" s="97">
        <f t="array" ref="V44">ROUND(AVERAGEIF({ IFERROR(XLOOKUP(B44, 'Surfer Stats - Event 7'!B:B, 'Surfer Stats - Event 7'!Z:Z), ""), IFERROR(XLOOKUP(B44, 'Surfer Stats - Event 5'!B:B, 'Surfer Stats - Event 5'!AA:AA), ""), IFERROR(XLOOKUP(B44, 'Surfer Stats - Event 6'!B:B, 'Surfer Stats - Event 6'!Y:Y), "") }, "&lt;&gt;"),2)</f>
        <v>14.33</v>
      </c>
      <c r="W44" s="3" t="str">
        <f t="array" ref="W44">XLOOKUP(B44, 'Surfer Stats - Event 7'!B:B, 'Surfer Stats - Event 7'!Z:Z)</f>
        <v/>
      </c>
      <c r="X44" s="91">
        <v>500.0</v>
      </c>
      <c r="Y44" s="3" t="str">
        <f t="array" ref="Y44">XLOOKUP(B44,'Event 8 Assist'!A:A, 'Event 8 Assist'!E:E)</f>
        <v/>
      </c>
    </row>
    <row r="45">
      <c r="A45" s="51">
        <v>0.0</v>
      </c>
      <c r="B45" s="82" t="s">
        <v>110</v>
      </c>
      <c r="C45" s="10" t="s">
        <v>244</v>
      </c>
      <c r="D45" s="3">
        <f t="shared" si="1"/>
        <v>0</v>
      </c>
      <c r="E45" s="10">
        <v>0.0</v>
      </c>
      <c r="F45" s="10">
        <v>0.0</v>
      </c>
      <c r="G45" s="10">
        <v>99.0</v>
      </c>
      <c r="H45" s="10">
        <v>99.0</v>
      </c>
      <c r="I45" s="10">
        <v>99.0</v>
      </c>
      <c r="J45" s="3">
        <f>COUNTIFS( historical_events_FACT!J:J, "&gt;16", historical_events_FACT!G:G, B45,historical_events_FACT!C:C, "8" )</f>
        <v>0</v>
      </c>
      <c r="K45" s="3">
        <f t="shared" si="2"/>
        <v>0</v>
      </c>
      <c r="L45" s="3">
        <f t="shared" si="3"/>
        <v>0</v>
      </c>
      <c r="M45" s="3">
        <f>SUMIFS( '2014Data'!I:I, '2014Data'!F:F, B45,'2014Data'!B:B, "8" )</f>
        <v>0</v>
      </c>
      <c r="N45" s="3">
        <f>COUNTIFS('2014Data'!F:F, B45,'2014Data'!B:B, "8" )</f>
        <v>0</v>
      </c>
      <c r="O45" s="3">
        <f t="shared" si="12"/>
        <v>0</v>
      </c>
      <c r="P45" s="3">
        <f>SUMIFS( historical_events_FACT!J:J, historical_events_FACT!G:G, B45,historical_events_FACT!B:B, "2015",historical_events_FACT!C:C, "8" )</f>
        <v>0</v>
      </c>
      <c r="Q45" s="3">
        <f>COUNTIFS(historical_events_FACT!G:G, B45,historical_events_FACT!B:B, "2015",historical_events_FACT!C:C, "8" )</f>
        <v>0</v>
      </c>
      <c r="R45" s="3">
        <f t="shared" si="11"/>
        <v>0</v>
      </c>
      <c r="S45" s="3">
        <f>SUMIFS( historical_events_FACT!J:J, historical_events_FACT!G:G, B45,historical_events_FACT!B:B, "2016",historical_events_FACT!C:C, "8" )</f>
        <v>0</v>
      </c>
      <c r="T45" s="3">
        <f>COUNTIFS(historical_events_FACT!G:G, B45,historical_events_FACT!B:B, "2016",historical_events_FACT!C:C, "8" )</f>
        <v>0</v>
      </c>
      <c r="U45" s="3">
        <f>MAXIFS( historical_events_FACT!J:J, historical_events_FACT!G:G, B45,historical_events_FACT!C:C, "8" )</f>
        <v>0</v>
      </c>
      <c r="V45" s="97">
        <f t="array" ref="V45">ROUND(AVERAGEIF({ IFERROR(XLOOKUP(B45, 'Surfer Stats - Event 7'!B:B, 'Surfer Stats - Event 7'!Z:Z), ""), IFERROR(XLOOKUP(B45, 'Surfer Stats - Event 5'!B:B, 'Surfer Stats - Event 5'!AA:AA), ""), IFERROR(XLOOKUP(B45, 'Surfer Stats - Event 6'!B:B, 'Surfer Stats - Event 6'!Y:Y), "") }, "&lt;&gt;"),2)</f>
        <v>24.07</v>
      </c>
      <c r="W45" s="3" t="str">
        <f t="array" ref="W45">XLOOKUP(B45, 'Surfer Stats - Event 7'!B:B, 'Surfer Stats - Event 7'!Z:Z)</f>
        <v/>
      </c>
      <c r="X45" s="91">
        <v>500.0</v>
      </c>
      <c r="Y45" s="3" t="str">
        <f t="array" ref="Y45">XLOOKUP(B45,'Event 8 Assist'!A:A, 'Event 8 Assist'!E:E)</f>
        <v/>
      </c>
    </row>
    <row r="46">
      <c r="A46" s="51">
        <v>0.0</v>
      </c>
      <c r="B46" s="82" t="s">
        <v>286</v>
      </c>
      <c r="C46" s="10" t="s">
        <v>244</v>
      </c>
      <c r="D46" s="3">
        <f t="shared" si="1"/>
        <v>0</v>
      </c>
      <c r="E46" s="10">
        <v>0.0</v>
      </c>
      <c r="F46" s="10">
        <v>0.0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"8" )</f>
        <v>0</v>
      </c>
      <c r="K46" s="3">
        <f t="shared" si="2"/>
        <v>0</v>
      </c>
      <c r="L46" s="3">
        <f t="shared" si="3"/>
        <v>0</v>
      </c>
      <c r="M46" s="3">
        <f>SUMIFS( '2014Data'!I:I, '2014Data'!F:F, B46,'2014Data'!B:B, "8" )</f>
        <v>0</v>
      </c>
      <c r="N46" s="3">
        <f>COUNTIFS('2014Data'!F:F, B46,'2014Data'!B:B, "8" )</f>
        <v>0</v>
      </c>
      <c r="O46" s="3">
        <f t="shared" si="12"/>
        <v>0</v>
      </c>
      <c r="P46" s="3">
        <f>SUMIFS( historical_events_FACT!J:J, historical_events_FACT!G:G, B46,historical_events_FACT!B:B, "2015",historical_events_FACT!C:C, "8" )</f>
        <v>0</v>
      </c>
      <c r="Q46" s="3">
        <f>COUNTIFS(historical_events_FACT!G:G, B46,historical_events_FACT!B:B, "2015",historical_events_FACT!C:C, "8" )</f>
        <v>0</v>
      </c>
      <c r="R46" s="3">
        <f t="shared" si="11"/>
        <v>0</v>
      </c>
      <c r="S46" s="3">
        <f>SUMIFS( historical_events_FACT!J:J, historical_events_FACT!G:G, B46,historical_events_FACT!B:B, "2016",historical_events_FACT!C:C, "8" )</f>
        <v>0</v>
      </c>
      <c r="T46" s="3">
        <f>COUNTIFS(historical_events_FACT!G:G, B46,historical_events_FACT!B:B, "2016",historical_events_FACT!C:C, "8" )</f>
        <v>0</v>
      </c>
      <c r="U46" s="3">
        <f>MAXIFS( historical_events_FACT!J:J, historical_events_FACT!G:G, B46,historical_events_FACT!C:C, "8" )</f>
        <v>0</v>
      </c>
      <c r="V46" s="97">
        <f t="array" ref="V46">ROUND(AVERAGEIF({ IFERROR(XLOOKUP(B46, 'Surfer Stats - Event 7'!B:B, 'Surfer Stats - Event 7'!Z:Z), ""), IFERROR(XLOOKUP(B46, 'Surfer Stats - Event 5'!B:B, 'Surfer Stats - Event 5'!AA:AA), ""), IFERROR(XLOOKUP(B46, 'Surfer Stats - Event 6'!B:B, 'Surfer Stats - Event 6'!Y:Y), "") }, "&lt;&gt;"),2)</f>
        <v>26.3</v>
      </c>
      <c r="W46" s="3" t="str">
        <f t="array" ref="W46">XLOOKUP(B46, 'Surfer Stats - Event 7'!B:B, 'Surfer Stats - Event 7'!Z:Z)</f>
        <v/>
      </c>
      <c r="X46" s="91">
        <v>500.0</v>
      </c>
      <c r="Y46" s="3" t="str">
        <f t="array" ref="Y46">XLOOKUP(B46,'Event 8 Assist'!A:A, 'Event 8 Assist'!E:E)</f>
        <v/>
      </c>
    </row>
    <row r="47">
      <c r="A47" s="51">
        <v>0.0</v>
      </c>
      <c r="B47" s="82" t="s">
        <v>107</v>
      </c>
      <c r="C47" s="10" t="s">
        <v>244</v>
      </c>
      <c r="D47" s="3">
        <f t="shared" si="1"/>
        <v>5</v>
      </c>
      <c r="E47" s="10">
        <v>0.0</v>
      </c>
      <c r="F47" s="10">
        <v>0.0</v>
      </c>
      <c r="G47" s="10">
        <v>13.0</v>
      </c>
      <c r="H47" s="10">
        <v>25.0</v>
      </c>
      <c r="I47" s="10">
        <v>99.0</v>
      </c>
      <c r="J47" s="3">
        <f>COUNTIFS( historical_events_FACT!J:J, "&gt;16", historical_events_FACT!G:G, B47,historical_events_FACT!C:C, "8" )</f>
        <v>0</v>
      </c>
      <c r="K47" s="3">
        <f t="shared" si="2"/>
        <v>11.98</v>
      </c>
      <c r="L47" s="3">
        <f t="shared" si="3"/>
        <v>12.74</v>
      </c>
      <c r="M47" s="3">
        <f>SUMIFS( '2014Data'!I:I, '2014Data'!F:F, B47,'2014Data'!B:B, "8" )</f>
        <v>38.23</v>
      </c>
      <c r="N47" s="3">
        <f>COUNTIFS('2014Data'!F:F, B47,'2014Data'!B:B, "8" )</f>
        <v>3</v>
      </c>
      <c r="O47" s="3">
        <f t="shared" si="12"/>
        <v>10.83</v>
      </c>
      <c r="P47" s="3">
        <f>SUMIFS( historical_events_FACT!J:J, historical_events_FACT!G:G, B47,historical_events_FACT!B:B, "2015",historical_events_FACT!C:C, "8" )</f>
        <v>21.66</v>
      </c>
      <c r="Q47" s="3">
        <f>COUNTIFS(historical_events_FACT!G:G, B47,historical_events_FACT!B:B, "2015",historical_events_FACT!C:C, "8" )</f>
        <v>2</v>
      </c>
      <c r="R47" s="3">
        <f t="shared" si="11"/>
        <v>0</v>
      </c>
      <c r="S47" s="3">
        <f>SUMIFS( historical_events_FACT!J:J, historical_events_FACT!G:G, B47,historical_events_FACT!B:B, "2016",historical_events_FACT!C:C, "8" )</f>
        <v>0</v>
      </c>
      <c r="T47" s="3">
        <f>COUNTIFS(historical_events_FACT!G:G, B47,historical_events_FACT!B:B, "2016",historical_events_FACT!C:C, "8" )</f>
        <v>0</v>
      </c>
      <c r="U47" s="3">
        <f>MAXIFS( historical_events_FACT!J:J, historical_events_FACT!G:G, B47,historical_events_FACT!C:C, "8" )</f>
        <v>14.1</v>
      </c>
      <c r="V47" s="97">
        <f t="array" ref="V47">ROUND(AVERAGEIF({ IFERROR(XLOOKUP(B47, 'Surfer Stats - Event 7'!B:B, 'Surfer Stats - Event 7'!Z:Z), ""), IFERROR(XLOOKUP(B47, 'Surfer Stats - Event 5'!B:B, 'Surfer Stats - Event 5'!AA:AA), ""), IFERROR(XLOOKUP(B47, 'Surfer Stats - Event 6'!B:B, 'Surfer Stats - Event 6'!Y:Y), "") }, "&lt;&gt;"),2)</f>
        <v>21.47</v>
      </c>
      <c r="W47" s="3">
        <f t="array" ref="W47">XLOOKUP(B47, 'Surfer Stats - Event 7'!B:B, 'Surfer Stats - Event 7'!Z:Z)</f>
        <v>21.47</v>
      </c>
      <c r="X47" s="91">
        <v>500.0</v>
      </c>
      <c r="Y47" s="3" t="str">
        <f t="array" ref="Y47">XLOOKUP(B47,'Event 8 Assist'!A:A, 'Event 8 Assist'!E:E)</f>
        <v/>
      </c>
    </row>
    <row r="48">
      <c r="A48" s="51">
        <v>0.0</v>
      </c>
      <c r="B48" s="82" t="s">
        <v>115</v>
      </c>
      <c r="C48" s="10" t="s">
        <v>247</v>
      </c>
      <c r="D48" s="3">
        <f t="shared" si="1"/>
        <v>0</v>
      </c>
      <c r="E48" s="10">
        <v>0.0</v>
      </c>
      <c r="F48" s="10">
        <v>0.0</v>
      </c>
      <c r="G48" s="10">
        <v>99.0</v>
      </c>
      <c r="H48" s="10">
        <v>99.0</v>
      </c>
      <c r="I48" s="10">
        <v>99.0</v>
      </c>
      <c r="J48" s="3">
        <f>COUNTIFS( historical_events_FACT!J:J, "&gt;16", historical_events_FACT!G:G, B48,historical_events_FACT!C:C, "8" )</f>
        <v>0</v>
      </c>
      <c r="K48" s="3">
        <f t="shared" si="2"/>
        <v>0</v>
      </c>
      <c r="L48" s="3">
        <f t="shared" si="3"/>
        <v>0</v>
      </c>
      <c r="M48" s="3">
        <f>SUMIFS( '2014Data'!I:I, '2014Data'!F:F, B48,'2014Data'!B:B, "8" )</f>
        <v>0</v>
      </c>
      <c r="N48" s="3">
        <f>COUNTIFS('2014Data'!F:F, B48,'2014Data'!B:B, "8" )</f>
        <v>0</v>
      </c>
      <c r="O48" s="3">
        <f t="shared" si="12"/>
        <v>0</v>
      </c>
      <c r="P48" s="3">
        <f>SUMIFS( historical_events_FACT!J:J, historical_events_FACT!G:G, B48,historical_events_FACT!B:B, "2015",historical_events_FACT!C:C, "8" )</f>
        <v>0</v>
      </c>
      <c r="Q48" s="3">
        <f>COUNTIFS(historical_events_FACT!G:G, B48,historical_events_FACT!B:B, "2015",historical_events_FACT!C:C, "8" )</f>
        <v>0</v>
      </c>
      <c r="R48" s="3">
        <f t="shared" si="11"/>
        <v>0</v>
      </c>
      <c r="S48" s="3">
        <f>SUMIFS( historical_events_FACT!J:J, historical_events_FACT!G:G, B48,historical_events_FACT!B:B, "2016",historical_events_FACT!C:C, "8" )</f>
        <v>0</v>
      </c>
      <c r="T48" s="3">
        <f>COUNTIFS(historical_events_FACT!G:G, B48,historical_events_FACT!B:B, "2016",historical_events_FACT!C:C, "8" )</f>
        <v>0</v>
      </c>
      <c r="U48" s="3">
        <f>MAXIFS( historical_events_FACT!J:J, historical_events_FACT!G:G, B48,historical_events_FACT!C:C, "8" )</f>
        <v>0</v>
      </c>
      <c r="V48" s="97">
        <f t="array" ref="V48">ROUND(AVERAGEIF({ IFERROR(XLOOKUP(B48, 'Surfer Stats - Event 7'!B:B, 'Surfer Stats - Event 7'!Z:Z), ""), IFERROR(XLOOKUP(B48, 'Surfer Stats - Event 5'!B:B, 'Surfer Stats - Event 5'!AA:AA), ""), IFERROR(XLOOKUP(B48, 'Surfer Stats - Event 6'!B:B, 'Surfer Stats - Event 6'!Y:Y), "") }, "&lt;&gt;"),2)</f>
        <v>16.73</v>
      </c>
      <c r="W48" s="3">
        <f t="array" ref="W48">XLOOKUP(B48, 'Surfer Stats - Event 7'!B:B, 'Surfer Stats - Event 7'!Z:Z)</f>
        <v>16.73</v>
      </c>
      <c r="X48" s="91">
        <v>500.0</v>
      </c>
      <c r="Y48" s="3" t="str">
        <f t="array" ref="Y48">XLOOKUP(B48,'Event 8 Assist'!A:A, 'Event 8 Assist'!E:E)</f>
        <v/>
      </c>
    </row>
    <row r="49">
      <c r="A49" s="78">
        <v>1.0</v>
      </c>
      <c r="B49" s="66" t="s">
        <v>116</v>
      </c>
      <c r="C49" s="10" t="s">
        <v>244</v>
      </c>
      <c r="D49" s="3">
        <f t="shared" si="1"/>
        <v>5</v>
      </c>
      <c r="E49" s="10">
        <v>0.0</v>
      </c>
      <c r="F49" s="10">
        <v>0.0</v>
      </c>
      <c r="G49" s="10">
        <v>99.0</v>
      </c>
      <c r="H49" s="10">
        <v>99.0</v>
      </c>
      <c r="I49" s="10">
        <v>99.0</v>
      </c>
      <c r="J49" s="3">
        <f>COUNTIFS( historical_events_FACT!J:J, "&gt;16", historical_events_FACT!G:G, B49,historical_events_FACT!C:C, "8" )</f>
        <v>0</v>
      </c>
      <c r="K49" s="3">
        <f t="shared" si="2"/>
        <v>12.89</v>
      </c>
      <c r="L49" s="3">
        <f t="shared" si="3"/>
        <v>0</v>
      </c>
      <c r="M49" s="3">
        <f>SUMIFS( '2014Data'!I:I, '2014Data'!F:F, B49,'2014Data'!B:B, "8" )</f>
        <v>0</v>
      </c>
      <c r="N49" s="3">
        <f>COUNTIFS('2014Data'!F:F, B49,'2014Data'!B:B, "8" )</f>
        <v>0</v>
      </c>
      <c r="O49" s="3">
        <f t="shared" si="12"/>
        <v>13.62</v>
      </c>
      <c r="P49" s="3">
        <f>SUMIFS( historical_events_FACT!J:J, historical_events_FACT!G:G, B49,historical_events_FACT!B:B, "2015",historical_events_FACT!C:C, "8" )</f>
        <v>27.23</v>
      </c>
      <c r="Q49" s="3">
        <f>COUNTIFS(historical_events_FACT!G:G, B49,historical_events_FACT!B:B, "2015",historical_events_FACT!C:C, "8" )</f>
        <v>2</v>
      </c>
      <c r="R49" s="10">
        <v>12.41</v>
      </c>
      <c r="S49" s="3">
        <f>R49*T49</f>
        <v>37.23</v>
      </c>
      <c r="T49" s="10">
        <v>3.0</v>
      </c>
      <c r="U49" s="3">
        <f>MAXIFS( historical_events_FACT!J:J, historical_events_FACT!G:G, B49,historical_events_FACT!C:C, "8" )</f>
        <v>14.46</v>
      </c>
      <c r="V49" s="99">
        <v>19.29</v>
      </c>
      <c r="W49" s="10">
        <v>19.1</v>
      </c>
      <c r="X49" s="51">
        <v>0.0</v>
      </c>
      <c r="Y49" s="3">
        <f t="array" ref="Y49">XLOOKUP(B49,'Event 8 Assist'!A:A, 'Event 8 Assist'!E:E)</f>
        <v>41.46</v>
      </c>
    </row>
    <row r="50">
      <c r="A50" s="78">
        <v>1.0</v>
      </c>
      <c r="B50" s="66" t="s">
        <v>173</v>
      </c>
      <c r="C50" s="10" t="s">
        <v>247</v>
      </c>
      <c r="D50" s="3">
        <f t="shared" si="1"/>
        <v>4</v>
      </c>
      <c r="E50" s="10">
        <v>0.0</v>
      </c>
      <c r="F50" s="10">
        <v>1.0</v>
      </c>
      <c r="G50" s="10">
        <v>99.0</v>
      </c>
      <c r="H50" s="10">
        <v>99.0</v>
      </c>
      <c r="I50" s="10">
        <v>99.0</v>
      </c>
      <c r="J50" s="3">
        <f>COUNTIFS( historical_events_FACT!J:J, "&gt;16", historical_events_FACT!G:G, B50,historical_events_FACT!C:C, "8" )</f>
        <v>0</v>
      </c>
      <c r="K50" s="3">
        <f t="shared" si="2"/>
        <v>12.59</v>
      </c>
      <c r="L50" s="3">
        <f t="shared" si="3"/>
        <v>12.13</v>
      </c>
      <c r="M50" s="10">
        <v>12.13</v>
      </c>
      <c r="N50" s="10">
        <v>1.0</v>
      </c>
      <c r="O50" s="3">
        <f t="shared" si="12"/>
        <v>13.8</v>
      </c>
      <c r="P50" s="10">
        <v>13.8</v>
      </c>
      <c r="Q50" s="10">
        <v>1.0</v>
      </c>
      <c r="R50" s="3">
        <f>IF(T50=0,0,ROUND(S50/T50,2))</f>
        <v>12.21</v>
      </c>
      <c r="S50" s="10">
        <v>24.41</v>
      </c>
      <c r="T50" s="10">
        <v>2.0</v>
      </c>
      <c r="U50" s="10">
        <v>13.8</v>
      </c>
      <c r="V50" s="99">
        <v>19.29</v>
      </c>
      <c r="W50" s="10">
        <v>19.1</v>
      </c>
      <c r="X50" s="51">
        <v>0.0</v>
      </c>
      <c r="Y50" s="3">
        <f t="array" ref="Y50">XLOOKUP(B50,'Event 8 Assist'!A:A, 'Event 8 Assist'!E:E)</f>
        <v>40.09</v>
      </c>
    </row>
    <row r="51">
      <c r="A51" s="78"/>
    </row>
    <row r="52">
      <c r="A52" s="78"/>
    </row>
    <row r="53">
      <c r="A53" s="78"/>
      <c r="B53" s="62" t="s">
        <v>25</v>
      </c>
      <c r="K53" s="3">
        <f t="shared" ref="K53:K58" si="13">IF(D53=0,0, ROUND(SUM(P53,S53,M53)/D53,2))</f>
        <v>0</v>
      </c>
      <c r="L53" s="3">
        <f t="shared" ref="L53:L58" si="14">IF(M53=0,0,ROUND(M53/N53,2))</f>
        <v>0</v>
      </c>
      <c r="M53" s="3">
        <f>SUMIFS( '2014Data'!I:I, '2014Data'!F:F, B53,'2014Data'!B:B, "8" )</f>
        <v>0</v>
      </c>
      <c r="N53" s="3">
        <f>COUNTIFS('2014Data'!F:F, B53,'2014Data'!B:B, "8" )</f>
        <v>0</v>
      </c>
      <c r="O53" s="3">
        <f t="shared" ref="O53:O58" si="15">IF(P53=0,0,ROUND(P53/Q53,2))</f>
        <v>14.26</v>
      </c>
      <c r="P53" s="3">
        <f>SUMIFS( historical_events_FACT!J:J, historical_events_FACT!G:G, B53,historical_events_FACT!B:B, "2015",historical_events_FACT!C:C, "8" )</f>
        <v>28.51</v>
      </c>
      <c r="Q53" s="3">
        <f>COUNTIFS(historical_events_FACT!G:G, B53,historical_events_FACT!B:B, "2015",historical_events_FACT!C:C, "8" )</f>
        <v>2</v>
      </c>
      <c r="R53" s="3">
        <f t="shared" ref="R53:R58" si="16">IF(T53=0,0,ROUND(S53/T53,2))</f>
        <v>10.32</v>
      </c>
      <c r="S53" s="3">
        <f>SUMIFS( historical_events_FACT!J:J, historical_events_FACT!G:G, B53,historical_events_FACT!B:B, "2016",historical_events_FACT!C:C, "8" )</f>
        <v>20.64</v>
      </c>
      <c r="T53" s="3">
        <f>COUNTIFS(historical_events_FACT!G:G, B53,historical_events_FACT!B:B, "2016",historical_events_FACT!C:C, "8" )</f>
        <v>2</v>
      </c>
      <c r="U53" s="3">
        <f>MAXIFS( historical_events_FACT!J:J, historical_events_FACT!G:G, B53,historical_events_FACT!C:C, "8" )</f>
        <v>14.74</v>
      </c>
      <c r="W53" s="10">
        <v>98.67</v>
      </c>
      <c r="X53" s="10">
        <v>7.0</v>
      </c>
    </row>
    <row r="54">
      <c r="A54" s="78"/>
      <c r="B54" s="62" t="s">
        <v>149</v>
      </c>
      <c r="K54" s="3">
        <f t="shared" si="13"/>
        <v>0</v>
      </c>
      <c r="L54" s="3">
        <f t="shared" si="14"/>
        <v>0</v>
      </c>
      <c r="M54" s="3">
        <f>SUMIFS( '2014Data'!I:I, '2014Data'!F:F, B54,'2014Data'!B:B, "8" )</f>
        <v>0</v>
      </c>
      <c r="N54" s="3">
        <f>COUNTIFS('2014Data'!F:F, B54,'2014Data'!B:B, "8" )</f>
        <v>0</v>
      </c>
      <c r="O54" s="3">
        <f t="shared" si="15"/>
        <v>0</v>
      </c>
      <c r="P54" s="3">
        <f>SUMIFS( historical_events_FACT!J:J, historical_events_FACT!G:G, B54,historical_events_FACT!B:B, "2015",historical_events_FACT!C:C, "8" )</f>
        <v>0</v>
      </c>
      <c r="Q54" s="3">
        <f>COUNTIFS(historical_events_FACT!G:G, B54,historical_events_FACT!B:B, "2015",historical_events_FACT!C:C, "8" )</f>
        <v>0</v>
      </c>
      <c r="R54" s="3">
        <f t="shared" si="16"/>
        <v>0</v>
      </c>
      <c r="S54" s="3">
        <f>SUMIFS( historical_events_FACT!J:J, historical_events_FACT!G:G, B54,historical_events_FACT!B:B, "2016",historical_events_FACT!C:C, "8" )</f>
        <v>0</v>
      </c>
      <c r="T54" s="3">
        <f>COUNTIFS(historical_events_FACT!G:G, B54,historical_events_FACT!B:B, "2016",historical_events_FACT!C:C, "8" )</f>
        <v>0</v>
      </c>
      <c r="U54" s="3">
        <f>MAXIFS( historical_events_FACT!J:J, historical_events_FACT!G:G, B54,historical_events_FACT!C:C, "8" )</f>
        <v>0</v>
      </c>
      <c r="W54" s="10">
        <v>62.47</v>
      </c>
      <c r="X54" s="10">
        <v>4.0</v>
      </c>
    </row>
    <row r="55">
      <c r="A55" s="75"/>
      <c r="B55" s="62" t="s">
        <v>17</v>
      </c>
      <c r="K55" s="3">
        <f t="shared" si="13"/>
        <v>0</v>
      </c>
      <c r="L55" s="3">
        <f t="shared" si="14"/>
        <v>0</v>
      </c>
      <c r="M55" s="3">
        <f>SUMIFS( '2014Data'!I:I, '2014Data'!F:F, B55,'2014Data'!B:B, "8" )</f>
        <v>0</v>
      </c>
      <c r="N55" s="3">
        <f>COUNTIFS('2014Data'!F:F, B55,'2014Data'!B:B, "8" )</f>
        <v>0</v>
      </c>
      <c r="O55" s="3">
        <f t="shared" si="15"/>
        <v>15.26</v>
      </c>
      <c r="P55" s="3">
        <f>SUMIFS( historical_events_FACT!J:J, historical_events_FACT!G:G, B55,historical_events_FACT!B:B, "2015",historical_events_FACT!C:C, "8" )</f>
        <v>61.04</v>
      </c>
      <c r="Q55" s="3">
        <f>COUNTIFS(historical_events_FACT!G:G, B55,historical_events_FACT!B:B, "2015",historical_events_FACT!C:C, "8" )</f>
        <v>4</v>
      </c>
      <c r="R55" s="3">
        <f t="shared" si="16"/>
        <v>13.65</v>
      </c>
      <c r="S55" s="3">
        <f>SUMIFS( historical_events_FACT!J:J, historical_events_FACT!G:G, B55,historical_events_FACT!B:B, "2016",historical_events_FACT!C:C, "8" )</f>
        <v>40.96</v>
      </c>
      <c r="T55" s="3">
        <f>COUNTIFS(historical_events_FACT!G:G, B55,historical_events_FACT!B:B, "2016",historical_events_FACT!C:C, "8" )</f>
        <v>3</v>
      </c>
      <c r="U55" s="3">
        <f>MAXIFS( historical_events_FACT!J:J, historical_events_FACT!G:G, B55,historical_events_FACT!C:C, "8" )</f>
        <v>16.17</v>
      </c>
    </row>
    <row r="56">
      <c r="A56" s="74"/>
      <c r="B56" s="62" t="s">
        <v>54</v>
      </c>
      <c r="K56" s="3">
        <f t="shared" si="13"/>
        <v>0</v>
      </c>
      <c r="L56" s="3">
        <f t="shared" si="14"/>
        <v>0</v>
      </c>
      <c r="M56" s="3">
        <f>SUMIFS( '2014Data'!I:I, '2014Data'!F:F, B56,'2014Data'!B:B, "8" )</f>
        <v>0</v>
      </c>
      <c r="N56" s="3">
        <f>COUNTIFS('2014Data'!F:F, B56,'2014Data'!B:B, "8" )</f>
        <v>0</v>
      </c>
      <c r="O56" s="3">
        <f t="shared" si="15"/>
        <v>14.16</v>
      </c>
      <c r="P56" s="3">
        <f>SUMIFS( historical_events_FACT!J:J, historical_events_FACT!G:G, B56,historical_events_FACT!B:B, "2015",historical_events_FACT!C:C, "8" )</f>
        <v>84.93</v>
      </c>
      <c r="Q56" s="3">
        <f>COUNTIFS(historical_events_FACT!G:G, B56,historical_events_FACT!B:B, "2015",historical_events_FACT!C:C, "8" )</f>
        <v>6</v>
      </c>
      <c r="R56" s="3">
        <f t="shared" si="16"/>
        <v>14.24</v>
      </c>
      <c r="S56" s="3">
        <f>SUMIFS( historical_events_FACT!J:J, historical_events_FACT!G:G, B56,historical_events_FACT!B:B, "2016",historical_events_FACT!C:C, "8" )</f>
        <v>28.47</v>
      </c>
      <c r="T56" s="3">
        <f>COUNTIFS(historical_events_FACT!G:G, B56,historical_events_FACT!B:B, "2016",historical_events_FACT!C:C, "8" )</f>
        <v>2</v>
      </c>
      <c r="U56" s="3">
        <f>MAXIFS( historical_events_FACT!J:J, historical_events_FACT!G:G, B56,historical_events_FACT!C:C, "8" )</f>
        <v>16.73</v>
      </c>
      <c r="W56" s="10">
        <v>14.65</v>
      </c>
    </row>
    <row r="57">
      <c r="A57" s="74"/>
      <c r="B57" s="62" t="s">
        <v>96</v>
      </c>
      <c r="K57" s="3">
        <f t="shared" si="13"/>
        <v>0</v>
      </c>
      <c r="L57" s="3">
        <f t="shared" si="14"/>
        <v>0</v>
      </c>
      <c r="M57" s="3">
        <f>SUMIFS( '2014Data'!I:I, '2014Data'!F:F, B57,'2014Data'!B:B, "8" )</f>
        <v>0</v>
      </c>
      <c r="N57" s="3">
        <f>COUNTIFS('2014Data'!F:F, B57,'2014Data'!B:B, "8" )</f>
        <v>0</v>
      </c>
      <c r="O57" s="3">
        <f t="shared" si="15"/>
        <v>13.25</v>
      </c>
      <c r="P57" s="3">
        <f>SUMIFS( historical_events_FACT!J:J, historical_events_FACT!G:G, B57,historical_events_FACT!B:B, "2015",historical_events_FACT!C:C, "8" )</f>
        <v>26.49</v>
      </c>
      <c r="Q57" s="3">
        <f>COUNTIFS(historical_events_FACT!G:G, B57,historical_events_FACT!B:B, "2015",historical_events_FACT!C:C, "8" )</f>
        <v>2</v>
      </c>
      <c r="R57" s="3">
        <f t="shared" si="16"/>
        <v>0</v>
      </c>
      <c r="S57" s="3">
        <f>SUMIFS( historical_events_FACT!J:J, historical_events_FACT!G:G, B57,historical_events_FACT!B:B, "2016",historical_events_FACT!C:C, "8" )</f>
        <v>0</v>
      </c>
      <c r="T57" s="3">
        <f>COUNTIFS(historical_events_FACT!G:G, B57,historical_events_FACT!B:B, "2016",historical_events_FACT!C:C, "8" )</f>
        <v>0</v>
      </c>
      <c r="U57" s="3">
        <f>MAXIFS( historical_events_FACT!J:J, historical_events_FACT!G:G, B57,historical_events_FACT!C:C, "8" )</f>
        <v>14.83</v>
      </c>
    </row>
    <row r="58">
      <c r="A58" s="74"/>
      <c r="B58" s="62" t="s">
        <v>44</v>
      </c>
      <c r="K58" s="3">
        <f t="shared" si="13"/>
        <v>0</v>
      </c>
      <c r="L58" s="3">
        <f t="shared" si="14"/>
        <v>0</v>
      </c>
      <c r="M58" s="3">
        <f>SUMIFS( '2014Data'!I:I, '2014Data'!F:F, B58,'2014Data'!B:B, "8" )</f>
        <v>0</v>
      </c>
      <c r="N58" s="3">
        <f>COUNTIFS('2014Data'!F:F, B58,'2014Data'!B:B, "8" )</f>
        <v>0</v>
      </c>
      <c r="O58" s="3">
        <f t="shared" si="15"/>
        <v>0</v>
      </c>
      <c r="P58" s="3">
        <f>SUMIFS( historical_events_FACT!J:J, historical_events_FACT!G:G, B58,historical_events_FACT!B:B, "2015",historical_events_FACT!C:C, "8" )</f>
        <v>0</v>
      </c>
      <c r="Q58" s="3">
        <f>COUNTIFS(historical_events_FACT!G:G, B58,historical_events_FACT!B:B, "2015",historical_events_FACT!C:C, "8" )</f>
        <v>0</v>
      </c>
      <c r="R58" s="3">
        <f t="shared" si="16"/>
        <v>12.58</v>
      </c>
      <c r="S58" s="3">
        <f>SUMIFS( historical_events_FACT!J:J, historical_events_FACT!G:G, B58,historical_events_FACT!B:B, "2016",historical_events_FACT!C:C, "8" )</f>
        <v>25.16</v>
      </c>
      <c r="T58" s="3">
        <f>COUNTIFS(historical_events_FACT!G:G, B58,historical_events_FACT!B:B, "2016",historical_events_FACT!C:C, "8" )</f>
        <v>2</v>
      </c>
      <c r="U58" s="3">
        <f>MAXIFS( historical_events_FACT!J:J, historical_events_FACT!G:G, B58,historical_events_FACT!C:C, "8" )</f>
        <v>14.26</v>
      </c>
    </row>
    <row r="59">
      <c r="A59" s="74"/>
    </row>
    <row r="60">
      <c r="A60" s="74"/>
      <c r="O60" s="10">
        <v>14.36</v>
      </c>
      <c r="P60" s="3">
        <f>O60*Q60</f>
        <v>57.44</v>
      </c>
      <c r="Q60" s="10">
        <v>4.0</v>
      </c>
    </row>
    <row r="61">
      <c r="A61" s="74"/>
      <c r="R61" s="10">
        <v>12.41</v>
      </c>
      <c r="S61" s="3">
        <f>R61*T61</f>
        <v>37.23</v>
      </c>
      <c r="T61" s="10">
        <v>3.0</v>
      </c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28</v>
      </c>
      <c r="B1" s="75">
        <f>19200+5200+1750+5200+6500</f>
        <v>37850</v>
      </c>
      <c r="C1" s="78">
        <v>1.0</v>
      </c>
      <c r="D1" s="75">
        <v>0.0</v>
      </c>
      <c r="E1" s="103">
        <v>103.79</v>
      </c>
    </row>
    <row r="2">
      <c r="A2" s="66" t="s">
        <v>26</v>
      </c>
      <c r="B2" s="75">
        <f>23000+1750+1750+5200+5200</f>
        <v>36900</v>
      </c>
      <c r="C2" s="78">
        <v>1.0</v>
      </c>
      <c r="D2" s="75">
        <v>0.0</v>
      </c>
      <c r="E2" s="103">
        <v>96.27</v>
      </c>
    </row>
    <row r="3">
      <c r="A3" s="66" t="s">
        <v>31</v>
      </c>
      <c r="B3" s="75">
        <f>10250+6500+10000+5200+4000</f>
        <v>35950</v>
      </c>
      <c r="C3" s="78">
        <v>1.0</v>
      </c>
      <c r="D3" s="75">
        <v>0.0</v>
      </c>
      <c r="E3" s="103">
        <v>60.61</v>
      </c>
    </row>
    <row r="4">
      <c r="A4" s="66" t="s">
        <v>34</v>
      </c>
      <c r="B4" s="75">
        <f>19200++5200+1750+4000+5200</f>
        <v>35350</v>
      </c>
      <c r="C4" s="78">
        <v>1.0</v>
      </c>
      <c r="D4" s="75">
        <v>0.0</v>
      </c>
      <c r="E4" s="103">
        <v>23.16</v>
      </c>
    </row>
    <row r="5">
      <c r="A5" s="66" t="s">
        <v>57</v>
      </c>
      <c r="B5" s="75">
        <f>7500+4000+5200+6500+10000</f>
        <v>33200</v>
      </c>
      <c r="C5" s="78">
        <v>1.0</v>
      </c>
      <c r="D5" s="75">
        <v>0.0</v>
      </c>
      <c r="E5" s="103">
        <v>28.06</v>
      </c>
    </row>
    <row r="6">
      <c r="A6" s="66" t="s">
        <v>33</v>
      </c>
      <c r="B6" s="75">
        <f>14400+10000+1750+1750+1750</f>
        <v>29650</v>
      </c>
      <c r="C6" s="78">
        <v>1.0</v>
      </c>
      <c r="D6" s="75">
        <v>0.0</v>
      </c>
      <c r="E6" s="104">
        <v>96.49</v>
      </c>
    </row>
    <row r="7">
      <c r="A7" s="66" t="s">
        <v>42</v>
      </c>
      <c r="B7" s="75">
        <f>8750+4000+1750+6500+8000</f>
        <v>29000</v>
      </c>
      <c r="C7" s="78">
        <v>1.0</v>
      </c>
      <c r="D7" s="75">
        <v>0.0</v>
      </c>
      <c r="E7" s="103">
        <v>59.37</v>
      </c>
    </row>
    <row r="8">
      <c r="A8" s="66" t="s">
        <v>30</v>
      </c>
      <c r="B8" s="75">
        <f>10950+5200+6500+1750+1750</f>
        <v>26150</v>
      </c>
      <c r="C8" s="78">
        <v>1.0</v>
      </c>
      <c r="D8" s="78">
        <v>0.0</v>
      </c>
      <c r="E8" s="103">
        <v>28.47</v>
      </c>
    </row>
    <row r="9">
      <c r="A9" s="66" t="s">
        <v>39</v>
      </c>
      <c r="B9" s="75">
        <f>12200+1750+500+10000+500</f>
        <v>24950</v>
      </c>
      <c r="C9" s="78">
        <v>1.0</v>
      </c>
      <c r="D9" s="78">
        <v>0.0</v>
      </c>
      <c r="E9" s="103">
        <v>13.73</v>
      </c>
    </row>
    <row r="10">
      <c r="A10" s="66" t="s">
        <v>61</v>
      </c>
      <c r="B10" s="75">
        <f>8700+1750+8000+1750+4000</f>
        <v>24200</v>
      </c>
      <c r="C10" s="78">
        <v>1.0</v>
      </c>
      <c r="D10" s="75">
        <v>0.0</v>
      </c>
      <c r="E10" s="104">
        <v>22.26</v>
      </c>
    </row>
    <row r="11">
      <c r="A11" s="66" t="s">
        <v>64</v>
      </c>
      <c r="B11" s="75">
        <f>13750+500+1750+500+6500</f>
        <v>23000</v>
      </c>
      <c r="C11" s="78">
        <v>1.0</v>
      </c>
      <c r="D11" s="78">
        <v>0.0</v>
      </c>
      <c r="E11" s="104">
        <v>65.43</v>
      </c>
    </row>
    <row r="12">
      <c r="A12" s="66" t="s">
        <v>32</v>
      </c>
      <c r="B12" s="75">
        <f>7450+5200+1750+5200+1750</f>
        <v>21350</v>
      </c>
      <c r="C12" s="78">
        <v>1.0</v>
      </c>
      <c r="D12" s="78">
        <v>1.0</v>
      </c>
      <c r="E12" s="104">
        <v>20.63</v>
      </c>
    </row>
    <row r="13">
      <c r="A13" s="66" t="s">
        <v>47</v>
      </c>
      <c r="B13" s="75">
        <f>7450+500+6500+4000+1750</f>
        <v>20200</v>
      </c>
      <c r="C13" s="78">
        <v>1.0</v>
      </c>
      <c r="D13" s="75">
        <v>0.0</v>
      </c>
      <c r="E13" s="104">
        <v>97.51</v>
      </c>
    </row>
    <row r="14">
      <c r="A14" s="66" t="s">
        <v>41</v>
      </c>
      <c r="B14" s="75">
        <f>7450+1750+1750+8000+500</f>
        <v>19450</v>
      </c>
      <c r="C14" s="78">
        <v>1.0</v>
      </c>
      <c r="D14" s="75">
        <v>0.0</v>
      </c>
      <c r="E14" s="104">
        <v>20.83</v>
      </c>
    </row>
    <row r="15">
      <c r="A15" s="66" t="s">
        <v>38</v>
      </c>
      <c r="B15" s="75">
        <f>9750+1750+4000+500+1750</f>
        <v>17750</v>
      </c>
      <c r="C15" s="78">
        <v>1.0</v>
      </c>
      <c r="D15" s="78">
        <v>1.0</v>
      </c>
      <c r="E15" s="104">
        <v>51.8</v>
      </c>
    </row>
    <row r="16">
      <c r="A16" s="66" t="s">
        <v>27</v>
      </c>
      <c r="B16" s="75">
        <f>2750+500+5200+4000+5200</f>
        <v>17650</v>
      </c>
      <c r="C16" s="78">
        <v>1.0</v>
      </c>
      <c r="D16" s="75">
        <v>0.0</v>
      </c>
      <c r="E16" s="104">
        <v>26.67</v>
      </c>
    </row>
    <row r="17">
      <c r="A17" s="66" t="s">
        <v>50</v>
      </c>
      <c r="B17" s="75">
        <f>+500+8500+500+4000+4000</f>
        <v>17500</v>
      </c>
      <c r="C17" s="78">
        <v>1.0</v>
      </c>
      <c r="D17" s="75">
        <v>0.0</v>
      </c>
      <c r="E17" s="104">
        <v>60.61</v>
      </c>
    </row>
    <row r="18">
      <c r="A18" s="66" t="s">
        <v>65</v>
      </c>
      <c r="B18" s="75">
        <f>4000+8000+500+500+4000</f>
        <v>17000</v>
      </c>
      <c r="C18" s="78">
        <v>1.0</v>
      </c>
      <c r="D18" s="75">
        <v>0.0</v>
      </c>
      <c r="E18" s="104">
        <v>43.4</v>
      </c>
    </row>
    <row r="19">
      <c r="A19" s="66" t="s">
        <v>52</v>
      </c>
      <c r="B19" s="75">
        <f>5000+4000+1750+500+5200</f>
        <v>16450</v>
      </c>
      <c r="C19" s="78">
        <v>1.0</v>
      </c>
      <c r="D19" s="75">
        <v>0.0</v>
      </c>
      <c r="E19" s="104">
        <v>30.27</v>
      </c>
    </row>
    <row r="20">
      <c r="A20" s="66" t="s">
        <v>59</v>
      </c>
      <c r="B20" s="75">
        <f>11500+1750+500+1750+500</f>
        <v>16000</v>
      </c>
      <c r="C20" s="78">
        <v>1.0</v>
      </c>
      <c r="D20" s="78">
        <v>1.0</v>
      </c>
      <c r="E20" s="104">
        <v>59.56</v>
      </c>
    </row>
    <row r="21">
      <c r="A21" s="66" t="s">
        <v>54</v>
      </c>
      <c r="B21" s="75">
        <f>7500+1750+1750+1750+1750</f>
        <v>14500</v>
      </c>
      <c r="C21" s="78">
        <v>1.0</v>
      </c>
      <c r="D21" s="75">
        <v>0.0</v>
      </c>
      <c r="E21" s="104">
        <v>32.67</v>
      </c>
    </row>
    <row r="22">
      <c r="A22" s="66" t="s">
        <v>40</v>
      </c>
      <c r="B22" s="75">
        <f>4000+1750+5200+1750+1750</f>
        <v>14450</v>
      </c>
      <c r="C22" s="78">
        <v>1.0</v>
      </c>
      <c r="D22" s="78">
        <v>0.0</v>
      </c>
      <c r="E22" s="104">
        <v>22.2</v>
      </c>
    </row>
    <row r="23">
      <c r="A23" s="66" t="s">
        <v>17</v>
      </c>
      <c r="B23" s="75">
        <f>6200+500+4000+1750+1750</f>
        <v>14200</v>
      </c>
      <c r="C23" s="78">
        <v>1.0</v>
      </c>
      <c r="D23" s="75">
        <v>0.0</v>
      </c>
      <c r="E23" s="104">
        <v>38.87</v>
      </c>
    </row>
    <row r="24">
      <c r="A24" s="66" t="s">
        <v>53</v>
      </c>
      <c r="B24" s="83">
        <f>8700+500+1750+1750+500</f>
        <v>13200</v>
      </c>
      <c r="C24" s="91">
        <v>0.0</v>
      </c>
      <c r="D24" s="91">
        <v>1.0</v>
      </c>
      <c r="E24" s="105">
        <v>74.39</v>
      </c>
    </row>
    <row r="25">
      <c r="A25" s="66" t="s">
        <v>69</v>
      </c>
      <c r="B25" s="75">
        <f>8750+500+500+1750+500</f>
        <v>12000</v>
      </c>
      <c r="C25" s="78">
        <v>1.0</v>
      </c>
      <c r="D25" s="75">
        <v>0.0</v>
      </c>
      <c r="E25" s="104">
        <v>45.76</v>
      </c>
    </row>
    <row r="26">
      <c r="A26" s="82" t="s">
        <v>37</v>
      </c>
      <c r="B26" s="75">
        <f>4000+1750+4000+500+1750</f>
        <v>12000</v>
      </c>
      <c r="C26" s="78">
        <v>1.0</v>
      </c>
      <c r="D26" s="75">
        <v>0.0</v>
      </c>
      <c r="E26" s="93"/>
    </row>
    <row r="27">
      <c r="A27" s="66" t="s">
        <v>67</v>
      </c>
      <c r="B27" s="75">
        <f>7500+500+500+1750+500</f>
        <v>10750</v>
      </c>
      <c r="C27" s="78">
        <v>1.0</v>
      </c>
      <c r="D27" s="75">
        <v>0.0</v>
      </c>
      <c r="E27" s="105">
        <v>21.2</v>
      </c>
    </row>
    <row r="28">
      <c r="A28" s="66" t="s">
        <v>68</v>
      </c>
      <c r="B28" s="75">
        <f>2750+4000+500+500+1750</f>
        <v>9500</v>
      </c>
      <c r="C28" s="78">
        <v>1.0</v>
      </c>
      <c r="D28" s="75">
        <v>0.0</v>
      </c>
      <c r="E28" s="105">
        <v>27.08</v>
      </c>
    </row>
    <row r="29">
      <c r="A29" s="66" t="s">
        <v>35</v>
      </c>
      <c r="B29" s="75">
        <f>1500+500+5200+1750+500</f>
        <v>9450</v>
      </c>
      <c r="C29" s="78">
        <v>1.0</v>
      </c>
      <c r="D29" s="75">
        <v>0.0</v>
      </c>
      <c r="E29" s="105">
        <v>70.44</v>
      </c>
    </row>
    <row r="30">
      <c r="A30" s="108" t="s">
        <v>66</v>
      </c>
      <c r="B30" s="75">
        <f>2750+500+4000+500+500</f>
        <v>8250</v>
      </c>
      <c r="C30" s="78">
        <v>1.0</v>
      </c>
      <c r="D30" s="75">
        <v>0.0</v>
      </c>
      <c r="E30" s="105">
        <v>23.46</v>
      </c>
    </row>
    <row r="31">
      <c r="A31" s="66" t="s">
        <v>55</v>
      </c>
      <c r="B31" s="75">
        <f>4000+1750+500+1750</f>
        <v>8000</v>
      </c>
      <c r="C31" s="78">
        <v>1.0</v>
      </c>
      <c r="D31" s="75">
        <v>0.0</v>
      </c>
      <c r="E31" s="105">
        <v>36.13</v>
      </c>
    </row>
    <row r="32">
      <c r="A32" s="66" t="s">
        <v>36</v>
      </c>
      <c r="B32" s="75">
        <f>500+4000+1750+500+500</f>
        <v>7250</v>
      </c>
      <c r="C32" s="78">
        <v>1.0</v>
      </c>
      <c r="D32" s="75">
        <v>0.0</v>
      </c>
      <c r="E32" s="105">
        <v>20.37</v>
      </c>
    </row>
    <row r="33">
      <c r="A33" s="66" t="s">
        <v>56</v>
      </c>
      <c r="B33" s="75">
        <f>2750+1750+500+1750+500</f>
        <v>7250</v>
      </c>
      <c r="C33" s="78">
        <v>1.0</v>
      </c>
      <c r="D33" s="75">
        <v>0.0</v>
      </c>
      <c r="E33" s="105">
        <v>23.53</v>
      </c>
    </row>
    <row r="34">
      <c r="A34" s="82" t="s">
        <v>169</v>
      </c>
      <c r="B34" s="91">
        <f>6500+500</f>
        <v>7000</v>
      </c>
      <c r="C34" s="91">
        <v>0.0</v>
      </c>
      <c r="D34" s="83">
        <v>0.0</v>
      </c>
      <c r="E34" s="93"/>
    </row>
    <row r="35">
      <c r="A35" s="66" t="s">
        <v>45</v>
      </c>
      <c r="B35" s="75">
        <f>1500+1750+500+500+500</f>
        <v>4750</v>
      </c>
      <c r="C35" s="78">
        <v>1.0</v>
      </c>
      <c r="D35" s="75">
        <v>0.0</v>
      </c>
      <c r="E35" s="105">
        <v>39.7</v>
      </c>
    </row>
    <row r="36">
      <c r="A36" s="66" t="s">
        <v>63</v>
      </c>
      <c r="B36" s="75">
        <f>1500+500+500+500+1750</f>
        <v>4750</v>
      </c>
      <c r="C36" s="78">
        <v>1.0</v>
      </c>
      <c r="D36" s="75">
        <v>0.0</v>
      </c>
      <c r="E36" s="105">
        <v>30.23</v>
      </c>
    </row>
    <row r="37">
      <c r="A37" s="82" t="s">
        <v>142</v>
      </c>
      <c r="B37" s="83">
        <f>1750+500</f>
        <v>2250</v>
      </c>
      <c r="C37" s="78">
        <v>0.0</v>
      </c>
      <c r="D37" s="83">
        <v>0.0</v>
      </c>
      <c r="E37" s="93"/>
    </row>
    <row r="38">
      <c r="A38" s="93" t="s">
        <v>262</v>
      </c>
      <c r="B38" s="83">
        <v>1750.0</v>
      </c>
      <c r="C38" s="78">
        <v>0.0</v>
      </c>
      <c r="D38" s="83">
        <v>0.0</v>
      </c>
      <c r="E38" s="93"/>
    </row>
    <row r="39">
      <c r="A39" s="93" t="s">
        <v>46</v>
      </c>
      <c r="B39" s="83">
        <v>1750.0</v>
      </c>
      <c r="C39" s="78">
        <v>0.0</v>
      </c>
      <c r="D39" s="83">
        <v>0.0</v>
      </c>
      <c r="E39" s="93"/>
    </row>
    <row r="40">
      <c r="A40" s="66" t="s">
        <v>173</v>
      </c>
      <c r="B40" s="91">
        <f>0+500+500</f>
        <v>1000</v>
      </c>
      <c r="C40" s="78">
        <v>0.0</v>
      </c>
      <c r="D40" s="83">
        <v>0.0</v>
      </c>
      <c r="E40" s="105">
        <v>40.09</v>
      </c>
    </row>
    <row r="41">
      <c r="A41" s="66" t="s">
        <v>116</v>
      </c>
      <c r="B41" s="83">
        <v>500.0</v>
      </c>
      <c r="C41" s="78">
        <v>0.0</v>
      </c>
      <c r="D41" s="91">
        <v>0.0</v>
      </c>
      <c r="E41" s="105">
        <v>41.46</v>
      </c>
    </row>
    <row r="42">
      <c r="A42" s="82" t="s">
        <v>168</v>
      </c>
      <c r="B42" s="83">
        <v>500.0</v>
      </c>
      <c r="C42" s="78">
        <v>0.0</v>
      </c>
      <c r="D42" s="91">
        <v>0.0</v>
      </c>
      <c r="E42" s="93"/>
    </row>
    <row r="43">
      <c r="A43" s="82" t="s">
        <v>144</v>
      </c>
      <c r="B43" s="91">
        <v>500.0</v>
      </c>
      <c r="C43" s="78">
        <v>0.0</v>
      </c>
      <c r="D43" s="91">
        <v>0.0</v>
      </c>
      <c r="E43" s="93"/>
    </row>
    <row r="44">
      <c r="A44" s="82" t="s">
        <v>143</v>
      </c>
      <c r="B44" s="91">
        <v>500.0</v>
      </c>
      <c r="C44" s="91">
        <v>0.0</v>
      </c>
      <c r="D44" s="91">
        <v>0.0</v>
      </c>
      <c r="E44" s="93"/>
    </row>
    <row r="45">
      <c r="A45" s="82" t="s">
        <v>82</v>
      </c>
      <c r="B45" s="91">
        <v>500.0</v>
      </c>
      <c r="C45" s="91">
        <v>0.0</v>
      </c>
      <c r="D45" s="91">
        <v>0.0</v>
      </c>
      <c r="E45" s="93"/>
    </row>
    <row r="46">
      <c r="A46" s="82" t="s">
        <v>110</v>
      </c>
      <c r="B46" s="78">
        <v>500.0</v>
      </c>
      <c r="C46" s="78">
        <v>1.0</v>
      </c>
      <c r="D46" s="74"/>
      <c r="E46" s="93"/>
    </row>
    <row r="47">
      <c r="A47" s="82" t="s">
        <v>286</v>
      </c>
      <c r="B47" s="78">
        <v>500.0</v>
      </c>
      <c r="C47" s="78">
        <v>1.0</v>
      </c>
      <c r="D47" s="74"/>
      <c r="E47" s="93"/>
    </row>
    <row r="48">
      <c r="A48" s="82" t="s">
        <v>107</v>
      </c>
      <c r="E48" s="93"/>
    </row>
    <row r="49">
      <c r="A49" s="82" t="s">
        <v>115</v>
      </c>
      <c r="E49" s="9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6" t="s">
        <v>252</v>
      </c>
      <c r="B1" s="69" t="s">
        <v>6</v>
      </c>
      <c r="C1" s="77" t="s">
        <v>271</v>
      </c>
      <c r="D1" s="69" t="s">
        <v>295</v>
      </c>
      <c r="E1" s="69" t="s">
        <v>203</v>
      </c>
      <c r="F1" s="69" t="s">
        <v>283</v>
      </c>
      <c r="G1" s="32" t="s">
        <v>208</v>
      </c>
      <c r="H1" s="32" t="s">
        <v>206</v>
      </c>
      <c r="I1" s="32" t="s">
        <v>207</v>
      </c>
      <c r="J1" s="69" t="s">
        <v>296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32" t="s">
        <v>236</v>
      </c>
      <c r="V1" s="70" t="s">
        <v>239</v>
      </c>
      <c r="W1" s="69" t="s">
        <v>273</v>
      </c>
      <c r="X1" s="70" t="s">
        <v>240</v>
      </c>
      <c r="Y1" s="77" t="s">
        <v>243</v>
      </c>
    </row>
    <row r="2">
      <c r="A2" s="78">
        <v>1.0</v>
      </c>
      <c r="B2" s="66" t="s">
        <v>28</v>
      </c>
      <c r="C2" s="3" t="str">
        <f t="array" ref="C2">XLOOKUP(B2, 'Surfer Stats - Event 4'!B:B, 'Surfer Stats - Event 4'!D:D)</f>
        <v>Regular</v>
      </c>
      <c r="D2" s="3">
        <f t="shared" ref="D2:D52" si="1">SUM(N2,Q2,T2)</f>
        <v>7</v>
      </c>
      <c r="E2" s="10">
        <v>0.0</v>
      </c>
      <c r="F2" s="10">
        <v>0.0</v>
      </c>
      <c r="G2" s="10">
        <v>3.0</v>
      </c>
      <c r="H2" s="10">
        <v>25.0</v>
      </c>
      <c r="I2" s="10">
        <v>99.0</v>
      </c>
      <c r="J2" s="3">
        <f>COUNTIFS( historical_events_FACT!J:J, "&gt;16", historical_events_FACT!G:G, B2,historical_events_FACT!C:C, "9" )</f>
        <v>1</v>
      </c>
      <c r="K2" s="3">
        <f t="shared" ref="K2:K52" si="2">IF(D2=0,0, ROUND(SUM(P2,S2,M2)/D2,2))</f>
        <v>12.45</v>
      </c>
      <c r="L2" s="3">
        <f t="shared" ref="L2:L52" si="3">IF(M2=0,0,ROUND(M2/N2,2))</f>
        <v>13.29</v>
      </c>
      <c r="M2" s="3">
        <f>SUMIFS( '2014Data'!I:I, '2014Data'!F:F, B2,'2014Data'!B:B, "9" )</f>
        <v>66.47</v>
      </c>
      <c r="N2" s="3">
        <f>COUNTIFS('2014Data'!F:F, B2,'2014Data'!B:B, "9" )</f>
        <v>5</v>
      </c>
      <c r="O2" s="3">
        <f t="shared" ref="O2:O52" si="4">IF(P2=0,0,ROUND(P2/Q2,2))</f>
        <v>0</v>
      </c>
      <c r="P2" s="3">
        <f>SUMIFS( historical_events_FACT!J:J, historical_events_FACT!G:G, B2,historical_events_FACT!B:B, "2015",historical_events_FACT!C:C, "9" )</f>
        <v>0</v>
      </c>
      <c r="Q2" s="3">
        <f>COUNTIFS(historical_events_FACT!G:G, B2,historical_events_FACT!B:B, "2015",historical_events_FACT!C:C, "9" )</f>
        <v>0</v>
      </c>
      <c r="R2" s="3">
        <f t="shared" ref="R2:R52" si="5">IF(T2=0,0,ROUND(S2/T2,2))</f>
        <v>10.33</v>
      </c>
      <c r="S2" s="3">
        <f>SUMIFS( historical_events_FACT!J:J, historical_events_FACT!G:G, B2,historical_events_FACT!B:B, "2016",historical_events_FACT!C:C, "9" )</f>
        <v>20.66</v>
      </c>
      <c r="T2" s="3">
        <f>COUNTIFS(historical_events_FACT!G:G, B2,historical_events_FACT!B:B, "2016",historical_events_FACT!C:C, "9" )</f>
        <v>2</v>
      </c>
      <c r="U2" s="3">
        <f>MAXIFS( historical_events_FACT!J:J, historical_events_FACT!G:G, B2,historical_events_FACT!C:C, "9" )</f>
        <v>17.03</v>
      </c>
      <c r="V2" s="97">
        <f t="array" ref="V2">ROUND(AVERAGEIF({ IFERROR(XLOOKUP(B2, 'Surfer Stats - Event 7'!B:B, 'Surfer Stats - Event 7'!Z:Z), ""), IFERROR(XLOOKUP(B2, 'Surfer Stats - Event 8'!B:B, 'Surfer Stats - Event 8'!Y:Y), ""), IFERROR(XLOOKUP(B2, 'Surfer Stats - Event 6'!B:B, 'Surfer Stats - Event 6'!Y:Y), "") }, "&lt;&gt;"),2)</f>
        <v>92.02</v>
      </c>
      <c r="W2" s="3">
        <f t="array" ref="W2">XLOOKUP(B2, 'Surfer Stats - Event 8'!B:B, 'Surfer Stats - Event 8'!Y:Y)</f>
        <v>103.79</v>
      </c>
      <c r="X2" s="75">
        <f>19200+5200+1750+5200+6500+8000</f>
        <v>45850</v>
      </c>
      <c r="Y2" s="3">
        <f t="array" ref="Y2">XLOOKUP(B2,'Event 9 Assist'!A:A, 'Event 9 Assist'!E:E)</f>
        <v>29.1</v>
      </c>
    </row>
    <row r="3">
      <c r="A3" s="78">
        <v>1.0</v>
      </c>
      <c r="B3" s="66" t="s">
        <v>26</v>
      </c>
      <c r="C3" s="3" t="str">
        <f t="array" ref="C3">XLOOKUP(B3, 'Surfer Stats - Event 4'!B:B, 'Surfer Stats - Event 4'!D:D)</f>
        <v>Regular</v>
      </c>
      <c r="D3" s="3">
        <f t="shared" si="1"/>
        <v>19</v>
      </c>
      <c r="E3" s="10">
        <v>0.0</v>
      </c>
      <c r="F3" s="10">
        <v>0.0</v>
      </c>
      <c r="G3" s="10">
        <v>1.0</v>
      </c>
      <c r="H3" s="10">
        <v>3.0</v>
      </c>
      <c r="I3" s="10">
        <v>5.0</v>
      </c>
      <c r="J3" s="3">
        <f>COUNTIFS( historical_events_FACT!J:J, "&gt;16", historical_events_FACT!G:G, B3,historical_events_FACT!C:C, "9" )</f>
        <v>8</v>
      </c>
      <c r="K3" s="3">
        <f t="shared" si="2"/>
        <v>15.14</v>
      </c>
      <c r="L3" s="3">
        <f t="shared" si="3"/>
        <v>14.63</v>
      </c>
      <c r="M3" s="3">
        <f>SUMIFS( '2014Data'!I:I, '2014Data'!F:F, B3,'2014Data'!B:B, "9" )</f>
        <v>117</v>
      </c>
      <c r="N3" s="3">
        <f>COUNTIFS('2014Data'!F:F, B3,'2014Data'!B:B, "9" )</f>
        <v>8</v>
      </c>
      <c r="O3" s="3">
        <f t="shared" si="4"/>
        <v>15.64</v>
      </c>
      <c r="P3" s="3">
        <f>SUMIFS( historical_events_FACT!J:J, historical_events_FACT!G:G, B3,historical_events_FACT!B:B, "2015",historical_events_FACT!C:C, "9" )</f>
        <v>78.2</v>
      </c>
      <c r="Q3" s="3">
        <f>COUNTIFS(historical_events_FACT!G:G, B3,historical_events_FACT!B:B, "2015",historical_events_FACT!C:C, "9" )</f>
        <v>5</v>
      </c>
      <c r="R3" s="3">
        <f t="shared" si="5"/>
        <v>15.41</v>
      </c>
      <c r="S3" s="3">
        <f>SUMIFS( historical_events_FACT!J:J, historical_events_FACT!G:G, B3,historical_events_FACT!B:B, "2016",historical_events_FACT!C:C, "9" )</f>
        <v>92.48</v>
      </c>
      <c r="T3" s="3">
        <f>COUNTIFS(historical_events_FACT!G:G, B3,historical_events_FACT!B:B, "2016",historical_events_FACT!C:C, "9" )</f>
        <v>6</v>
      </c>
      <c r="U3" s="3">
        <f>MAXIFS( historical_events_FACT!J:J, historical_events_FACT!G:G, B3,historical_events_FACT!C:C, "9" )</f>
        <v>19.9</v>
      </c>
      <c r="V3" s="97">
        <f t="array" ref="V3">ROUND(AVERAGEIF({ IFERROR(XLOOKUP(B3, 'Surfer Stats - Event 7'!B:B, 'Surfer Stats - Event 7'!Z:Z), ""), IFERROR(XLOOKUP(B3, 'Surfer Stats - Event 8'!B:B, 'Surfer Stats - Event 8'!Y:Y), ""), IFERROR(XLOOKUP(B3, 'Surfer Stats - Event 6'!B:B, 'Surfer Stats - Event 6'!Y:Y), "") }, "&lt;&gt;"),2)</f>
        <v>82.9</v>
      </c>
      <c r="W3" s="3">
        <f t="array" ref="W3">XLOOKUP(B3, 'Surfer Stats - Event 8'!B:B, 'Surfer Stats - Event 8'!Y:Y)</f>
        <v>96.27</v>
      </c>
      <c r="X3" s="75">
        <f>23000+1750+1750+5200+5200+6500</f>
        <v>43400</v>
      </c>
      <c r="Y3" s="3">
        <f t="array" ref="Y3">XLOOKUP(B3,'Event 9 Assist'!A:A, 'Event 9 Assist'!E:E)</f>
        <v>89.06</v>
      </c>
    </row>
    <row r="4">
      <c r="A4" s="78">
        <v>1.0</v>
      </c>
      <c r="B4" s="66" t="s">
        <v>31</v>
      </c>
      <c r="C4" s="3" t="str">
        <f t="array" ref="C4">XLOOKUP(B4, 'Surfer Stats - Event 4'!B:B, 'Surfer Stats - Event 4'!D:D)</f>
        <v>Regular</v>
      </c>
      <c r="D4" s="3">
        <f t="shared" si="1"/>
        <v>13</v>
      </c>
      <c r="E4" s="10">
        <v>0.0</v>
      </c>
      <c r="F4" s="10">
        <v>0.0</v>
      </c>
      <c r="G4" s="10">
        <v>13.0</v>
      </c>
      <c r="H4" s="10">
        <v>5.0</v>
      </c>
      <c r="I4" s="10">
        <v>3.0</v>
      </c>
      <c r="J4" s="3">
        <f>COUNTIFS( historical_events_FACT!J:J, "&gt;16", historical_events_FACT!G:G, B4,historical_events_FACT!C:C, "9" )</f>
        <v>4</v>
      </c>
      <c r="K4" s="3">
        <f t="shared" si="2"/>
        <v>13.06</v>
      </c>
      <c r="L4" s="3">
        <f t="shared" si="3"/>
        <v>13.4</v>
      </c>
      <c r="M4" s="3">
        <f>SUMIFS( '2014Data'!I:I, '2014Data'!F:F, B4,'2014Data'!B:B, "9" )</f>
        <v>26.8</v>
      </c>
      <c r="N4" s="3">
        <f>COUNTIFS('2014Data'!F:F, B4,'2014Data'!B:B, "9" )</f>
        <v>2</v>
      </c>
      <c r="O4" s="3">
        <f t="shared" si="4"/>
        <v>15.04</v>
      </c>
      <c r="P4" s="3">
        <f>SUMIFS( historical_events_FACT!J:J, historical_events_FACT!G:G, B4,historical_events_FACT!B:B, "2015",historical_events_FACT!C:C, "9" )</f>
        <v>75.18</v>
      </c>
      <c r="Q4" s="3">
        <f>COUNTIFS(historical_events_FACT!G:G, B4,historical_events_FACT!B:B, "2015",historical_events_FACT!C:C, "9" )</f>
        <v>5</v>
      </c>
      <c r="R4" s="3">
        <f t="shared" si="5"/>
        <v>11.3</v>
      </c>
      <c r="S4" s="3">
        <f>SUMIFS( historical_events_FACT!J:J, historical_events_FACT!G:G, B4,historical_events_FACT!B:B, "2016",historical_events_FACT!C:C, "9" )</f>
        <v>67.79</v>
      </c>
      <c r="T4" s="3">
        <f>COUNTIFS(historical_events_FACT!G:G, B4,historical_events_FACT!B:B, "2016",historical_events_FACT!C:C, "9" )</f>
        <v>6</v>
      </c>
      <c r="U4" s="3">
        <f>MAXIFS( historical_events_FACT!J:J, historical_events_FACT!G:G, B4,historical_events_FACT!C:C, "9" )</f>
        <v>18.8</v>
      </c>
      <c r="V4" s="97">
        <f t="array" ref="V4">ROUND(AVERAGEIF({ IFERROR(XLOOKUP(B4, 'Surfer Stats - Event 7'!B:B, 'Surfer Stats - Event 7'!Z:Z), ""), IFERROR(XLOOKUP(B4, 'Surfer Stats - Event 8'!B:B, 'Surfer Stats - Event 8'!Y:Y), ""), IFERROR(XLOOKUP(B4, 'Surfer Stats - Event 6'!B:B, 'Surfer Stats - Event 6'!Y:Y), "") }, "&lt;&gt;"),2)</f>
        <v>87.44</v>
      </c>
      <c r="W4" s="3">
        <f t="array" ref="W4">XLOOKUP(B4, 'Surfer Stats - Event 8'!B:B, 'Surfer Stats - Event 8'!Y:Y)</f>
        <v>60.61</v>
      </c>
      <c r="X4" s="75">
        <f>7500+4000+5200+6500+10000+4000</f>
        <v>37200</v>
      </c>
      <c r="Y4" s="3">
        <f t="array" ref="Y4">XLOOKUP(B4,'Event 9 Assist'!A:A, 'Event 9 Assist'!E:E)</f>
        <v>21.36</v>
      </c>
    </row>
    <row r="5">
      <c r="A5" s="78">
        <v>1.0</v>
      </c>
      <c r="B5" s="66" t="s">
        <v>34</v>
      </c>
      <c r="C5" s="3" t="str">
        <f t="array" ref="C5">XLOOKUP(B5, 'Surfer Stats - Event 4'!B:B, 'Surfer Stats - Event 4'!D:D)</f>
        <v>Goofy</v>
      </c>
      <c r="D5" s="3">
        <f t="shared" si="1"/>
        <v>12</v>
      </c>
      <c r="E5" s="10">
        <v>0.0</v>
      </c>
      <c r="F5" s="10">
        <v>0.0</v>
      </c>
      <c r="G5" s="10">
        <v>9.0</v>
      </c>
      <c r="H5" s="10">
        <v>13.0</v>
      </c>
      <c r="I5" s="10">
        <v>9.0</v>
      </c>
      <c r="J5" s="3">
        <f>COUNTIFS( historical_events_FACT!J:J, "&gt;16", historical_events_FACT!G:G, B5,historical_events_FACT!C:C, "9" )</f>
        <v>0</v>
      </c>
      <c r="K5" s="3">
        <f t="shared" si="2"/>
        <v>11.57</v>
      </c>
      <c r="L5" s="3">
        <f t="shared" si="3"/>
        <v>10.44</v>
      </c>
      <c r="M5" s="3">
        <f>SUMIFS( '2014Data'!I:I, '2014Data'!F:F, B5,'2014Data'!B:B, "9" )</f>
        <v>41.76</v>
      </c>
      <c r="N5" s="3">
        <f>COUNTIFS('2014Data'!F:F, B5,'2014Data'!B:B, "9" )</f>
        <v>4</v>
      </c>
      <c r="O5" s="3">
        <f t="shared" si="4"/>
        <v>12.76</v>
      </c>
      <c r="P5" s="3">
        <f>SUMIFS( historical_events_FACT!J:J, historical_events_FACT!G:G, B5,historical_events_FACT!B:B, "2015",historical_events_FACT!C:C, "9" )</f>
        <v>63.8</v>
      </c>
      <c r="Q5" s="3">
        <f>COUNTIFS(historical_events_FACT!G:G, B5,historical_events_FACT!B:B, "2015",historical_events_FACT!C:C, "9" )</f>
        <v>5</v>
      </c>
      <c r="R5" s="3">
        <f t="shared" si="5"/>
        <v>11.08</v>
      </c>
      <c r="S5" s="3">
        <f>SUMIFS( historical_events_FACT!J:J, historical_events_FACT!G:G, B5,historical_events_FACT!B:B, "2016",historical_events_FACT!C:C, "9" )</f>
        <v>33.23</v>
      </c>
      <c r="T5" s="3">
        <f>COUNTIFS(historical_events_FACT!G:G, B5,historical_events_FACT!B:B, "2016",historical_events_FACT!C:C, "9" )</f>
        <v>3</v>
      </c>
      <c r="U5" s="3">
        <f>MAXIFS( historical_events_FACT!J:J, historical_events_FACT!G:G, B5,historical_events_FACT!C:C, "9" )</f>
        <v>16</v>
      </c>
      <c r="V5" s="97">
        <f t="array" ref="V5">ROUND(AVERAGEIF({ IFERROR(XLOOKUP(B5, 'Surfer Stats - Event 7'!B:B, 'Surfer Stats - Event 7'!Z:Z), ""), IFERROR(XLOOKUP(B5, 'Surfer Stats - Event 8'!B:B, 'Surfer Stats - Event 8'!Y:Y), ""), IFERROR(XLOOKUP(B5, 'Surfer Stats - Event 6'!B:B, 'Surfer Stats - Event 6'!Y:Y), "") }, "&lt;&gt;"),2)</f>
        <v>47.06</v>
      </c>
      <c r="W5" s="3">
        <f t="array" ref="W5">XLOOKUP(B5, 'Surfer Stats - Event 8'!B:B, 'Surfer Stats - Event 8'!Y:Y)</f>
        <v>23.16</v>
      </c>
      <c r="X5" s="75">
        <f>10250+6500+10000+5200+4000+500</f>
        <v>36450</v>
      </c>
      <c r="Y5" s="3">
        <f t="array" ref="Y5">XLOOKUP(B5,'Event 9 Assist'!A:A, 'Event 9 Assist'!E:E)</f>
        <v>28.2</v>
      </c>
    </row>
    <row r="6">
      <c r="A6" s="78">
        <v>1.0</v>
      </c>
      <c r="B6" s="66" t="s">
        <v>57</v>
      </c>
      <c r="C6" s="3" t="str">
        <f t="array" ref="C6">XLOOKUP(B6, 'Surfer Stats - Event 4'!B:B, 'Surfer Stats - Event 4'!D:D)</f>
        <v>Goofy</v>
      </c>
      <c r="D6" s="3">
        <f t="shared" si="1"/>
        <v>9</v>
      </c>
      <c r="E6" s="10">
        <v>0.0</v>
      </c>
      <c r="F6" s="10">
        <v>0.0</v>
      </c>
      <c r="G6" s="10">
        <v>13.0</v>
      </c>
      <c r="H6" s="10">
        <v>99.0</v>
      </c>
      <c r="I6" s="10">
        <v>5.0</v>
      </c>
      <c r="J6" s="3">
        <f>COUNTIFS( historical_events_FACT!J:J, "&gt;16", historical_events_FACT!G:G, B6,historical_events_FACT!C:C, "9" )</f>
        <v>1</v>
      </c>
      <c r="K6" s="3">
        <f t="shared" si="2"/>
        <v>14.01</v>
      </c>
      <c r="L6" s="3">
        <f t="shared" si="3"/>
        <v>13.28</v>
      </c>
      <c r="M6" s="3">
        <f>SUMIFS( '2014Data'!I:I, '2014Data'!F:F, B6,'2014Data'!B:B, "9" )</f>
        <v>39.83</v>
      </c>
      <c r="N6" s="3">
        <f>COUNTIFS('2014Data'!F:F, B6,'2014Data'!B:B, "9" )</f>
        <v>3</v>
      </c>
      <c r="O6" s="3">
        <f t="shared" si="4"/>
        <v>14.37</v>
      </c>
      <c r="P6" s="3">
        <f>SUMIFS( historical_events_FACT!J:J, historical_events_FACT!G:G, B6,historical_events_FACT!B:B, "2015",historical_events_FACT!C:C, "9" )</f>
        <v>86.23</v>
      </c>
      <c r="Q6" s="3">
        <f>COUNTIFS(historical_events_FACT!G:G, B6,historical_events_FACT!B:B, "2015",historical_events_FACT!C:C, "9" )</f>
        <v>6</v>
      </c>
      <c r="R6" s="3">
        <f t="shared" si="5"/>
        <v>0</v>
      </c>
      <c r="S6" s="3">
        <f>SUMIFS( historical_events_FACT!J:J, historical_events_FACT!G:G, B6,historical_events_FACT!B:B, "2016",historical_events_FACT!C:C, "9" )</f>
        <v>0</v>
      </c>
      <c r="T6" s="3">
        <f>COUNTIFS(historical_events_FACT!G:G, B6,historical_events_FACT!B:B, "2016",historical_events_FACT!C:C, "9" )</f>
        <v>0</v>
      </c>
      <c r="U6" s="3">
        <f>MAXIFS( historical_events_FACT!J:J, historical_events_FACT!G:G, B6,historical_events_FACT!C:C, "9" )</f>
        <v>18.5</v>
      </c>
      <c r="V6" s="97">
        <f t="array" ref="V6">ROUND(AVERAGEIF({ IFERROR(XLOOKUP(B6, 'Surfer Stats - Event 7'!B:B, 'Surfer Stats - Event 7'!Z:Z), ""), IFERROR(XLOOKUP(B6, 'Surfer Stats - Event 8'!B:B, 'Surfer Stats - Event 8'!Y:Y), ""), IFERROR(XLOOKUP(B6, 'Surfer Stats - Event 6'!B:B, 'Surfer Stats - Event 6'!Y:Y), "") }, "&lt;&gt;"),2)</f>
        <v>54.03</v>
      </c>
      <c r="W6" s="3">
        <f t="array" ref="W6">XLOOKUP(B6, 'Surfer Stats - Event 8'!B:B, 'Surfer Stats - Event 8'!Y:Y)</f>
        <v>28.06</v>
      </c>
      <c r="X6" s="75">
        <f>19200++5200+1750+4000+5200+500</f>
        <v>35850</v>
      </c>
      <c r="Y6" s="3">
        <f t="array" ref="Y6">XLOOKUP(B6,'Event 9 Assist'!A:A, 'Event 9 Assist'!E:E)</f>
        <v>58.36</v>
      </c>
    </row>
    <row r="7">
      <c r="A7" s="78">
        <v>1.0</v>
      </c>
      <c r="B7" s="66" t="s">
        <v>33</v>
      </c>
      <c r="C7" s="3" t="str">
        <f t="array" ref="C7">XLOOKUP(B7, 'Surfer Stats - Event 4'!B:B, 'Surfer Stats - Event 4'!D:D)</f>
        <v>Regular</v>
      </c>
      <c r="D7" s="3">
        <f t="shared" si="1"/>
        <v>12</v>
      </c>
      <c r="E7" s="10">
        <v>0.0</v>
      </c>
      <c r="F7" s="10">
        <v>0.0</v>
      </c>
      <c r="G7" s="10">
        <v>9.0</v>
      </c>
      <c r="H7" s="10">
        <v>5.0</v>
      </c>
      <c r="I7" s="10">
        <v>25.0</v>
      </c>
      <c r="J7" s="3">
        <f>COUNTIFS( historical_events_FACT!J:J, "&gt;16", historical_events_FACT!G:G, B7,historical_events_FACT!C:C, "9" )</f>
        <v>2</v>
      </c>
      <c r="K7" s="3">
        <f t="shared" si="2"/>
        <v>12.35</v>
      </c>
      <c r="L7" s="3">
        <f t="shared" si="3"/>
        <v>12.47</v>
      </c>
      <c r="M7" s="3">
        <f>SUMIFS( '2014Data'!I:I, '2014Data'!F:F, B7,'2014Data'!B:B, "9" )</f>
        <v>62.37</v>
      </c>
      <c r="N7" s="3">
        <f>COUNTIFS('2014Data'!F:F, B7,'2014Data'!B:B, "9" )</f>
        <v>5</v>
      </c>
      <c r="O7" s="3">
        <f t="shared" si="4"/>
        <v>7.92</v>
      </c>
      <c r="P7" s="3">
        <f>SUMIFS( historical_events_FACT!J:J, historical_events_FACT!G:G, B7,historical_events_FACT!B:B, "2015",historical_events_FACT!C:C, "9" )</f>
        <v>15.83</v>
      </c>
      <c r="Q7" s="3">
        <f>COUNTIFS(historical_events_FACT!G:G, B7,historical_events_FACT!B:B, "2015",historical_events_FACT!C:C, "9" )</f>
        <v>2</v>
      </c>
      <c r="R7" s="3">
        <f t="shared" si="5"/>
        <v>13.99</v>
      </c>
      <c r="S7" s="3">
        <f>SUMIFS( historical_events_FACT!J:J, historical_events_FACT!G:G, B7,historical_events_FACT!B:B, "2016",historical_events_FACT!C:C, "9" )</f>
        <v>69.97</v>
      </c>
      <c r="T7" s="3">
        <f>COUNTIFS(historical_events_FACT!G:G, B7,historical_events_FACT!B:B, "2016",historical_events_FACT!C:C, "9" )</f>
        <v>5</v>
      </c>
      <c r="U7" s="3">
        <f>MAXIFS( historical_events_FACT!J:J, historical_events_FACT!G:G, B7,historical_events_FACT!C:C, "9" )</f>
        <v>18.5</v>
      </c>
      <c r="V7" s="97">
        <f t="array" ref="V7">ROUND(AVERAGEIF({ IFERROR(XLOOKUP(B7, 'Surfer Stats - Event 7'!B:B, 'Surfer Stats - Event 7'!Z:Z), ""), IFERROR(XLOOKUP(B7, 'Surfer Stats - Event 8'!B:B, 'Surfer Stats - Event 8'!Y:Y), ""), IFERROR(XLOOKUP(B7, 'Surfer Stats - Event 6'!B:B, 'Surfer Stats - Event 6'!Y:Y), "") }, "&lt;&gt;"),2)</f>
        <v>72.84</v>
      </c>
      <c r="W7" s="3">
        <f t="array" ref="W7">XLOOKUP(B7, 'Surfer Stats - Event 8'!B:B, 'Surfer Stats - Event 8'!Y:Y)</f>
        <v>96.49</v>
      </c>
      <c r="X7" s="75">
        <f>12200+1750+500+10000+500+10000</f>
        <v>34950</v>
      </c>
      <c r="Y7" s="3">
        <f t="array" ref="Y7">XLOOKUP(B7,'Event 9 Assist'!A:A, 'Event 9 Assist'!E:E)</f>
        <v>19.93</v>
      </c>
    </row>
    <row r="8">
      <c r="A8" s="78">
        <v>1.0</v>
      </c>
      <c r="B8" s="66" t="s">
        <v>42</v>
      </c>
      <c r="C8" s="3" t="str">
        <f t="array" ref="C8">XLOOKUP(B8, 'Surfer Stats - Event 4'!B:B, 'Surfer Stats - Event 4'!D:D)</f>
        <v>Regular</v>
      </c>
      <c r="D8" s="3">
        <f t="shared" si="1"/>
        <v>11</v>
      </c>
      <c r="E8" s="10">
        <v>0.0</v>
      </c>
      <c r="F8" s="10">
        <v>0.0</v>
      </c>
      <c r="G8" s="10">
        <v>13.0</v>
      </c>
      <c r="H8" s="10">
        <v>9.0</v>
      </c>
      <c r="I8" s="10">
        <v>3.0</v>
      </c>
      <c r="J8" s="3">
        <f>COUNTIFS( historical_events_FACT!J:J, "&gt;16", historical_events_FACT!G:G, B8,historical_events_FACT!C:C, "9" )</f>
        <v>1</v>
      </c>
      <c r="K8" s="3">
        <f t="shared" si="2"/>
        <v>14.23</v>
      </c>
      <c r="L8" s="3">
        <f t="shared" si="3"/>
        <v>14.7</v>
      </c>
      <c r="M8" s="3">
        <f>SUMIFS( '2014Data'!I:I, '2014Data'!F:F, B8,'2014Data'!B:B, "9" )</f>
        <v>29.4</v>
      </c>
      <c r="N8" s="3">
        <f>COUNTIFS('2014Data'!F:F, B8,'2014Data'!B:B, "9" )</f>
        <v>2</v>
      </c>
      <c r="O8" s="3">
        <f t="shared" si="4"/>
        <v>14.95</v>
      </c>
      <c r="P8" s="3">
        <f>SUMIFS( historical_events_FACT!J:J, historical_events_FACT!G:G, B8,historical_events_FACT!B:B, "2015",historical_events_FACT!C:C, "9" )</f>
        <v>74.74</v>
      </c>
      <c r="Q8" s="3">
        <f>COUNTIFS(historical_events_FACT!G:G, B8,historical_events_FACT!B:B, "2015",historical_events_FACT!C:C, "9" )</f>
        <v>5</v>
      </c>
      <c r="R8" s="3">
        <f t="shared" si="5"/>
        <v>13.1</v>
      </c>
      <c r="S8" s="3">
        <f>SUMIFS( historical_events_FACT!J:J, historical_events_FACT!G:G, B8,historical_events_FACT!B:B, "2016",historical_events_FACT!C:C, "9" )</f>
        <v>52.4</v>
      </c>
      <c r="T8" s="3">
        <f>COUNTIFS(historical_events_FACT!G:G, B8,historical_events_FACT!B:B, "2016",historical_events_FACT!C:C, "9" )</f>
        <v>4</v>
      </c>
      <c r="U8" s="3">
        <f>MAXIFS( historical_events_FACT!J:J, historical_events_FACT!G:G, B8,historical_events_FACT!C:C, "9" )</f>
        <v>18.5</v>
      </c>
      <c r="V8" s="97">
        <f t="array" ref="V8">ROUND(AVERAGEIF({ IFERROR(XLOOKUP(B8, 'Surfer Stats - Event 7'!B:B, 'Surfer Stats - Event 7'!Z:Z), ""), IFERROR(XLOOKUP(B8, 'Surfer Stats - Event 8'!B:B, 'Surfer Stats - Event 8'!Y:Y), ""), IFERROR(XLOOKUP(B8, 'Surfer Stats - Event 6'!B:B, 'Surfer Stats - Event 6'!Y:Y), "") }, "&lt;&gt;"),2)</f>
        <v>35.31</v>
      </c>
      <c r="W8" s="3">
        <f t="array" ref="W8">XLOOKUP(B8, 'Surfer Stats - Event 8'!B:B, 'Surfer Stats - Event 8'!Y:Y)</f>
        <v>59.37</v>
      </c>
      <c r="X8" s="75">
        <f>14400+10000+1750+1750+1750+5200</f>
        <v>34850</v>
      </c>
      <c r="Y8" s="3">
        <f t="array" ref="Y8">XLOOKUP(B8,'Event 9 Assist'!A:A, 'Event 9 Assist'!E:E)</f>
        <v>36.91</v>
      </c>
    </row>
    <row r="9">
      <c r="A9" s="78">
        <v>1.0</v>
      </c>
      <c r="B9" s="66" t="s">
        <v>30</v>
      </c>
      <c r="C9" s="3" t="str">
        <f t="array" ref="C9">XLOOKUP(B9, 'Surfer Stats - Event 4'!B:B, 'Surfer Stats - Event 4'!D:D)</f>
        <v>Goofy</v>
      </c>
      <c r="D9" s="3">
        <f t="shared" si="1"/>
        <v>16</v>
      </c>
      <c r="E9" s="10">
        <v>0.0</v>
      </c>
      <c r="F9" s="10">
        <v>0.0</v>
      </c>
      <c r="G9" s="10">
        <v>5.0</v>
      </c>
      <c r="H9" s="10">
        <v>2.0</v>
      </c>
      <c r="I9" s="10">
        <v>1.0</v>
      </c>
      <c r="J9" s="3">
        <f>COUNTIFS( historical_events_FACT!J:J, "&gt;16", historical_events_FACT!G:G, B9,historical_events_FACT!C:C, "9" )</f>
        <v>5</v>
      </c>
      <c r="K9" s="3">
        <f t="shared" si="2"/>
        <v>14.44</v>
      </c>
      <c r="L9" s="3">
        <f t="shared" si="3"/>
        <v>12.41</v>
      </c>
      <c r="M9" s="3">
        <f>SUMIFS( '2014Data'!I:I, '2014Data'!F:F, B9,'2014Data'!B:B, "9" )</f>
        <v>49.64</v>
      </c>
      <c r="N9" s="3">
        <f>COUNTIFS('2014Data'!F:F, B9,'2014Data'!B:B, "9" )</f>
        <v>4</v>
      </c>
      <c r="O9" s="3">
        <f t="shared" si="4"/>
        <v>16.74</v>
      </c>
      <c r="P9" s="3">
        <f>SUMIFS( historical_events_FACT!J:J, historical_events_FACT!G:G, B9,historical_events_FACT!B:B, "2015",historical_events_FACT!C:C, "9" )</f>
        <v>100.46</v>
      </c>
      <c r="Q9" s="3">
        <f>COUNTIFS(historical_events_FACT!G:G, B9,historical_events_FACT!B:B, "2015",historical_events_FACT!C:C, "9" )</f>
        <v>6</v>
      </c>
      <c r="R9" s="3">
        <f t="shared" si="5"/>
        <v>13.49</v>
      </c>
      <c r="S9" s="3">
        <f>SUMIFS( historical_events_FACT!J:J, historical_events_FACT!G:G, B9,historical_events_FACT!B:B, "2016",historical_events_FACT!C:C, "9" )</f>
        <v>80.91</v>
      </c>
      <c r="T9" s="3">
        <f>COUNTIFS(historical_events_FACT!G:G, B9,historical_events_FACT!B:B, "2016",historical_events_FACT!C:C, "9" )</f>
        <v>6</v>
      </c>
      <c r="U9" s="3">
        <f>MAXIFS( historical_events_FACT!J:J, historical_events_FACT!G:G, B9,historical_events_FACT!C:C, "9" )</f>
        <v>19.83</v>
      </c>
      <c r="V9" s="97">
        <f t="array" ref="V9">ROUND(AVERAGEIF({ IFERROR(XLOOKUP(B9, 'Surfer Stats - Event 7'!B:B, 'Surfer Stats - Event 7'!Z:Z), ""), IFERROR(XLOOKUP(B9, 'Surfer Stats - Event 8'!B:B, 'Surfer Stats - Event 8'!Y:Y), ""), IFERROR(XLOOKUP(B9, 'Surfer Stats - Event 6'!B:B, 'Surfer Stats - Event 6'!Y:Y), "") }, "&lt;&gt;"),2)</f>
        <v>71.42</v>
      </c>
      <c r="W9" s="3">
        <f t="array" ref="W9">XLOOKUP(B9, 'Surfer Stats - Event 8'!B:B, 'Surfer Stats - Event 8'!Y:Y)</f>
        <v>28.47</v>
      </c>
      <c r="X9" s="75">
        <f>8750+4000+1750+6500+8000+1750</f>
        <v>30750</v>
      </c>
      <c r="Y9" s="3">
        <f t="array" ref="Y9">XLOOKUP(B9,'Event 9 Assist'!A:A, 'Event 9 Assist'!E:E)</f>
        <v>93.79</v>
      </c>
    </row>
    <row r="10">
      <c r="A10" s="78">
        <v>1.0</v>
      </c>
      <c r="B10" s="66" t="s">
        <v>39</v>
      </c>
      <c r="C10" s="3" t="str">
        <f t="array" ref="C10">XLOOKUP(B10, 'Surfer Stats - Event 4'!B:B, 'Surfer Stats - Event 4'!D:D)</f>
        <v>Regular</v>
      </c>
      <c r="D10" s="3">
        <f t="shared" si="1"/>
        <v>6</v>
      </c>
      <c r="E10" s="10">
        <v>0.0</v>
      </c>
      <c r="F10" s="10">
        <v>0.0</v>
      </c>
      <c r="G10" s="10">
        <v>13.0</v>
      </c>
      <c r="H10" s="10">
        <v>25.0</v>
      </c>
      <c r="I10" s="10">
        <v>25.0</v>
      </c>
      <c r="J10" s="3">
        <f>COUNTIFS( historical_events_FACT!J:J, "&gt;16", historical_events_FACT!G:G, B10,historical_events_FACT!C:C, "9" )</f>
        <v>0</v>
      </c>
      <c r="K10" s="3">
        <f t="shared" si="2"/>
        <v>9.82</v>
      </c>
      <c r="L10" s="3">
        <f t="shared" si="3"/>
        <v>14.18</v>
      </c>
      <c r="M10" s="3">
        <f>SUMIFS( '2014Data'!I:I, '2014Data'!F:F, B10,'2014Data'!B:B, "9" )</f>
        <v>28.36</v>
      </c>
      <c r="N10" s="3">
        <f>COUNTIFS('2014Data'!F:F, B10,'2014Data'!B:B, "9" )</f>
        <v>2</v>
      </c>
      <c r="O10" s="3">
        <f t="shared" si="4"/>
        <v>6.68</v>
      </c>
      <c r="P10" s="3">
        <f>SUMIFS( historical_events_FACT!J:J, historical_events_FACT!G:G, B10,historical_events_FACT!B:B, "2015",historical_events_FACT!C:C, "9" )</f>
        <v>13.36</v>
      </c>
      <c r="Q10" s="3">
        <f>COUNTIFS(historical_events_FACT!G:G, B10,historical_events_FACT!B:B, "2015",historical_events_FACT!C:C, "9" )</f>
        <v>2</v>
      </c>
      <c r="R10" s="3">
        <f t="shared" si="5"/>
        <v>8.61</v>
      </c>
      <c r="S10" s="3">
        <f>SUMIFS( historical_events_FACT!J:J, historical_events_FACT!G:G, B10,historical_events_FACT!B:B, "2016",historical_events_FACT!C:C, "9" )</f>
        <v>17.21</v>
      </c>
      <c r="T10" s="3">
        <f>COUNTIFS(historical_events_FACT!G:G, B10,historical_events_FACT!B:B, "2016",historical_events_FACT!C:C, "9" )</f>
        <v>2</v>
      </c>
      <c r="U10" s="3">
        <f>MAXIFS( historical_events_FACT!J:J, historical_events_FACT!G:G, B10,historical_events_FACT!C:C, "9" )</f>
        <v>15.5</v>
      </c>
      <c r="V10" s="97">
        <f t="array" ref="V10">ROUND(AVERAGEIF({ IFERROR(XLOOKUP(B10, 'Surfer Stats - Event 7'!B:B, 'Surfer Stats - Event 7'!Z:Z), ""), IFERROR(XLOOKUP(B10, 'Surfer Stats - Event 8'!B:B, 'Surfer Stats - Event 8'!Y:Y), ""), IFERROR(XLOOKUP(B10, 'Surfer Stats - Event 6'!B:B, 'Surfer Stats - Event 6'!Y:Y), "") }, "&lt;&gt;"),2)</f>
        <v>22.75</v>
      </c>
      <c r="W10" s="3">
        <f t="array" ref="W10">XLOOKUP(B10, 'Surfer Stats - Event 8'!B:B, 'Surfer Stats - Event 8'!Y:Y)</f>
        <v>13.73</v>
      </c>
      <c r="X10" s="75">
        <f>10950+5200+6500+1750+1750+500</f>
        <v>26650</v>
      </c>
      <c r="Y10" s="3">
        <f t="array" ref="Y10">XLOOKUP(B10,'Event 9 Assist'!A:A, 'Event 9 Assist'!E:E)</f>
        <v>55.57</v>
      </c>
    </row>
    <row r="11">
      <c r="A11" s="78">
        <v>1.0</v>
      </c>
      <c r="B11" s="66" t="s">
        <v>61</v>
      </c>
      <c r="C11" s="3" t="str">
        <f t="array" ref="C11">XLOOKUP(B11, 'Surfer Stats - Event 4'!B:B, 'Surfer Stats - Event 4'!D:D)</f>
        <v>Goofy</v>
      </c>
      <c r="D11" s="3">
        <f t="shared" si="1"/>
        <v>9</v>
      </c>
      <c r="E11" s="10">
        <v>0.0</v>
      </c>
      <c r="F11" s="10">
        <v>0.0</v>
      </c>
      <c r="G11" s="10">
        <v>99.0</v>
      </c>
      <c r="H11" s="10">
        <v>99.0</v>
      </c>
      <c r="I11" s="10">
        <v>99.0</v>
      </c>
      <c r="J11" s="3">
        <f>COUNTIFS( historical_events_FACT!J:J, "&gt;16", historical_events_FACT!G:G, B11,historical_events_FACT!C:C, "9" )</f>
        <v>0</v>
      </c>
      <c r="K11" s="3">
        <f t="shared" si="2"/>
        <v>11.25</v>
      </c>
      <c r="L11" s="3">
        <f t="shared" si="3"/>
        <v>11.48</v>
      </c>
      <c r="M11" s="10">
        <v>34.45</v>
      </c>
      <c r="N11" s="10">
        <v>3.0</v>
      </c>
      <c r="O11" s="3">
        <f t="shared" si="4"/>
        <v>11.3</v>
      </c>
      <c r="P11" s="10">
        <v>33.89</v>
      </c>
      <c r="Q11" s="10">
        <v>3.0</v>
      </c>
      <c r="R11" s="3">
        <f t="shared" si="5"/>
        <v>10.98</v>
      </c>
      <c r="S11" s="10">
        <v>32.94</v>
      </c>
      <c r="T11" s="10">
        <v>3.0</v>
      </c>
      <c r="U11" s="10">
        <v>13.53</v>
      </c>
      <c r="V11" s="97">
        <f t="array" ref="V11">ROUND(AVERAGEIF({ IFERROR(XLOOKUP(B11, 'Surfer Stats - Event 7'!B:B, 'Surfer Stats - Event 7'!Z:Z), ""), IFERROR(XLOOKUP(B11, 'Surfer Stats - Event 8'!B:B, 'Surfer Stats - Event 8'!Y:Y), ""), IFERROR(XLOOKUP(B11, 'Surfer Stats - Event 6'!B:B, 'Surfer Stats - Event 6'!Y:Y), "") }, "&lt;&gt;"),2)</f>
        <v>37.1</v>
      </c>
      <c r="W11" s="3">
        <f t="array" ref="W11">XLOOKUP(B11, 'Surfer Stats - Event 8'!B:B, 'Surfer Stats - Event 8'!Y:Y)</f>
        <v>22.26</v>
      </c>
      <c r="X11" s="75">
        <f>8700+1750+8000+1750+4000+500</f>
        <v>24700</v>
      </c>
      <c r="Y11" s="3">
        <f t="array" ref="Y11">XLOOKUP(B11,'Event 9 Assist'!A:A, 'Event 9 Assist'!E:E)</f>
        <v>22.44</v>
      </c>
    </row>
    <row r="12">
      <c r="A12" s="78">
        <v>1.0</v>
      </c>
      <c r="B12" s="66" t="s">
        <v>64</v>
      </c>
      <c r="C12" s="3" t="str">
        <f t="array" ref="C12">XLOOKUP(B12, 'Surfer Stats - Event 4'!B:B, 'Surfer Stats - Event 4'!D:D)</f>
        <v>Regular</v>
      </c>
      <c r="D12" s="3">
        <f t="shared" si="1"/>
        <v>9</v>
      </c>
      <c r="E12" s="10">
        <v>0.0</v>
      </c>
      <c r="F12" s="10">
        <v>0.0</v>
      </c>
      <c r="G12" s="10">
        <v>99.0</v>
      </c>
      <c r="H12" s="10">
        <v>99.0</v>
      </c>
      <c r="I12" s="10">
        <v>99.0</v>
      </c>
      <c r="J12" s="3">
        <f>COUNTIFS( historical_events_FACT!J:J, "&gt;16", historical_events_FACT!G:G, B12,historical_events_FACT!C:C, "9" )</f>
        <v>0</v>
      </c>
      <c r="K12" s="3">
        <f t="shared" si="2"/>
        <v>11.25</v>
      </c>
      <c r="L12" s="3">
        <f t="shared" si="3"/>
        <v>11.48</v>
      </c>
      <c r="M12" s="10">
        <v>34.45</v>
      </c>
      <c r="N12" s="10">
        <v>3.0</v>
      </c>
      <c r="O12" s="3">
        <f t="shared" si="4"/>
        <v>11.3</v>
      </c>
      <c r="P12" s="10">
        <v>33.89</v>
      </c>
      <c r="Q12" s="10">
        <v>3.0</v>
      </c>
      <c r="R12" s="3">
        <f t="shared" si="5"/>
        <v>10.98</v>
      </c>
      <c r="S12" s="10">
        <v>32.94</v>
      </c>
      <c r="T12" s="10">
        <v>3.0</v>
      </c>
      <c r="U12" s="10">
        <v>13.53</v>
      </c>
      <c r="V12" s="97">
        <f t="array" ref="V12">ROUND(AVERAGEIF({ IFERROR(XLOOKUP(B12, 'Surfer Stats - Event 7'!B:B, 'Surfer Stats - Event 7'!Z:Z), ""), IFERROR(XLOOKUP(B12, 'Surfer Stats - Event 8'!B:B, 'Surfer Stats - Event 8'!Y:Y), ""), IFERROR(XLOOKUP(B12, 'Surfer Stats - Event 6'!B:B, 'Surfer Stats - Event 6'!Y:Y), "") }, "&lt;&gt;"),2)</f>
        <v>66.8</v>
      </c>
      <c r="W12" s="3">
        <f t="array" ref="W12">XLOOKUP(B12, 'Surfer Stats - Event 8'!B:B, 'Surfer Stats - Event 8'!Y:Y)</f>
        <v>65.43</v>
      </c>
      <c r="X12" s="75">
        <f>7450+1750+1750+8000+500+5200</f>
        <v>24650</v>
      </c>
      <c r="Y12" s="3">
        <f t="array" ref="Y12">XLOOKUP(B12,'Event 9 Assist'!A:A, 'Event 9 Assist'!E:E)</f>
        <v>37.02</v>
      </c>
    </row>
    <row r="13">
      <c r="A13" s="78">
        <v>1.0</v>
      </c>
      <c r="B13" s="66" t="s">
        <v>32</v>
      </c>
      <c r="C13" s="3" t="str">
        <f t="array" ref="C13">XLOOKUP(B13, 'Surfer Stats - Event 4'!B:B, 'Surfer Stats - Event 4'!D:D)</f>
        <v>Regular</v>
      </c>
      <c r="D13" s="3">
        <f t="shared" si="1"/>
        <v>15</v>
      </c>
      <c r="E13" s="10">
        <v>0.0</v>
      </c>
      <c r="F13" s="10">
        <v>0.0</v>
      </c>
      <c r="G13" s="10">
        <v>5.0</v>
      </c>
      <c r="H13" s="10">
        <v>3.0</v>
      </c>
      <c r="I13" s="10">
        <v>9.0</v>
      </c>
      <c r="J13" s="3">
        <f>COUNTIFS( historical_events_FACT!J:J, "&gt;16", historical_events_FACT!G:G, B13,historical_events_FACT!C:C, "9" )</f>
        <v>1</v>
      </c>
      <c r="K13" s="3">
        <f t="shared" si="2"/>
        <v>13.23</v>
      </c>
      <c r="L13" s="3">
        <f t="shared" si="3"/>
        <v>13.89</v>
      </c>
      <c r="M13" s="3">
        <f>SUMIFS( '2014Data'!I:I, '2014Data'!F:F, B13,'2014Data'!B:B, "9" )</f>
        <v>69.47</v>
      </c>
      <c r="N13" s="3">
        <f>COUNTIFS('2014Data'!F:F, B13,'2014Data'!B:B, "9" )</f>
        <v>5</v>
      </c>
      <c r="O13" s="3">
        <f t="shared" si="4"/>
        <v>12.71</v>
      </c>
      <c r="P13" s="3">
        <f>SUMIFS( historical_events_FACT!J:J, historical_events_FACT!G:G, B13,historical_events_FACT!B:B, "2015",historical_events_FACT!C:C, "9" )</f>
        <v>50.84</v>
      </c>
      <c r="Q13" s="3">
        <f>COUNTIFS(historical_events_FACT!G:G, B13,historical_events_FACT!B:B, "2015",historical_events_FACT!C:C, "9" )</f>
        <v>4</v>
      </c>
      <c r="R13" s="3">
        <f t="shared" si="5"/>
        <v>13.04</v>
      </c>
      <c r="S13" s="3">
        <f>SUMIFS( historical_events_FACT!J:J, historical_events_FACT!G:G, B13,historical_events_FACT!B:B, "2016",historical_events_FACT!C:C, "9" )</f>
        <v>78.21</v>
      </c>
      <c r="T13" s="3">
        <f>COUNTIFS(historical_events_FACT!G:G, B13,historical_events_FACT!B:B, "2016",historical_events_FACT!C:C, "9" )</f>
        <v>6</v>
      </c>
      <c r="U13" s="3">
        <f>MAXIFS( historical_events_FACT!J:J, historical_events_FACT!G:G, B13,historical_events_FACT!C:C, "9" )</f>
        <v>16.5</v>
      </c>
      <c r="V13" s="97">
        <f t="array" ref="V13">ROUND(AVERAGEIF({ IFERROR(XLOOKUP(B13, 'Surfer Stats - Event 7'!B:B, 'Surfer Stats - Event 7'!Z:Z), ""), IFERROR(XLOOKUP(B13, 'Surfer Stats - Event 8'!B:B, 'Surfer Stats - Event 8'!Y:Y), ""), IFERROR(XLOOKUP(B13, 'Surfer Stats - Event 6'!B:B, 'Surfer Stats - Event 6'!Y:Y), "") }, "&lt;&gt;"),2)</f>
        <v>36.5</v>
      </c>
      <c r="W13" s="3">
        <f t="array" ref="W13">XLOOKUP(B13, 'Surfer Stats - Event 8'!B:B, 'Surfer Stats - Event 8'!Y:Y)</f>
        <v>20.63</v>
      </c>
      <c r="X13" s="75">
        <f>13750+500+1750+500+6500+500</f>
        <v>23500</v>
      </c>
      <c r="Y13" s="3">
        <f t="array" ref="Y13">XLOOKUP(B13,'Event 9 Assist'!A:A, 'Event 9 Assist'!E:E)</f>
        <v>88.07</v>
      </c>
    </row>
    <row r="14">
      <c r="A14" s="78">
        <v>1.0</v>
      </c>
      <c r="B14" s="66" t="s">
        <v>47</v>
      </c>
      <c r="C14" s="3" t="str">
        <f t="array" ref="C14">XLOOKUP(B14, 'Surfer Stats - Event 4'!B:B, 'Surfer Stats - Event 4'!D:D)</f>
        <v>Goofy</v>
      </c>
      <c r="D14" s="3">
        <f t="shared" si="1"/>
        <v>6</v>
      </c>
      <c r="E14" s="10">
        <v>0.0</v>
      </c>
      <c r="F14" s="10">
        <v>0.0</v>
      </c>
      <c r="G14" s="10">
        <v>13.0</v>
      </c>
      <c r="H14" s="10">
        <v>13.0</v>
      </c>
      <c r="I14" s="10">
        <v>13.0</v>
      </c>
      <c r="J14" s="3">
        <f>COUNTIFS( historical_events_FACT!J:J, "&gt;16", historical_events_FACT!G:G, B14,historical_events_FACT!C:C, "9" )</f>
        <v>2</v>
      </c>
      <c r="K14" s="3">
        <f t="shared" si="2"/>
        <v>14.31</v>
      </c>
      <c r="L14" s="3">
        <f t="shared" si="3"/>
        <v>12.69</v>
      </c>
      <c r="M14" s="3">
        <f>SUMIFS( '2014Data'!I:I, '2014Data'!F:F, B14,'2014Data'!B:B, "9" )</f>
        <v>25.37</v>
      </c>
      <c r="N14" s="3">
        <f>COUNTIFS('2014Data'!F:F, B14,'2014Data'!B:B, "9" )</f>
        <v>2</v>
      </c>
      <c r="O14" s="3">
        <f t="shared" si="4"/>
        <v>17.9</v>
      </c>
      <c r="P14" s="3">
        <f>SUMIFS( historical_events_FACT!J:J, historical_events_FACT!G:G, B14,historical_events_FACT!B:B, "2015",historical_events_FACT!C:C, "9" )</f>
        <v>35.8</v>
      </c>
      <c r="Q14" s="3">
        <f>COUNTIFS(historical_events_FACT!G:G, B14,historical_events_FACT!B:B, "2015",historical_events_FACT!C:C, "9" )</f>
        <v>2</v>
      </c>
      <c r="R14" s="3">
        <f t="shared" si="5"/>
        <v>12.33</v>
      </c>
      <c r="S14" s="3">
        <f>SUMIFS( historical_events_FACT!J:J, historical_events_FACT!G:G, B14,historical_events_FACT!B:B, "2016",historical_events_FACT!C:C, "9" )</f>
        <v>24.66</v>
      </c>
      <c r="T14" s="3">
        <f>COUNTIFS(historical_events_FACT!G:G, B14,historical_events_FACT!B:B, "2016",historical_events_FACT!C:C, "9" )</f>
        <v>2</v>
      </c>
      <c r="U14" s="3">
        <f>MAXIFS( historical_events_FACT!J:J, historical_events_FACT!G:G, B14,historical_events_FACT!C:C, "9" )</f>
        <v>18.4</v>
      </c>
      <c r="V14" s="97">
        <f t="array" ref="V14">ROUND(AVERAGEIF({ IFERROR(XLOOKUP(B14, 'Surfer Stats - Event 7'!B:B, 'Surfer Stats - Event 7'!Z:Z), ""), IFERROR(XLOOKUP(B14, 'Surfer Stats - Event 8'!B:B, 'Surfer Stats - Event 8'!Y:Y), ""), IFERROR(XLOOKUP(B14, 'Surfer Stats - Event 6'!B:B, 'Surfer Stats - Event 6'!Y:Y), "") }, "&lt;&gt;"),2)</f>
        <v>59.41</v>
      </c>
      <c r="W14" s="3">
        <f t="array" ref="W14">XLOOKUP(B14, 'Surfer Stats - Event 8'!B:B, 'Surfer Stats - Event 8'!Y:Y)</f>
        <v>97.51</v>
      </c>
      <c r="X14" s="75">
        <f>4000+8000+500+500+4000+6500</f>
        <v>23500</v>
      </c>
      <c r="Y14" s="3">
        <f t="array" ref="Y14">XLOOKUP(B14,'Event 9 Assist'!A:A, 'Event 9 Assist'!E:E)</f>
        <v>28.87</v>
      </c>
    </row>
    <row r="15">
      <c r="A15" s="78">
        <v>1.0</v>
      </c>
      <c r="B15" s="66" t="s">
        <v>41</v>
      </c>
      <c r="C15" s="3" t="str">
        <f t="array" ref="C15">XLOOKUP(B15, 'Surfer Stats - Event 4'!B:B, 'Surfer Stats - Event 4'!D:D)</f>
        <v>Regular</v>
      </c>
      <c r="D15" s="3">
        <f t="shared" si="1"/>
        <v>12</v>
      </c>
      <c r="E15" s="10">
        <v>0.0</v>
      </c>
      <c r="F15" s="10">
        <v>0.0</v>
      </c>
      <c r="G15" s="10">
        <v>9.0</v>
      </c>
      <c r="H15" s="10">
        <v>99.0</v>
      </c>
      <c r="I15" s="10">
        <v>5.0</v>
      </c>
      <c r="J15" s="3">
        <f>COUNTIFS( historical_events_FACT!J:J, "&gt;16", historical_events_FACT!G:G, B15,historical_events_FACT!C:C, "9" )</f>
        <v>5</v>
      </c>
      <c r="K15" s="3">
        <f t="shared" si="2"/>
        <v>14.18</v>
      </c>
      <c r="L15" s="3">
        <f t="shared" si="3"/>
        <v>14.67</v>
      </c>
      <c r="M15" s="3">
        <f>SUMIFS( '2014Data'!I:I, '2014Data'!F:F, B15,'2014Data'!B:B, "9" )</f>
        <v>73.37</v>
      </c>
      <c r="N15" s="3">
        <f>COUNTIFS('2014Data'!F:F, B15,'2014Data'!B:B, "9" )</f>
        <v>5</v>
      </c>
      <c r="O15" s="3">
        <f t="shared" si="4"/>
        <v>15.95</v>
      </c>
      <c r="P15" s="3">
        <f>SUMIFS( historical_events_FACT!J:J, historical_events_FACT!G:G, B15,historical_events_FACT!B:B, "2015",historical_events_FACT!C:C, "9" )</f>
        <v>63.8</v>
      </c>
      <c r="Q15" s="3">
        <f>COUNTIFS(historical_events_FACT!G:G, B15,historical_events_FACT!B:B, "2015",historical_events_FACT!C:C, "9" )</f>
        <v>4</v>
      </c>
      <c r="R15" s="3">
        <f t="shared" si="5"/>
        <v>10.98</v>
      </c>
      <c r="S15" s="10">
        <v>32.94</v>
      </c>
      <c r="T15" s="10">
        <v>3.0</v>
      </c>
      <c r="U15" s="3">
        <f>MAXIFS( historical_events_FACT!J:J, historical_events_FACT!G:G, B15,historical_events_FACT!C:C, "9" )</f>
        <v>17.83</v>
      </c>
      <c r="V15" s="97">
        <f t="array" ref="V15">ROUND(AVERAGEIF({ IFERROR(XLOOKUP(B15, 'Surfer Stats - Event 7'!B:B, 'Surfer Stats - Event 7'!Z:Z), ""), IFERROR(XLOOKUP(B15, 'Surfer Stats - Event 8'!B:B, 'Surfer Stats - Event 8'!Y:Y), ""), IFERROR(XLOOKUP(B15, 'Surfer Stats - Event 6'!B:B, 'Surfer Stats - Event 6'!Y:Y), "") }, "&lt;&gt;"),2)</f>
        <v>45.89</v>
      </c>
      <c r="W15" s="3">
        <f t="array" ref="W15">XLOOKUP(B15, 'Surfer Stats - Event 8'!B:B, 'Surfer Stats - Event 8'!Y:Y)</f>
        <v>20.83</v>
      </c>
      <c r="X15" s="75">
        <f>7450+5200+1750+5200+1750+1750</f>
        <v>23100</v>
      </c>
      <c r="Y15" s="3">
        <f t="array" ref="Y15">XLOOKUP(B15,'Event 9 Assist'!A:A, 'Event 9 Assist'!E:E)</f>
        <v>88.11</v>
      </c>
    </row>
    <row r="16">
      <c r="A16" s="78">
        <v>1.0</v>
      </c>
      <c r="B16" s="66" t="s">
        <v>38</v>
      </c>
      <c r="C16" s="3" t="str">
        <f t="array" ref="C16">XLOOKUP(B16, 'Surfer Stats - Event 4'!B:B, 'Surfer Stats - Event 4'!D:D)</f>
        <v>Regular</v>
      </c>
      <c r="D16" s="3">
        <f t="shared" si="1"/>
        <v>10</v>
      </c>
      <c r="E16" s="10">
        <v>0.0</v>
      </c>
      <c r="F16" s="10">
        <v>0.0</v>
      </c>
      <c r="G16" s="10">
        <v>13.0</v>
      </c>
      <c r="H16" s="10">
        <v>9.0</v>
      </c>
      <c r="I16" s="10">
        <v>25.0</v>
      </c>
      <c r="J16" s="3">
        <f>COUNTIFS( historical_events_FACT!J:J, "&gt;16", historical_events_FACT!G:G, B16,historical_events_FACT!C:C, "9" )</f>
        <v>0</v>
      </c>
      <c r="K16" s="3">
        <f t="shared" si="2"/>
        <v>11.74</v>
      </c>
      <c r="L16" s="3">
        <f t="shared" si="3"/>
        <v>11.86</v>
      </c>
      <c r="M16" s="3">
        <f>SUMIFS( '2014Data'!I:I, '2014Data'!F:F, B16,'2014Data'!B:B, "9" )</f>
        <v>35.57</v>
      </c>
      <c r="N16" s="3">
        <f>COUNTIFS('2014Data'!F:F, B16,'2014Data'!B:B, "9" )</f>
        <v>3</v>
      </c>
      <c r="O16" s="3">
        <f t="shared" si="4"/>
        <v>12.03</v>
      </c>
      <c r="P16" s="3">
        <f>SUMIFS( historical_events_FACT!J:J, historical_events_FACT!G:G, B16,historical_events_FACT!B:B, "2015",historical_events_FACT!C:C, "9" )</f>
        <v>24.06</v>
      </c>
      <c r="Q16" s="3">
        <f>COUNTIFS(historical_events_FACT!G:G, B16,historical_events_FACT!B:B, "2015",historical_events_FACT!C:C, "9" )</f>
        <v>2</v>
      </c>
      <c r="R16" s="3">
        <f t="shared" si="5"/>
        <v>11.56</v>
      </c>
      <c r="S16" s="3">
        <f>SUMIFS( historical_events_FACT!J:J, historical_events_FACT!G:G, B16,historical_events_FACT!B:B, "2016",historical_events_FACT!C:C, "9" )</f>
        <v>57.81</v>
      </c>
      <c r="T16" s="3">
        <f>COUNTIFS(historical_events_FACT!G:G, B16,historical_events_FACT!B:B, "2016",historical_events_FACT!C:C, "9" )</f>
        <v>5</v>
      </c>
      <c r="U16" s="3">
        <f>MAXIFS( historical_events_FACT!J:J, historical_events_FACT!G:G, B16,historical_events_FACT!C:C, "9" )</f>
        <v>15.9</v>
      </c>
      <c r="V16" s="97">
        <f t="array" ref="V16">ROUND(AVERAGEIF({ IFERROR(XLOOKUP(B16, 'Surfer Stats - Event 7'!B:B, 'Surfer Stats - Event 7'!Z:Z), ""), IFERROR(XLOOKUP(B16, 'Surfer Stats - Event 8'!B:B, 'Surfer Stats - Event 8'!Y:Y), ""), IFERROR(XLOOKUP(B16, 'Surfer Stats - Event 6'!B:B, 'Surfer Stats - Event 6'!Y:Y), "") }, "&lt;&gt;"),2)</f>
        <v>37.27</v>
      </c>
      <c r="W16" s="3">
        <f t="array" ref="W16">XLOOKUP(B16, 'Surfer Stats - Event 8'!B:B, 'Surfer Stats - Event 8'!Y:Y)</f>
        <v>51.8</v>
      </c>
      <c r="X16" s="75">
        <f>9750+1750+4000+500+1750+4000</f>
        <v>21750</v>
      </c>
      <c r="Y16" s="3">
        <f t="array" ref="Y16">XLOOKUP(B16,'Event 9 Assist'!A:A, 'Event 9 Assist'!E:E)</f>
        <v>92.03</v>
      </c>
    </row>
    <row r="17">
      <c r="A17" s="78">
        <v>1.0</v>
      </c>
      <c r="B17" s="66" t="s">
        <v>27</v>
      </c>
      <c r="C17" s="3" t="str">
        <f t="array" ref="C17">XLOOKUP(B17, 'Surfer Stats - Event 4'!B:B, 'Surfer Stats - Event 4'!D:D)</f>
        <v>Regular</v>
      </c>
      <c r="D17" s="3">
        <f t="shared" si="1"/>
        <v>7</v>
      </c>
      <c r="E17" s="10">
        <v>0.0</v>
      </c>
      <c r="F17" s="10">
        <v>1.0</v>
      </c>
      <c r="G17" s="10">
        <v>13.0</v>
      </c>
      <c r="H17" s="10">
        <v>25.0</v>
      </c>
      <c r="I17" s="10">
        <v>13.0</v>
      </c>
      <c r="J17" s="3">
        <f>COUNTIFS( historical_events_FACT!J:J, "&gt;16", historical_events_FACT!G:G, B17,historical_events_FACT!C:C, "9" )</f>
        <v>1</v>
      </c>
      <c r="K17" s="3">
        <f t="shared" si="2"/>
        <v>9.96</v>
      </c>
      <c r="L17" s="3">
        <f t="shared" si="3"/>
        <v>10.97</v>
      </c>
      <c r="M17" s="3">
        <f>SUMIFS( '2014Data'!I:I, '2014Data'!F:F, B17,'2014Data'!B:B, "9" )</f>
        <v>21.93</v>
      </c>
      <c r="N17" s="3">
        <f>COUNTIFS('2014Data'!F:F, B17,'2014Data'!B:B, "9" )</f>
        <v>2</v>
      </c>
      <c r="O17" s="3">
        <f t="shared" si="4"/>
        <v>9.51</v>
      </c>
      <c r="P17" s="3">
        <f>SUMIFS( historical_events_FACT!J:J, historical_events_FACT!G:G, B17,historical_events_FACT!B:B, "2015",historical_events_FACT!C:C, "9" )</f>
        <v>28.54</v>
      </c>
      <c r="Q17" s="3">
        <f>COUNTIFS(historical_events_FACT!G:G, B17,historical_events_FACT!B:B, "2015",historical_events_FACT!C:C, "9" )</f>
        <v>3</v>
      </c>
      <c r="R17" s="3">
        <f t="shared" si="5"/>
        <v>9.62</v>
      </c>
      <c r="S17" s="3">
        <f>SUMIFS( historical_events_FACT!J:J, historical_events_FACT!G:G, B17,historical_events_FACT!B:B, "2016",historical_events_FACT!C:C, "9" )</f>
        <v>19.23</v>
      </c>
      <c r="T17" s="3">
        <f>COUNTIFS(historical_events_FACT!G:G, B17,historical_events_FACT!B:B, "2016",historical_events_FACT!C:C, "9" )</f>
        <v>2</v>
      </c>
      <c r="U17" s="3">
        <f>MAXIFS( historical_events_FACT!J:J, historical_events_FACT!G:G, B17,historical_events_FACT!C:C, "9" )</f>
        <v>16.33</v>
      </c>
      <c r="V17" s="97">
        <f t="array" ref="V17">ROUND(AVERAGEIF({ IFERROR(XLOOKUP(B17, 'Surfer Stats - Event 7'!B:B, 'Surfer Stats - Event 7'!Z:Z), ""), IFERROR(XLOOKUP(B17, 'Surfer Stats - Event 8'!B:B, 'Surfer Stats - Event 8'!Y:Y), ""), IFERROR(XLOOKUP(B17, 'Surfer Stats - Event 6'!B:B, 'Surfer Stats - Event 6'!Y:Y), "") }, "&lt;&gt;"),2)</f>
        <v>40.92</v>
      </c>
      <c r="W17" s="3">
        <f t="array" ref="W17">XLOOKUP(B17, 'Surfer Stats - Event 8'!B:B, 'Surfer Stats - Event 8'!Y:Y)</f>
        <v>26.67</v>
      </c>
      <c r="X17" s="75">
        <f>7450+500+6500+4000+1750+500</f>
        <v>20700</v>
      </c>
      <c r="Y17" s="3">
        <f t="array" ref="Y17">XLOOKUP(B17,'Event 9 Assist'!A:A, 'Event 9 Assist'!E:E)</f>
        <v>28.9</v>
      </c>
    </row>
    <row r="18">
      <c r="A18" s="78">
        <v>1.0</v>
      </c>
      <c r="B18" s="66" t="s">
        <v>50</v>
      </c>
      <c r="C18" s="3" t="str">
        <f t="array" ref="C18">XLOOKUP(B18, 'Surfer Stats - Event 4'!B:B, 'Surfer Stats - Event 4'!D:D)</f>
        <v>Regular</v>
      </c>
      <c r="D18" s="3">
        <f t="shared" si="1"/>
        <v>9</v>
      </c>
      <c r="E18" s="10">
        <v>0.0</v>
      </c>
      <c r="F18" s="10">
        <v>1.0</v>
      </c>
      <c r="G18" s="10">
        <v>13.0</v>
      </c>
      <c r="H18" s="10">
        <v>25.0</v>
      </c>
      <c r="I18" s="10">
        <v>9.0</v>
      </c>
      <c r="J18" s="3">
        <f>COUNTIFS( historical_events_FACT!J:J, "&gt;16", historical_events_FACT!G:G, B18,historical_events_FACT!C:C, "9" )</f>
        <v>2</v>
      </c>
      <c r="K18" s="3">
        <f t="shared" si="2"/>
        <v>10.46</v>
      </c>
      <c r="L18" s="3">
        <f t="shared" si="3"/>
        <v>12.12</v>
      </c>
      <c r="M18" s="3">
        <f>SUMIFS( '2014Data'!I:I, '2014Data'!F:F, B18,'2014Data'!B:B, "9" )</f>
        <v>24.23</v>
      </c>
      <c r="N18" s="3">
        <f>COUNTIFS('2014Data'!F:F, B18,'2014Data'!B:B, "9" )</f>
        <v>2</v>
      </c>
      <c r="O18" s="3">
        <f t="shared" si="4"/>
        <v>10.8</v>
      </c>
      <c r="P18" s="3">
        <f>SUMIFS( historical_events_FACT!J:J, historical_events_FACT!G:G, B18,historical_events_FACT!B:B, "2015",historical_events_FACT!C:C, "9" )</f>
        <v>54.02</v>
      </c>
      <c r="Q18" s="3">
        <f>COUNTIFS(historical_events_FACT!G:G, B18,historical_events_FACT!B:B, "2015",historical_events_FACT!C:C, "9" )</f>
        <v>5</v>
      </c>
      <c r="R18" s="3">
        <f t="shared" si="5"/>
        <v>7.97</v>
      </c>
      <c r="S18" s="3">
        <f>SUMIFS( historical_events_FACT!J:J, historical_events_FACT!G:G, B18,historical_events_FACT!B:B, "2016",historical_events_FACT!C:C, "9" )</f>
        <v>15.93</v>
      </c>
      <c r="T18" s="3">
        <f>COUNTIFS(historical_events_FACT!G:G, B18,historical_events_FACT!B:B, "2016",historical_events_FACT!C:C, "9" )</f>
        <v>2</v>
      </c>
      <c r="U18" s="3">
        <f>MAXIFS( historical_events_FACT!J:J, historical_events_FACT!G:G, B18,historical_events_FACT!C:C, "9" )</f>
        <v>16.73</v>
      </c>
      <c r="V18" s="97">
        <f t="array" ref="V18">ROUND(AVERAGEIF({ IFERROR(XLOOKUP(B18, 'Surfer Stats - Event 7'!B:B, 'Surfer Stats - Event 7'!Z:Z), ""), IFERROR(XLOOKUP(B18, 'Surfer Stats - Event 8'!B:B, 'Surfer Stats - Event 8'!Y:Y), ""), IFERROR(XLOOKUP(B18, 'Surfer Stats - Event 6'!B:B, 'Surfer Stats - Event 6'!Y:Y), "") }, "&lt;&gt;"),2)</f>
        <v>44.15</v>
      </c>
      <c r="W18" s="3">
        <f t="array" ref="W18">XLOOKUP(B18, 'Surfer Stats - Event 8'!B:B, 'Surfer Stats - Event 8'!Y:Y)</f>
        <v>60.61</v>
      </c>
      <c r="X18" s="75">
        <f>7500+1750+1750+1750+1750+5200</f>
        <v>19700</v>
      </c>
      <c r="Y18" s="3">
        <f t="array" ref="Y18">XLOOKUP(B18,'Event 9 Assist'!A:A, 'Event 9 Assist'!E:E)</f>
        <v>41.6</v>
      </c>
    </row>
    <row r="19">
      <c r="A19" s="78">
        <v>1.0</v>
      </c>
      <c r="B19" s="66" t="s">
        <v>65</v>
      </c>
      <c r="C19" s="3" t="str">
        <f t="array" ref="C19">XLOOKUP(B19, 'Surfer Stats - Event 4'!B:B, 'Surfer Stats - Event 4'!D:D)</f>
        <v>Goofy</v>
      </c>
      <c r="D19" s="3">
        <f t="shared" si="1"/>
        <v>8</v>
      </c>
      <c r="E19" s="10">
        <v>0.0</v>
      </c>
      <c r="F19" s="10">
        <v>1.0</v>
      </c>
      <c r="G19" s="10">
        <v>99.0</v>
      </c>
      <c r="H19" s="10">
        <v>25.0</v>
      </c>
      <c r="I19" s="10">
        <v>99.0</v>
      </c>
      <c r="J19" s="3">
        <f>COUNTIFS( historical_events_FACT!J:J, "&gt;16", historical_events_FACT!G:G, B19,historical_events_FACT!C:C, "9" )</f>
        <v>0</v>
      </c>
      <c r="K19" s="3">
        <f t="shared" si="2"/>
        <v>12.25</v>
      </c>
      <c r="L19" s="3">
        <f t="shared" si="3"/>
        <v>11.48</v>
      </c>
      <c r="M19" s="10">
        <v>34.45</v>
      </c>
      <c r="N19" s="10">
        <v>3.0</v>
      </c>
      <c r="O19" s="3">
        <f t="shared" si="4"/>
        <v>11.3</v>
      </c>
      <c r="P19" s="10">
        <v>33.89</v>
      </c>
      <c r="Q19" s="10">
        <v>3.0</v>
      </c>
      <c r="R19" s="3">
        <f t="shared" si="5"/>
        <v>14.84</v>
      </c>
      <c r="S19" s="3">
        <f>SUMIFS( historical_events_FACT!J:J, historical_events_FACT!G:G, B19,historical_events_FACT!B:B, "2016",historical_events_FACT!C:C, "9" )</f>
        <v>29.67</v>
      </c>
      <c r="T19" s="3">
        <f>COUNTIFS(historical_events_FACT!G:G, B19,historical_events_FACT!B:B, "2016",historical_events_FACT!C:C, "9" )</f>
        <v>2</v>
      </c>
      <c r="U19" s="3">
        <f>MAXIFS( historical_events_FACT!J:J, historical_events_FACT!G:G, B19,historical_events_FACT!C:C, "9" )</f>
        <v>15.34</v>
      </c>
      <c r="V19" s="97">
        <f t="array" ref="V19">ROUND(AVERAGEIF({ IFERROR(XLOOKUP(B19, 'Surfer Stats - Event 7'!B:B, 'Surfer Stats - Event 7'!Z:Z), ""), IFERROR(XLOOKUP(B19, 'Surfer Stats - Event 8'!B:B, 'Surfer Stats - Event 8'!Y:Y), ""), IFERROR(XLOOKUP(B19, 'Surfer Stats - Event 6'!B:B, 'Surfer Stats - Event 6'!Y:Y), "") }, "&lt;&gt;"),2)</f>
        <v>54.09</v>
      </c>
      <c r="W19" s="3">
        <f t="array" ref="W19">XLOOKUP(B19, 'Surfer Stats - Event 8'!B:B, 'Surfer Stats - Event 8'!Y:Y)</f>
        <v>43.4</v>
      </c>
      <c r="X19" s="75">
        <f>2750+500+5200+4000+5200+1750</f>
        <v>19400</v>
      </c>
      <c r="Y19" s="3">
        <f t="array" ref="Y19">XLOOKUP(B19,'Event 9 Assist'!A:A, 'Event 9 Assist'!E:E)</f>
        <v>52.67</v>
      </c>
    </row>
    <row r="20">
      <c r="A20" s="78">
        <v>1.0</v>
      </c>
      <c r="B20" s="66" t="s">
        <v>52</v>
      </c>
      <c r="C20" s="3" t="str">
        <f t="array" ref="C20">XLOOKUP(B20, 'Surfer Stats - Event 4'!B:B, 'Surfer Stats - Event 4'!D:D)</f>
        <v>Regular</v>
      </c>
      <c r="D20" s="3">
        <f t="shared" si="1"/>
        <v>9</v>
      </c>
      <c r="E20" s="10">
        <v>0.0</v>
      </c>
      <c r="F20" s="10">
        <v>0.0</v>
      </c>
      <c r="G20" s="10">
        <v>99.0</v>
      </c>
      <c r="H20" s="10">
        <v>13.0</v>
      </c>
      <c r="I20" s="10">
        <v>99.0</v>
      </c>
      <c r="J20" s="3">
        <f>COUNTIFS( historical_events_FACT!J:J, "&gt;16", historical_events_FACT!G:G, B20,historical_events_FACT!C:C, "9" )</f>
        <v>1</v>
      </c>
      <c r="K20" s="3">
        <f t="shared" si="2"/>
        <v>12.02</v>
      </c>
      <c r="L20" s="3">
        <f t="shared" si="3"/>
        <v>11.48</v>
      </c>
      <c r="M20" s="10">
        <v>34.45</v>
      </c>
      <c r="N20" s="10">
        <v>3.0</v>
      </c>
      <c r="O20" s="3">
        <f t="shared" si="4"/>
        <v>11.3</v>
      </c>
      <c r="P20" s="10">
        <v>33.89</v>
      </c>
      <c r="Q20" s="10">
        <v>3.0</v>
      </c>
      <c r="R20" s="3">
        <f t="shared" si="5"/>
        <v>13.29</v>
      </c>
      <c r="S20" s="3">
        <f>SUMIFS( historical_events_FACT!J:J, historical_events_FACT!G:G, B20,historical_events_FACT!B:B, "2016",historical_events_FACT!C:C, "9" )</f>
        <v>39.87</v>
      </c>
      <c r="T20" s="3">
        <f>COUNTIFS(historical_events_FACT!G:G, B20,historical_events_FACT!B:B, "2016",historical_events_FACT!C:C, "9" )</f>
        <v>3</v>
      </c>
      <c r="U20" s="3">
        <f>MAXIFS( historical_events_FACT!J:J, historical_events_FACT!G:G, B20,historical_events_FACT!C:C, "9" )</f>
        <v>16.33</v>
      </c>
      <c r="V20" s="97">
        <f t="array" ref="V20">ROUND(AVERAGEIF({ IFERROR(XLOOKUP(B20, 'Surfer Stats - Event 7'!B:B, 'Surfer Stats - Event 7'!Z:Z), ""), IFERROR(XLOOKUP(B20, 'Surfer Stats - Event 8'!B:B, 'Surfer Stats - Event 8'!Y:Y), ""), IFERROR(XLOOKUP(B20, 'Surfer Stats - Event 6'!B:B, 'Surfer Stats - Event 6'!Y:Y), "") }, "&lt;&gt;"),2)</f>
        <v>52.32</v>
      </c>
      <c r="W20" s="3">
        <f t="array" ref="W20">XLOOKUP(B20, 'Surfer Stats - Event 8'!B:B, 'Surfer Stats - Event 8'!Y:Y)</f>
        <v>30.27</v>
      </c>
      <c r="X20" s="75">
        <f>+500+8500+500+4000+4000+1750</f>
        <v>19250</v>
      </c>
      <c r="Y20" s="3">
        <f t="array" ref="Y20">XLOOKUP(B20,'Event 9 Assist'!A:A, 'Event 9 Assist'!E:E)</f>
        <v>15.83</v>
      </c>
    </row>
    <row r="21">
      <c r="A21" s="78">
        <v>1.0</v>
      </c>
      <c r="B21" s="66" t="s">
        <v>59</v>
      </c>
      <c r="C21" s="3" t="str">
        <f t="array" ref="C21">XLOOKUP(B21, 'Surfer Stats - Event 4'!B:B, 'Surfer Stats - Event 4'!D:D)</f>
        <v>Regular</v>
      </c>
      <c r="D21" s="3">
        <f t="shared" si="1"/>
        <v>12</v>
      </c>
      <c r="E21" s="10">
        <v>0.0</v>
      </c>
      <c r="F21" s="10">
        <v>0.0</v>
      </c>
      <c r="G21" s="10">
        <v>25.0</v>
      </c>
      <c r="H21" s="10">
        <v>99.0</v>
      </c>
      <c r="I21" s="10">
        <v>2.0</v>
      </c>
      <c r="J21" s="3">
        <f>COUNTIFS( historical_events_FACT!J:J, "&gt;16", historical_events_FACT!G:G, B21,historical_events_FACT!C:C, "9" )</f>
        <v>2</v>
      </c>
      <c r="K21" s="3">
        <f t="shared" si="2"/>
        <v>13.49</v>
      </c>
      <c r="L21" s="3">
        <f t="shared" si="3"/>
        <v>13.95</v>
      </c>
      <c r="M21" s="3">
        <f>SUMIFS( '2014Data'!I:I, '2014Data'!F:F, B21,'2014Data'!B:B, "9" )</f>
        <v>27.9</v>
      </c>
      <c r="N21" s="3">
        <f>COUNTIFS('2014Data'!F:F, B21,'2014Data'!B:B, "9" )</f>
        <v>2</v>
      </c>
      <c r="O21" s="3">
        <f t="shared" si="4"/>
        <v>14.44</v>
      </c>
      <c r="P21" s="3">
        <f>SUMIFS( historical_events_FACT!J:J, historical_events_FACT!G:G, B21,historical_events_FACT!B:B, "2015",historical_events_FACT!C:C, "9" )</f>
        <v>101.07</v>
      </c>
      <c r="Q21" s="3">
        <f>COUNTIFS(historical_events_FACT!G:G, B21,historical_events_FACT!B:B, "2015",historical_events_FACT!C:C, "9" )</f>
        <v>7</v>
      </c>
      <c r="R21" s="3">
        <f t="shared" si="5"/>
        <v>10.98</v>
      </c>
      <c r="S21" s="10">
        <v>32.94</v>
      </c>
      <c r="T21" s="10">
        <v>3.0</v>
      </c>
      <c r="U21" s="3">
        <f>MAXIFS( historical_events_FACT!J:J, historical_events_FACT!G:G, B21,historical_events_FACT!C:C, "9" )</f>
        <v>18.37</v>
      </c>
      <c r="V21" s="97">
        <f t="array" ref="V21">ROUND(AVERAGEIF({ IFERROR(XLOOKUP(B21, 'Surfer Stats - Event 7'!B:B, 'Surfer Stats - Event 7'!Z:Z), ""), IFERROR(XLOOKUP(B21, 'Surfer Stats - Event 8'!B:B, 'Surfer Stats - Event 8'!Y:Y), ""), IFERROR(XLOOKUP(B21, 'Surfer Stats - Event 6'!B:B, 'Surfer Stats - Event 6'!Y:Y), "") }, "&lt;&gt;"),2)</f>
        <v>37.78</v>
      </c>
      <c r="W21" s="3">
        <f t="array" ref="W21">XLOOKUP(B21, 'Surfer Stats - Event 8'!B:B, 'Surfer Stats - Event 8'!Y:Y)</f>
        <v>59.56</v>
      </c>
      <c r="X21" s="75">
        <f>4000+1750+5200+1750+1750+4000</f>
        <v>18450</v>
      </c>
      <c r="Y21" s="3">
        <f t="array" ref="Y21">XLOOKUP(B21,'Event 9 Assist'!A:A, 'Event 9 Assist'!E:E)</f>
        <v>33.4</v>
      </c>
    </row>
    <row r="22">
      <c r="A22" s="78">
        <v>1.0</v>
      </c>
      <c r="B22" s="66" t="s">
        <v>54</v>
      </c>
      <c r="C22" s="3" t="str">
        <f t="array" ref="C22">XLOOKUP(B22, 'Surfer Stats - Event 4'!B:B, 'Surfer Stats - Event 4'!D:D)</f>
        <v>Goofy</v>
      </c>
      <c r="D22" s="3">
        <f t="shared" si="1"/>
        <v>7</v>
      </c>
      <c r="E22" s="10">
        <v>0.0</v>
      </c>
      <c r="F22" s="10">
        <v>0.0</v>
      </c>
      <c r="G22" s="10">
        <v>99.0</v>
      </c>
      <c r="H22" s="10">
        <v>25.0</v>
      </c>
      <c r="I22" s="10">
        <v>25.0</v>
      </c>
      <c r="J22" s="3">
        <f>COUNTIFS( historical_events_FACT!J:J, "&gt;16", historical_events_FACT!G:G, B22,historical_events_FACT!C:C, "9" )</f>
        <v>0</v>
      </c>
      <c r="K22" s="3">
        <f t="shared" si="2"/>
        <v>10.39</v>
      </c>
      <c r="L22" s="3">
        <f t="shared" si="3"/>
        <v>11.48</v>
      </c>
      <c r="M22" s="10">
        <v>34.45</v>
      </c>
      <c r="N22" s="10">
        <v>3.0</v>
      </c>
      <c r="O22" s="3">
        <f t="shared" si="4"/>
        <v>8.57</v>
      </c>
      <c r="P22" s="3">
        <f>SUMIFS( historical_events_FACT!J:J, historical_events_FACT!G:G, B22,historical_events_FACT!B:B, "2015",historical_events_FACT!C:C, "9" )</f>
        <v>17.13</v>
      </c>
      <c r="Q22" s="3">
        <f>COUNTIFS(historical_events_FACT!G:G, B22,historical_events_FACT!B:B, "2015",historical_events_FACT!C:C, "9" )</f>
        <v>2</v>
      </c>
      <c r="R22" s="3">
        <f t="shared" si="5"/>
        <v>10.57</v>
      </c>
      <c r="S22" s="3">
        <f>SUMIFS( historical_events_FACT!J:J, historical_events_FACT!G:G, B22,historical_events_FACT!B:B, "2016",historical_events_FACT!C:C, "9" )</f>
        <v>21.13</v>
      </c>
      <c r="T22" s="3">
        <f>COUNTIFS(historical_events_FACT!G:G, B22,historical_events_FACT!B:B, "2016",historical_events_FACT!C:C, "9" )</f>
        <v>2</v>
      </c>
      <c r="U22" s="3">
        <f>MAXIFS( historical_events_FACT!J:J, historical_events_FACT!G:G, B22,historical_events_FACT!C:C, "9" )</f>
        <v>12.6</v>
      </c>
      <c r="V22" s="97">
        <f t="array" ref="V22">ROUND(AVERAGEIF({ IFERROR(XLOOKUP(B22, 'Surfer Stats - Event 7'!B:B, 'Surfer Stats - Event 7'!Z:Z), ""), IFERROR(XLOOKUP(B22, 'Surfer Stats - Event 8'!B:B, 'Surfer Stats - Event 8'!Y:Y), ""), IFERROR(XLOOKUP(B22, 'Surfer Stats - Event 6'!B:B, 'Surfer Stats - Event 6'!Y:Y), "") }, "&lt;&gt;"),2)</f>
        <v>44.07</v>
      </c>
      <c r="W22" s="3">
        <f t="array" ref="W22">XLOOKUP(B22, 'Surfer Stats - Event 8'!B:B, 'Surfer Stats - Event 8'!Y:Y)</f>
        <v>32.67</v>
      </c>
      <c r="X22" s="75">
        <f>5000+4000+1750+500+5200+1750</f>
        <v>18200</v>
      </c>
      <c r="Y22" s="3">
        <f t="array" ref="Y22">XLOOKUP(B22,'Event 9 Assist'!A:A, 'Event 9 Assist'!E:E)</f>
        <v>21.3</v>
      </c>
    </row>
    <row r="23">
      <c r="A23" s="78">
        <v>1.0</v>
      </c>
      <c r="B23" s="66" t="s">
        <v>40</v>
      </c>
      <c r="C23" s="3" t="str">
        <f t="array" ref="C23">XLOOKUP(B23, 'Surfer Stats - Event 4'!B:B, 'Surfer Stats - Event 4'!D:D)</f>
        <v>Regular</v>
      </c>
      <c r="D23" s="3">
        <f t="shared" si="1"/>
        <v>9</v>
      </c>
      <c r="E23" s="10">
        <v>0.0</v>
      </c>
      <c r="F23" s="10">
        <v>0.0</v>
      </c>
      <c r="G23" s="10">
        <v>99.0</v>
      </c>
      <c r="H23" s="10">
        <v>9.0</v>
      </c>
      <c r="I23" s="10">
        <v>25.0</v>
      </c>
      <c r="J23" s="3">
        <f>COUNTIFS( historical_events_FACT!J:J, "&gt;16", historical_events_FACT!G:G, B23,historical_events_FACT!C:C, "9" )</f>
        <v>0</v>
      </c>
      <c r="K23" s="3">
        <f t="shared" si="2"/>
        <v>11.27</v>
      </c>
      <c r="L23" s="3">
        <f t="shared" si="3"/>
        <v>11.48</v>
      </c>
      <c r="M23" s="10">
        <v>34.45</v>
      </c>
      <c r="N23" s="10">
        <v>3.0</v>
      </c>
      <c r="O23" s="3">
        <f t="shared" si="4"/>
        <v>9.22</v>
      </c>
      <c r="P23" s="3">
        <f>SUMIFS( historical_events_FACT!J:J, historical_events_FACT!G:G, B23,historical_events_FACT!B:B, "2015",historical_events_FACT!C:C, "9" )</f>
        <v>18.44</v>
      </c>
      <c r="Q23" s="3">
        <f>COUNTIFS(historical_events_FACT!G:G, B23,historical_events_FACT!B:B, "2015",historical_events_FACT!C:C, "9" )</f>
        <v>2</v>
      </c>
      <c r="R23" s="3">
        <f t="shared" si="5"/>
        <v>12.14</v>
      </c>
      <c r="S23" s="3">
        <f>SUMIFS( historical_events_FACT!J:J, historical_events_FACT!G:G, B23,historical_events_FACT!B:B, "2016",historical_events_FACT!C:C, "9" )</f>
        <v>48.56</v>
      </c>
      <c r="T23" s="3">
        <f>COUNTIFS(historical_events_FACT!G:G, B23,historical_events_FACT!B:B, "2016",historical_events_FACT!C:C, "9" )</f>
        <v>4</v>
      </c>
      <c r="U23" s="3">
        <f>MAXIFS( historical_events_FACT!J:J, historical_events_FACT!G:G, B23,historical_events_FACT!C:C, "9" )</f>
        <v>13.84</v>
      </c>
      <c r="V23" s="97">
        <f t="array" ref="V23">ROUND(AVERAGEIF({ IFERROR(XLOOKUP(B23, 'Surfer Stats - Event 7'!B:B, 'Surfer Stats - Event 7'!Z:Z), ""), IFERROR(XLOOKUP(B23, 'Surfer Stats - Event 8'!B:B, 'Surfer Stats - Event 8'!Y:Y), ""), IFERROR(XLOOKUP(B23, 'Surfer Stats - Event 6'!B:B, 'Surfer Stats - Event 6'!Y:Y), "") }, "&lt;&gt;"),2)</f>
        <v>24.19</v>
      </c>
      <c r="W23" s="3">
        <f t="array" ref="W23">XLOOKUP(B23, 'Surfer Stats - Event 8'!B:B, 'Surfer Stats - Event 8'!Y:Y)</f>
        <v>22.2</v>
      </c>
      <c r="X23" s="75">
        <f>11500+1750+500+1750+500+500</f>
        <v>16500</v>
      </c>
      <c r="Y23" s="3">
        <f t="array" ref="Y23">XLOOKUP(B23,'Event 9 Assist'!A:A, 'Event 9 Assist'!E:E)</f>
        <v>61.15</v>
      </c>
    </row>
    <row r="24">
      <c r="A24" s="78">
        <v>1.0</v>
      </c>
      <c r="B24" s="66" t="s">
        <v>17</v>
      </c>
      <c r="C24" s="3" t="str">
        <f t="array" ref="C24">XLOOKUP(B24, 'Surfer Stats - Event 4'!B:B, 'Surfer Stats - Event 4'!D:D)</f>
        <v>Goofy</v>
      </c>
      <c r="D24" s="3">
        <f t="shared" si="1"/>
        <v>11</v>
      </c>
      <c r="E24" s="10">
        <v>0.0</v>
      </c>
      <c r="F24" s="10">
        <v>0.0</v>
      </c>
      <c r="G24" s="10">
        <v>99.0</v>
      </c>
      <c r="H24" s="10">
        <v>13.0</v>
      </c>
      <c r="I24" s="10">
        <v>5.0</v>
      </c>
      <c r="J24" s="3">
        <f>COUNTIFS( historical_events_FACT!J:J, "&gt;16", historical_events_FACT!G:G, B24,historical_events_FACT!C:C, "9" )</f>
        <v>1</v>
      </c>
      <c r="K24" s="3">
        <f t="shared" si="2"/>
        <v>11.19</v>
      </c>
      <c r="L24" s="3">
        <f t="shared" si="3"/>
        <v>11.48</v>
      </c>
      <c r="M24" s="10">
        <v>34.45</v>
      </c>
      <c r="N24" s="10">
        <v>3.0</v>
      </c>
      <c r="O24" s="3">
        <f t="shared" si="4"/>
        <v>11.23</v>
      </c>
      <c r="P24" s="3">
        <f>SUMIFS( historical_events_FACT!J:J, historical_events_FACT!G:G, B24,historical_events_FACT!B:B, "2015",historical_events_FACT!C:C, "9" )</f>
        <v>67.4</v>
      </c>
      <c r="Q24" s="3">
        <f>COUNTIFS(historical_events_FACT!G:G, B24,historical_events_FACT!B:B, "2015",historical_events_FACT!C:C, "9" )</f>
        <v>6</v>
      </c>
      <c r="R24" s="3">
        <f t="shared" si="5"/>
        <v>10.63</v>
      </c>
      <c r="S24" s="3">
        <f>SUMIFS( historical_events_FACT!J:J, historical_events_FACT!G:G, B24,historical_events_FACT!B:B, "2016",historical_events_FACT!C:C, "9" )</f>
        <v>21.26</v>
      </c>
      <c r="T24" s="3">
        <f>COUNTIFS(historical_events_FACT!G:G, B24,historical_events_FACT!B:B, "2016",historical_events_FACT!C:C, "9" )</f>
        <v>2</v>
      </c>
      <c r="U24" s="3">
        <f>MAXIFS( historical_events_FACT!J:J, historical_events_FACT!G:G, B24,historical_events_FACT!C:C, "9" )</f>
        <v>16.23</v>
      </c>
      <c r="V24" s="97">
        <f t="array" ref="V24">ROUND(AVERAGEIF({ IFERROR(XLOOKUP(B24, 'Surfer Stats - Event 7'!B:B, 'Surfer Stats - Event 7'!Z:Z), ""), IFERROR(XLOOKUP(B24, 'Surfer Stats - Event 8'!B:B, 'Surfer Stats - Event 8'!Y:Y), ""), IFERROR(XLOOKUP(B24, 'Surfer Stats - Event 6'!B:B, 'Surfer Stats - Event 6'!Y:Y), "") }, "&lt;&gt;"),2)</f>
        <v>33.08</v>
      </c>
      <c r="W24" s="3">
        <f t="array" ref="W24">XLOOKUP(B24, 'Surfer Stats - Event 8'!B:B, 'Surfer Stats - Event 8'!Y:Y)</f>
        <v>38.87</v>
      </c>
      <c r="X24" s="75">
        <f>6200+500+4000+1750+1750+1750</f>
        <v>15950</v>
      </c>
      <c r="Y24" s="3">
        <f t="array" ref="Y24">XLOOKUP(B24,'Event 9 Assist'!A:A, 'Event 9 Assist'!E:E)</f>
        <v>21.2</v>
      </c>
    </row>
    <row r="25">
      <c r="A25" s="78">
        <v>1.0</v>
      </c>
      <c r="B25" s="66" t="s">
        <v>53</v>
      </c>
      <c r="C25" s="3" t="str">
        <f t="array" ref="C25">XLOOKUP(B25, 'Surfer Stats - Event 4'!B:B, 'Surfer Stats - Event 4'!D:D)</f>
        <v>Regular</v>
      </c>
      <c r="D25" s="3">
        <f t="shared" si="1"/>
        <v>9</v>
      </c>
      <c r="E25" s="10">
        <v>0.0</v>
      </c>
      <c r="F25" s="10">
        <v>0.0</v>
      </c>
      <c r="G25" s="10">
        <v>99.0</v>
      </c>
      <c r="H25" s="10">
        <v>13.0</v>
      </c>
      <c r="I25" s="10">
        <v>99.0</v>
      </c>
      <c r="J25" s="3">
        <f>COUNTIFS( historical_events_FACT!J:J, "&gt;16", historical_events_FACT!G:G, B25,historical_events_FACT!C:C, "9" )</f>
        <v>0</v>
      </c>
      <c r="K25" s="3">
        <f t="shared" si="2"/>
        <v>10.35</v>
      </c>
      <c r="L25" s="3">
        <f t="shared" si="3"/>
        <v>11.48</v>
      </c>
      <c r="M25" s="10">
        <v>34.45</v>
      </c>
      <c r="N25" s="10">
        <v>3.0</v>
      </c>
      <c r="O25" s="3">
        <f t="shared" si="4"/>
        <v>11.3</v>
      </c>
      <c r="P25" s="10">
        <v>33.89</v>
      </c>
      <c r="Q25" s="10">
        <v>3.0</v>
      </c>
      <c r="R25" s="3">
        <f t="shared" si="5"/>
        <v>8.28</v>
      </c>
      <c r="S25" s="3">
        <f>SUMIFS( historical_events_FACT!J:J, historical_events_FACT!G:G, B25,historical_events_FACT!B:B, "2016",historical_events_FACT!C:C, "9" )</f>
        <v>24.83</v>
      </c>
      <c r="T25" s="3">
        <f>COUNTIFS(historical_events_FACT!G:G, B25,historical_events_FACT!B:B, "2016",historical_events_FACT!C:C, "9" )</f>
        <v>3</v>
      </c>
      <c r="U25" s="3">
        <f>MAXIFS( historical_events_FACT!J:J, historical_events_FACT!G:G, B25,historical_events_FACT!C:C, "9" )</f>
        <v>12.43</v>
      </c>
      <c r="V25" s="97">
        <f t="array" ref="V25">ROUND(AVERAGEIF({ IFERROR(XLOOKUP(B25, 'Surfer Stats - Event 7'!B:B, 'Surfer Stats - Event 7'!Z:Z), ""), IFERROR(XLOOKUP(B25, 'Surfer Stats - Event 8'!B:B, 'Surfer Stats - Event 8'!Y:Y), ""), IFERROR(XLOOKUP(B25, 'Surfer Stats - Event 6'!B:B, 'Surfer Stats - Event 6'!Y:Y), "") }, "&lt;&gt;"),2)</f>
        <v>39.67</v>
      </c>
      <c r="W25" s="3">
        <f t="array" ref="W25">XLOOKUP(B25, 'Surfer Stats - Event 8'!B:B, 'Surfer Stats - Event 8'!Y:Y)</f>
        <v>74.39</v>
      </c>
      <c r="X25" s="75">
        <f>2750+4000+500+500+1750+5200</f>
        <v>14700</v>
      </c>
      <c r="Y25" s="3">
        <f t="array" ref="Y25">XLOOKUP(B25,'Event 9 Assist'!A:A, 'Event 9 Assist'!E:E)</f>
        <v>21.73</v>
      </c>
    </row>
    <row r="26">
      <c r="A26" s="78">
        <v>1.0</v>
      </c>
      <c r="B26" s="66" t="s">
        <v>69</v>
      </c>
      <c r="C26" s="3" t="str">
        <f t="array" ref="C26">XLOOKUP(B26, 'Surfer Stats - Event 4'!B:B, 'Surfer Stats - Event 4'!D:D)</f>
        <v>Regular</v>
      </c>
      <c r="D26" s="3">
        <f t="shared" si="1"/>
        <v>9</v>
      </c>
      <c r="E26" s="10">
        <v>0.0</v>
      </c>
      <c r="F26" s="10">
        <v>0.0</v>
      </c>
      <c r="G26" s="10">
        <v>99.0</v>
      </c>
      <c r="H26" s="10">
        <v>99.0</v>
      </c>
      <c r="I26" s="10">
        <v>99.0</v>
      </c>
      <c r="J26" s="3">
        <f>COUNTIFS( historical_events_FACT!J:J, "&gt;16", historical_events_FACT!G:G, B26,historical_events_FACT!C:C, "9" )</f>
        <v>0</v>
      </c>
      <c r="K26" s="3">
        <f t="shared" si="2"/>
        <v>11.25</v>
      </c>
      <c r="L26" s="3">
        <f t="shared" si="3"/>
        <v>11.48</v>
      </c>
      <c r="M26" s="10">
        <v>34.45</v>
      </c>
      <c r="N26" s="10">
        <v>3.0</v>
      </c>
      <c r="O26" s="3">
        <f t="shared" si="4"/>
        <v>11.3</v>
      </c>
      <c r="P26" s="10">
        <v>33.89</v>
      </c>
      <c r="Q26" s="10">
        <v>3.0</v>
      </c>
      <c r="R26" s="3">
        <f t="shared" si="5"/>
        <v>10.98</v>
      </c>
      <c r="S26" s="10">
        <v>32.94</v>
      </c>
      <c r="T26" s="10">
        <v>3.0</v>
      </c>
      <c r="U26" s="10">
        <v>13.53</v>
      </c>
      <c r="V26" s="97">
        <f t="array" ref="V26">ROUND(AVERAGEIF({ IFERROR(XLOOKUP(B26, 'Surfer Stats - Event 7'!B:B, 'Surfer Stats - Event 7'!Z:Z), ""), IFERROR(XLOOKUP(B26, 'Surfer Stats - Event 8'!B:B, 'Surfer Stats - Event 8'!Y:Y), ""), IFERROR(XLOOKUP(B26, 'Surfer Stats - Event 6'!B:B, 'Surfer Stats - Event 6'!Y:Y), "") }, "&lt;&gt;"),2)</f>
        <v>34.01</v>
      </c>
      <c r="W26" s="3">
        <f t="array" ref="W26">XLOOKUP(B26, 'Surfer Stats - Event 8'!B:B, 'Surfer Stats - Event 8'!Y:Y)</f>
        <v>45.76</v>
      </c>
      <c r="X26" s="75">
        <f>8750+500+500+1750+500+1750</f>
        <v>13750</v>
      </c>
      <c r="Y26" s="3">
        <f t="array" ref="Y26">XLOOKUP(B26,'Event 9 Assist'!A:A, 'Event 9 Assist'!E:E)</f>
        <v>23.44</v>
      </c>
    </row>
    <row r="27">
      <c r="A27" s="64">
        <v>0.0</v>
      </c>
      <c r="B27" s="82" t="s">
        <v>37</v>
      </c>
      <c r="C27" s="3" t="str">
        <f t="array" ref="C27">XLOOKUP(B27, 'Surfer Stats - Event 4'!B:B, 'Surfer Stats - Event 4'!D:D)</f>
        <v>Regular</v>
      </c>
      <c r="D27" s="3">
        <f t="shared" si="1"/>
        <v>11</v>
      </c>
      <c r="E27" s="10">
        <v>0.0</v>
      </c>
      <c r="F27" s="10">
        <v>0.0</v>
      </c>
      <c r="G27" s="10">
        <v>5.0</v>
      </c>
      <c r="H27" s="10">
        <v>25.0</v>
      </c>
      <c r="I27" s="10">
        <v>13.0</v>
      </c>
      <c r="J27" s="3">
        <f>COUNTIFS( historical_events_FACT!J:J, "&gt;16", historical_events_FACT!G:G, B27,historical_events_FACT!C:C, "9" )</f>
        <v>2</v>
      </c>
      <c r="K27" s="3">
        <f t="shared" si="2"/>
        <v>12.72</v>
      </c>
      <c r="L27" s="3">
        <f t="shared" si="3"/>
        <v>12.73</v>
      </c>
      <c r="M27" s="3">
        <f>SUMIFS( '2014Data'!I:I, '2014Data'!F:F, B27,'2014Data'!B:B, "9" )</f>
        <v>76.38</v>
      </c>
      <c r="N27" s="3">
        <f>COUNTIFS('2014Data'!F:F, B27,'2014Data'!B:B, "9" )</f>
        <v>6</v>
      </c>
      <c r="O27" s="3">
        <f t="shared" si="4"/>
        <v>15.47</v>
      </c>
      <c r="P27" s="3">
        <f>SUMIFS( historical_events_FACT!J:J, historical_events_FACT!G:G, B27,historical_events_FACT!B:B, "2015",historical_events_FACT!C:C, "9" )</f>
        <v>46.41</v>
      </c>
      <c r="Q27" s="3">
        <f>COUNTIFS(historical_events_FACT!G:G, B27,historical_events_FACT!B:B, "2015",historical_events_FACT!C:C, "9" )</f>
        <v>3</v>
      </c>
      <c r="R27" s="3">
        <f t="shared" si="5"/>
        <v>8.58</v>
      </c>
      <c r="S27" s="3">
        <f>SUMIFS( historical_events_FACT!J:J, historical_events_FACT!G:G, B27,historical_events_FACT!B:B, "2016",historical_events_FACT!C:C, "9" )</f>
        <v>17.16</v>
      </c>
      <c r="T27" s="3">
        <f>COUNTIFS(historical_events_FACT!G:G, B27,historical_events_FACT!B:B, "2016",historical_events_FACT!C:C, "9" )</f>
        <v>2</v>
      </c>
      <c r="U27" s="3">
        <f>MAXIFS( historical_events_FACT!J:J, historical_events_FACT!G:G, B27,historical_events_FACT!C:C, "9" )</f>
        <v>17.37</v>
      </c>
      <c r="V27" s="97">
        <f t="array" ref="V27">ROUND(AVERAGEIF({ IFERROR(XLOOKUP(B27, 'Surfer Stats - Event 7'!B:B, 'Surfer Stats - Event 7'!Z:Z), ""), IFERROR(XLOOKUP(B27, 'Surfer Stats - Event 8'!B:B, 'Surfer Stats - Event 8'!Y:Y), ""), IFERROR(XLOOKUP(B27, 'Surfer Stats - Event 6'!B:B, 'Surfer Stats - Event 6'!Y:Y), "") }, "&lt;&gt;"),2)</f>
        <v>16.27</v>
      </c>
      <c r="W27" s="3" t="str">
        <f t="array" ref="W27">XLOOKUP(B27, 'Surfer Stats - Event 8'!B:B, 'Surfer Stats - Event 8'!Y:Y)</f>
        <v/>
      </c>
      <c r="X27" s="83">
        <f>8700+500+1750+1750+500+500</f>
        <v>13700</v>
      </c>
      <c r="Y27" s="3" t="str">
        <f t="array" ref="Y27">XLOOKUP(B27,'Event 9 Assist'!A:A, 'Event 9 Assist'!E:E)</f>
        <v/>
      </c>
    </row>
    <row r="28">
      <c r="A28" s="51">
        <v>1.0</v>
      </c>
      <c r="B28" s="66" t="s">
        <v>67</v>
      </c>
      <c r="C28" s="3" t="str">
        <f t="array" ref="C28">XLOOKUP(B28, 'Surfer Stats - Event 4'!B:B, 'Surfer Stats - Event 4'!D:D)</f>
        <v>Goofy</v>
      </c>
      <c r="D28" s="3">
        <f t="shared" si="1"/>
        <v>9</v>
      </c>
      <c r="E28" s="10">
        <v>0.0</v>
      </c>
      <c r="F28" s="10">
        <v>0.0</v>
      </c>
      <c r="G28" s="10">
        <v>99.0</v>
      </c>
      <c r="H28" s="10">
        <v>99.0</v>
      </c>
      <c r="I28" s="10">
        <v>99.0</v>
      </c>
      <c r="J28" s="3">
        <f>COUNTIFS( historical_events_FACT!J:J, "&gt;16", historical_events_FACT!G:G, B28,historical_events_FACT!C:C, "9" )</f>
        <v>0</v>
      </c>
      <c r="K28" s="3">
        <f t="shared" si="2"/>
        <v>11.25</v>
      </c>
      <c r="L28" s="3">
        <f t="shared" si="3"/>
        <v>11.48</v>
      </c>
      <c r="M28" s="10">
        <v>34.45</v>
      </c>
      <c r="N28" s="10">
        <v>3.0</v>
      </c>
      <c r="O28" s="3">
        <f t="shared" si="4"/>
        <v>11.3</v>
      </c>
      <c r="P28" s="10">
        <v>33.89</v>
      </c>
      <c r="Q28" s="10">
        <v>3.0</v>
      </c>
      <c r="R28" s="3">
        <f t="shared" si="5"/>
        <v>10.98</v>
      </c>
      <c r="S28" s="10">
        <v>32.94</v>
      </c>
      <c r="T28" s="10">
        <v>3.0</v>
      </c>
      <c r="U28" s="10">
        <v>13.53</v>
      </c>
      <c r="V28" s="97">
        <f t="array" ref="V28">ROUND(AVERAGEIF({ IFERROR(XLOOKUP(B28, 'Surfer Stats - Event 7'!B:B, 'Surfer Stats - Event 7'!Z:Z), ""), IFERROR(XLOOKUP(B28, 'Surfer Stats - Event 8'!B:B, 'Surfer Stats - Event 8'!Y:Y), ""), IFERROR(XLOOKUP(B28, 'Surfer Stats - Event 6'!B:B, 'Surfer Stats - Event 6'!Y:Y), "") }, "&lt;&gt;"),2)</f>
        <v>24.62</v>
      </c>
      <c r="W28" s="3">
        <f t="array" ref="W28">XLOOKUP(B28, 'Surfer Stats - Event 8'!B:B, 'Surfer Stats - Event 8'!Y:Y)</f>
        <v>21.2</v>
      </c>
      <c r="X28" s="75">
        <f>4000+1750+4000+500+1750+500</f>
        <v>12500</v>
      </c>
      <c r="Y28" s="3">
        <f t="array" ref="Y28">XLOOKUP(B28,'Event 9 Assist'!A:A, 'Event 9 Assist'!E:E)</f>
        <v>30.34</v>
      </c>
    </row>
    <row r="29">
      <c r="A29" s="78">
        <v>1.0</v>
      </c>
      <c r="B29" s="66" t="s">
        <v>68</v>
      </c>
      <c r="C29" s="3" t="str">
        <f t="array" ref="C29">XLOOKUP(B29, 'Surfer Stats - Event 4'!B:B, 'Surfer Stats - Event 4'!D:D)</f>
        <v>Regular</v>
      </c>
      <c r="D29" s="3">
        <f t="shared" si="1"/>
        <v>9</v>
      </c>
      <c r="E29" s="10">
        <v>0.0</v>
      </c>
      <c r="F29" s="10">
        <v>0.0</v>
      </c>
      <c r="G29" s="10">
        <v>99.0</v>
      </c>
      <c r="H29" s="10">
        <v>13.0</v>
      </c>
      <c r="I29" s="10">
        <v>99.0</v>
      </c>
      <c r="J29" s="3">
        <f>COUNTIFS( historical_events_FACT!J:J, "&gt;16", historical_events_FACT!G:G, B29,historical_events_FACT!C:C, "9" )</f>
        <v>0</v>
      </c>
      <c r="K29" s="3">
        <f t="shared" si="2"/>
        <v>11.15</v>
      </c>
      <c r="L29" s="3">
        <f t="shared" si="3"/>
        <v>11.48</v>
      </c>
      <c r="M29" s="10">
        <v>34.45</v>
      </c>
      <c r="N29" s="10">
        <v>3.0</v>
      </c>
      <c r="O29" s="3">
        <f t="shared" si="4"/>
        <v>11.3</v>
      </c>
      <c r="P29" s="10">
        <v>33.89</v>
      </c>
      <c r="Q29" s="10">
        <v>3.0</v>
      </c>
      <c r="R29" s="3">
        <f t="shared" si="5"/>
        <v>10.66</v>
      </c>
      <c r="S29" s="3">
        <f>SUMIFS( historical_events_FACT!J:J, historical_events_FACT!G:G, B29,historical_events_FACT!B:B, "2016",historical_events_FACT!C:C, "9" )</f>
        <v>31.99</v>
      </c>
      <c r="T29" s="3">
        <f>COUNTIFS(historical_events_FACT!G:G, B29,historical_events_FACT!B:B, "2016",historical_events_FACT!C:C, "9" )</f>
        <v>3</v>
      </c>
      <c r="U29" s="3">
        <f>MAXIFS( historical_events_FACT!J:J, historical_events_FACT!G:G, B29,historical_events_FACT!C:C, "9" )</f>
        <v>12.36</v>
      </c>
      <c r="V29" s="97">
        <f t="array" ref="V29">ROUND(AVERAGEIF({ IFERROR(XLOOKUP(B29, 'Surfer Stats - Event 7'!B:B, 'Surfer Stats - Event 7'!Z:Z), ""), IFERROR(XLOOKUP(B29, 'Surfer Stats - Event 8'!B:B, 'Surfer Stats - Event 8'!Y:Y), ""), IFERROR(XLOOKUP(B29, 'Surfer Stats - Event 6'!B:B, 'Surfer Stats - Event 6'!Y:Y), "") }, "&lt;&gt;"),2)</f>
        <v>25.16</v>
      </c>
      <c r="W29" s="3">
        <f t="array" ref="W29">XLOOKUP(B29, 'Surfer Stats - Event 8'!B:B, 'Surfer Stats - Event 8'!Y:Y)</f>
        <v>27.08</v>
      </c>
      <c r="X29" s="75">
        <f>7500+500+500+1750+500+500</f>
        <v>11250</v>
      </c>
      <c r="Y29" s="3">
        <f t="array" ref="Y29">XLOOKUP(B29,'Event 9 Assist'!A:A, 'Event 9 Assist'!E:E)</f>
        <v>23.33</v>
      </c>
    </row>
    <row r="30">
      <c r="A30" s="78">
        <v>1.0</v>
      </c>
      <c r="B30" s="66" t="s">
        <v>35</v>
      </c>
      <c r="C30" s="3" t="str">
        <f t="array" ref="C30">XLOOKUP(B30, 'Surfer Stats - Event 4'!B:B, 'Surfer Stats - Event 4'!D:D)</f>
        <v>Goofy</v>
      </c>
      <c r="D30" s="3">
        <f t="shared" si="1"/>
        <v>15</v>
      </c>
      <c r="E30" s="10">
        <v>0.0</v>
      </c>
      <c r="F30" s="10">
        <v>0.0</v>
      </c>
      <c r="G30" s="10">
        <v>2.0</v>
      </c>
      <c r="H30" s="10">
        <v>25.0</v>
      </c>
      <c r="I30" s="10">
        <v>9.0</v>
      </c>
      <c r="J30" s="3">
        <f>COUNTIFS( historical_events_FACT!J:J, "&gt;16", historical_events_FACT!G:G, B30,historical_events_FACT!C:C, "9" )</f>
        <v>2</v>
      </c>
      <c r="K30" s="3">
        <f t="shared" si="2"/>
        <v>11.23</v>
      </c>
      <c r="L30" s="3">
        <f t="shared" si="3"/>
        <v>11.37</v>
      </c>
      <c r="M30" s="3">
        <f>SUMIFS( '2014Data'!I:I, '2014Data'!F:F, B30,'2014Data'!B:B, "9" )</f>
        <v>90.97</v>
      </c>
      <c r="N30" s="3">
        <f>COUNTIFS('2014Data'!F:F, B30,'2014Data'!B:B, "9" )</f>
        <v>8</v>
      </c>
      <c r="O30" s="3">
        <f t="shared" si="4"/>
        <v>12.25</v>
      </c>
      <c r="P30" s="3">
        <f>SUMIFS( historical_events_FACT!J:J, historical_events_FACT!G:G, B30,historical_events_FACT!B:B, "2015",historical_events_FACT!C:C, "9" )</f>
        <v>61.27</v>
      </c>
      <c r="Q30" s="3">
        <f>COUNTIFS(historical_events_FACT!G:G, B30,historical_events_FACT!B:B, "2015",historical_events_FACT!C:C, "9" )</f>
        <v>5</v>
      </c>
      <c r="R30" s="3">
        <f t="shared" si="5"/>
        <v>8.1</v>
      </c>
      <c r="S30" s="3">
        <f>SUMIFS( historical_events_FACT!J:J, historical_events_FACT!G:G, B30,historical_events_FACT!B:B, "2016",historical_events_FACT!C:C, "9" )</f>
        <v>16.2</v>
      </c>
      <c r="T30" s="3">
        <f>COUNTIFS(historical_events_FACT!G:G, B30,historical_events_FACT!B:B, "2016",historical_events_FACT!C:C, "9" )</f>
        <v>2</v>
      </c>
      <c r="U30" s="3">
        <f>MAXIFS( historical_events_FACT!J:J, historical_events_FACT!G:G, B30,historical_events_FACT!C:C, "9" )</f>
        <v>16.67</v>
      </c>
      <c r="V30" s="97">
        <f t="array" ref="V30">ROUND(AVERAGEIF({ IFERROR(XLOOKUP(B30, 'Surfer Stats - Event 7'!B:B, 'Surfer Stats - Event 7'!Z:Z), ""), IFERROR(XLOOKUP(B30, 'Surfer Stats - Event 8'!B:B, 'Surfer Stats - Event 8'!Y:Y), ""), IFERROR(XLOOKUP(B30, 'Surfer Stats - Event 6'!B:B, 'Surfer Stats - Event 6'!Y:Y), "") }, "&lt;&gt;"),2)</f>
        <v>43.94</v>
      </c>
      <c r="W30" s="3">
        <f t="array" ref="W30">XLOOKUP(B30, 'Surfer Stats - Event 8'!B:B, 'Surfer Stats - Event 8'!Y:Y)</f>
        <v>70.44</v>
      </c>
      <c r="X30" s="75">
        <f>2750+1750+500+1750+500+4000</f>
        <v>11250</v>
      </c>
      <c r="Y30" s="3">
        <f t="array" ref="Y30">XLOOKUP(B30,'Event 9 Assist'!A:A, 'Event 9 Assist'!E:E)</f>
        <v>23.34</v>
      </c>
    </row>
    <row r="31">
      <c r="A31" s="78">
        <v>1.0</v>
      </c>
      <c r="B31" s="51" t="s">
        <v>66</v>
      </c>
      <c r="C31" s="10" t="s">
        <v>244</v>
      </c>
      <c r="D31" s="3">
        <f t="shared" si="1"/>
        <v>9</v>
      </c>
      <c r="E31" s="10">
        <v>0.0</v>
      </c>
      <c r="F31" s="10">
        <v>0.0</v>
      </c>
      <c r="G31" s="10">
        <v>99.0</v>
      </c>
      <c r="H31" s="10">
        <v>13.0</v>
      </c>
      <c r="I31" s="10">
        <v>99.0</v>
      </c>
      <c r="J31" s="3">
        <f>COUNTIFS( historical_events_FACT!J:J, "&gt;16", historical_events_FACT!G:G, B31,historical_events_FACT!C:C, "9" )</f>
        <v>0</v>
      </c>
      <c r="K31" s="3">
        <f t="shared" si="2"/>
        <v>11.25</v>
      </c>
      <c r="L31" s="3">
        <f t="shared" si="3"/>
        <v>11.48</v>
      </c>
      <c r="M31" s="10">
        <v>34.45</v>
      </c>
      <c r="N31" s="10">
        <v>3.0</v>
      </c>
      <c r="O31" s="3">
        <f t="shared" si="4"/>
        <v>11.3</v>
      </c>
      <c r="P31" s="10">
        <v>33.89</v>
      </c>
      <c r="Q31" s="10">
        <v>3.0</v>
      </c>
      <c r="R31" s="3">
        <f t="shared" si="5"/>
        <v>10.98</v>
      </c>
      <c r="S31" s="10">
        <v>32.94</v>
      </c>
      <c r="T31" s="10">
        <v>3.0</v>
      </c>
      <c r="U31" s="10">
        <v>13.53</v>
      </c>
      <c r="V31" s="97">
        <f t="array" ref="V31">ROUND(AVERAGEIF({ IFERROR(XLOOKUP(B31, 'Surfer Stats - Event 7'!B:B, 'Surfer Stats - Event 7'!Z:Z), ""), IFERROR(XLOOKUP(B31, 'Surfer Stats - Event 8'!B:B, 'Surfer Stats - Event 8'!Y:Y), ""), IFERROR(XLOOKUP(B31, 'Surfer Stats - Event 6'!B:B, 'Surfer Stats - Event 6'!Y:Y), "") }, "&lt;&gt;"),2)</f>
        <v>32.01</v>
      </c>
      <c r="W31" s="3">
        <f t="array" ref="W31">XLOOKUP(B31, 'Surfer Stats - Event 8'!B:B, 'Surfer Stats - Event 8'!Y:Y)</f>
        <v>23.46</v>
      </c>
      <c r="X31" s="75">
        <f>1500+500+5200+1750+500+500</f>
        <v>9950</v>
      </c>
      <c r="Y31" s="3">
        <f t="array" ref="Y31">XLOOKUP(B31,'Event 9 Assist'!A:A, 'Event 9 Assist'!E:E)</f>
        <v>36.39</v>
      </c>
    </row>
    <row r="32">
      <c r="A32" s="78">
        <v>1.0</v>
      </c>
      <c r="B32" s="66" t="s">
        <v>55</v>
      </c>
      <c r="C32" s="3" t="str">
        <f t="array" ref="C32">XLOOKUP(B32, 'Surfer Stats - Event 4'!B:B, 'Surfer Stats - Event 4'!D:D)</f>
        <v>Goofy</v>
      </c>
      <c r="D32" s="3">
        <f t="shared" si="1"/>
        <v>8</v>
      </c>
      <c r="E32" s="10">
        <v>0.0</v>
      </c>
      <c r="F32" s="10">
        <v>0.0</v>
      </c>
      <c r="G32" s="10">
        <v>5.0</v>
      </c>
      <c r="H32" s="10">
        <v>13.0</v>
      </c>
      <c r="I32" s="10">
        <v>25.0</v>
      </c>
      <c r="J32" s="3">
        <f>COUNTIFS( historical_events_FACT!J:J, "&gt;16", historical_events_FACT!G:G, B32,historical_events_FACT!C:C, "9" )</f>
        <v>0</v>
      </c>
      <c r="K32" s="3">
        <f t="shared" si="2"/>
        <v>11.59</v>
      </c>
      <c r="L32" s="3">
        <f t="shared" si="3"/>
        <v>12.87</v>
      </c>
      <c r="M32" s="3">
        <f>SUMIFS( '2014Data'!I:I, '2014Data'!F:F, B32,'2014Data'!B:B, "9" )</f>
        <v>51.48</v>
      </c>
      <c r="N32" s="3">
        <f>COUNTIFS('2014Data'!F:F, B32,'2014Data'!B:B, "9" )</f>
        <v>4</v>
      </c>
      <c r="O32" s="3">
        <f t="shared" si="4"/>
        <v>10.02</v>
      </c>
      <c r="P32" s="3">
        <f>SUMIFS( historical_events_FACT!J:J, historical_events_FACT!G:G, B32,historical_events_FACT!B:B, "2015",historical_events_FACT!C:C, "9" )</f>
        <v>20.03</v>
      </c>
      <c r="Q32" s="3">
        <f>COUNTIFS(historical_events_FACT!G:G, B32,historical_events_FACT!B:B, "2015",historical_events_FACT!C:C, "9" )</f>
        <v>2</v>
      </c>
      <c r="R32" s="3">
        <f t="shared" si="5"/>
        <v>10.62</v>
      </c>
      <c r="S32" s="3">
        <f>SUMIFS( historical_events_FACT!J:J, historical_events_FACT!G:G, B32,historical_events_FACT!B:B, "2016",historical_events_FACT!C:C, "9" )</f>
        <v>21.23</v>
      </c>
      <c r="T32" s="3">
        <f>COUNTIFS(historical_events_FACT!G:G, B32,historical_events_FACT!B:B, "2016",historical_events_FACT!C:C, "9" )</f>
        <v>2</v>
      </c>
      <c r="U32" s="3">
        <f>MAXIFS( historical_events_FACT!J:J, historical_events_FACT!G:G, B32,historical_events_FACT!C:C, "9" )</f>
        <v>15.23</v>
      </c>
      <c r="V32" s="97">
        <f t="array" ref="V32">ROUND(AVERAGEIF({ IFERROR(XLOOKUP(B32, 'Surfer Stats - Event 7'!B:B, 'Surfer Stats - Event 7'!Z:Z), ""), IFERROR(XLOOKUP(B32, 'Surfer Stats - Event 8'!B:B, 'Surfer Stats - Event 8'!Y:Y), ""), IFERROR(XLOOKUP(B32, 'Surfer Stats - Event 6'!B:B, 'Surfer Stats - Event 6'!Y:Y), "") }, "&lt;&gt;"),2)</f>
        <v>22.5</v>
      </c>
      <c r="W32" s="3">
        <f t="array" ref="W32">XLOOKUP(B32, 'Surfer Stats - Event 8'!B:B, 'Surfer Stats - Event 8'!Y:Y)</f>
        <v>36.13</v>
      </c>
      <c r="X32" s="75">
        <f>500+4000+1750+500+500+1750</f>
        <v>9000</v>
      </c>
      <c r="Y32" s="3">
        <f t="array" ref="Y32">XLOOKUP(B32,'Event 9 Assist'!A:A, 'Event 9 Assist'!E:E)</f>
        <v>66.61</v>
      </c>
    </row>
    <row r="33">
      <c r="A33" s="78">
        <v>1.0</v>
      </c>
      <c r="B33" s="66" t="s">
        <v>36</v>
      </c>
      <c r="C33" s="3" t="str">
        <f t="array" ref="C33">XLOOKUP(B33, 'Surfer Stats - Event 4'!B:B, 'Surfer Stats - Event 4'!D:D)</f>
        <v>Regular</v>
      </c>
      <c r="D33" s="3">
        <f t="shared" si="1"/>
        <v>11</v>
      </c>
      <c r="E33" s="10">
        <v>0.0</v>
      </c>
      <c r="F33" s="10">
        <v>0.0</v>
      </c>
      <c r="G33" s="10">
        <v>99.0</v>
      </c>
      <c r="H33" s="10">
        <v>9.0</v>
      </c>
      <c r="I33" s="10">
        <v>99.0</v>
      </c>
      <c r="J33" s="3">
        <f>COUNTIFS( historical_events_FACT!J:J, "&gt;16", historical_events_FACT!G:G, B33,historical_events_FACT!C:C, "9" )</f>
        <v>0</v>
      </c>
      <c r="K33" s="3">
        <f t="shared" si="2"/>
        <v>11.12</v>
      </c>
      <c r="L33" s="3">
        <f t="shared" si="3"/>
        <v>11.48</v>
      </c>
      <c r="M33" s="10">
        <v>34.45</v>
      </c>
      <c r="N33" s="10">
        <v>3.0</v>
      </c>
      <c r="O33" s="3">
        <f t="shared" si="4"/>
        <v>11.3</v>
      </c>
      <c r="P33" s="10">
        <v>33.89</v>
      </c>
      <c r="Q33" s="10">
        <v>3.0</v>
      </c>
      <c r="R33" s="3">
        <f t="shared" si="5"/>
        <v>10.79</v>
      </c>
      <c r="S33" s="3">
        <f>SUMIFS( historical_events_FACT!J:J, historical_events_FACT!G:G, B33,historical_events_FACT!B:B, "2016",historical_events_FACT!C:C, "9" )</f>
        <v>53.95</v>
      </c>
      <c r="T33" s="3">
        <f>COUNTIFS(historical_events_FACT!G:G, B33,historical_events_FACT!B:B, "2016",historical_events_FACT!C:C, "9" )</f>
        <v>5</v>
      </c>
      <c r="U33" s="3">
        <f>MAXIFS( historical_events_FACT!J:J, historical_events_FACT!G:G, B33,historical_events_FACT!C:C, "9" )</f>
        <v>12.03</v>
      </c>
      <c r="V33" s="97">
        <f t="array" ref="V33">ROUND(AVERAGEIF({ IFERROR(XLOOKUP(B33, 'Surfer Stats - Event 7'!B:B, 'Surfer Stats - Event 7'!Z:Z), ""), IFERROR(XLOOKUP(B33, 'Surfer Stats - Event 8'!B:B, 'Surfer Stats - Event 8'!Y:Y), ""), IFERROR(XLOOKUP(B33, 'Surfer Stats - Event 6'!B:B, 'Surfer Stats - Event 6'!Y:Y), "") }, "&lt;&gt;"),2)</f>
        <v>21.88</v>
      </c>
      <c r="W33" s="3">
        <f t="array" ref="W33">XLOOKUP(B33, 'Surfer Stats - Event 8'!B:B, 'Surfer Stats - Event 8'!Y:Y)</f>
        <v>20.37</v>
      </c>
      <c r="X33" s="75">
        <f>2750+500+4000+500+500+500</f>
        <v>8750</v>
      </c>
      <c r="Y33" s="3">
        <f t="array" ref="Y33">XLOOKUP(B33,'Event 9 Assist'!A:A, 'Event 9 Assist'!E:E)</f>
        <v>20.6</v>
      </c>
    </row>
    <row r="34">
      <c r="A34" s="78">
        <v>1.0</v>
      </c>
      <c r="B34" s="66" t="s">
        <v>56</v>
      </c>
      <c r="C34" s="3" t="str">
        <f t="array" ref="C34">XLOOKUP(B34, 'Surfer Stats - Event 4'!B:B, 'Surfer Stats - Event 4'!D:D)</f>
        <v>Goofy</v>
      </c>
      <c r="D34" s="3">
        <f t="shared" si="1"/>
        <v>7</v>
      </c>
      <c r="E34" s="10">
        <v>0.0</v>
      </c>
      <c r="F34" s="10">
        <v>0.0</v>
      </c>
      <c r="G34" s="10">
        <v>25.0</v>
      </c>
      <c r="H34" s="10">
        <v>13.0</v>
      </c>
      <c r="I34" s="10">
        <v>13.0</v>
      </c>
      <c r="J34" s="3">
        <f>COUNTIFS( historical_events_FACT!J:J, "&gt;16", historical_events_FACT!G:G, B34,historical_events_FACT!C:C, "9" )</f>
        <v>0</v>
      </c>
      <c r="K34" s="3">
        <f t="shared" si="2"/>
        <v>10.87</v>
      </c>
      <c r="L34" s="3">
        <f t="shared" si="3"/>
        <v>12.03</v>
      </c>
      <c r="M34" s="3">
        <f>SUMIFS( '2014Data'!I:I, '2014Data'!F:F, B34,'2014Data'!B:B, "9" )</f>
        <v>24.06</v>
      </c>
      <c r="N34" s="3">
        <f>COUNTIFS('2014Data'!F:F, B34,'2014Data'!B:B, "9" )</f>
        <v>2</v>
      </c>
      <c r="O34" s="3">
        <f t="shared" si="4"/>
        <v>10.1</v>
      </c>
      <c r="P34" s="3">
        <f>SUMIFS( historical_events_FACT!J:J, historical_events_FACT!G:G, B34,historical_events_FACT!B:B, "2015",historical_events_FACT!C:C, "9" )</f>
        <v>30.3</v>
      </c>
      <c r="Q34" s="3">
        <f>COUNTIFS(historical_events_FACT!G:G, B34,historical_events_FACT!B:B, "2015",historical_events_FACT!C:C, "9" )</f>
        <v>3</v>
      </c>
      <c r="R34" s="3">
        <f t="shared" si="5"/>
        <v>10.88</v>
      </c>
      <c r="S34" s="3">
        <f>SUMIFS( historical_events_FACT!J:J, historical_events_FACT!G:G, B34,historical_events_FACT!B:B, "2016",historical_events_FACT!C:C, "9" )</f>
        <v>21.76</v>
      </c>
      <c r="T34" s="3">
        <f>COUNTIFS(historical_events_FACT!G:G, B34,historical_events_FACT!B:B, "2016",historical_events_FACT!C:C, "9" )</f>
        <v>2</v>
      </c>
      <c r="U34" s="3">
        <f>MAXIFS( historical_events_FACT!J:J, historical_events_FACT!G:G, B34,historical_events_FACT!C:C, "9" )</f>
        <v>12.97</v>
      </c>
      <c r="V34" s="97">
        <f t="array" ref="V34">ROUND(AVERAGEIF({ IFERROR(XLOOKUP(B34, 'Surfer Stats - Event 7'!B:B, 'Surfer Stats - Event 7'!Z:Z), ""), IFERROR(XLOOKUP(B34, 'Surfer Stats - Event 8'!B:B, 'Surfer Stats - Event 8'!Y:Y), ""), IFERROR(XLOOKUP(B34, 'Surfer Stats - Event 6'!B:B, 'Surfer Stats - Event 6'!Y:Y), "") }, "&lt;&gt;"),2)</f>
        <v>27.89</v>
      </c>
      <c r="W34" s="3">
        <f t="array" ref="W34">XLOOKUP(B34, 'Surfer Stats - Event 8'!B:B, 'Surfer Stats - Event 8'!Y:Y)</f>
        <v>23.53</v>
      </c>
      <c r="X34" s="75">
        <f>4000+1750+500+1750+500</f>
        <v>8500</v>
      </c>
      <c r="Y34" s="3">
        <f t="array" ref="Y34">XLOOKUP(B34,'Event 9 Assist'!A:A, 'Event 9 Assist'!E:E)</f>
        <v>47.3</v>
      </c>
    </row>
    <row r="35">
      <c r="A35" s="64">
        <v>0.0</v>
      </c>
      <c r="B35" s="82" t="s">
        <v>169</v>
      </c>
      <c r="C35" s="3" t="str">
        <f t="array" ref="C35">XLOOKUP(B35, 'Surfer Stats - Event 4'!B:B, 'Surfer Stats - Event 4'!D:D)</f>
        <v>Goofy</v>
      </c>
      <c r="D35" s="3">
        <f t="shared" si="1"/>
        <v>9</v>
      </c>
      <c r="E35" s="10">
        <v>0.0</v>
      </c>
      <c r="F35" s="10">
        <v>0.0</v>
      </c>
      <c r="G35" s="10">
        <v>99.0</v>
      </c>
      <c r="H35" s="10">
        <v>99.0</v>
      </c>
      <c r="I35" s="10">
        <v>99.0</v>
      </c>
      <c r="J35" s="3">
        <f>COUNTIFS( historical_events_FACT!J:J, "&gt;16", historical_events_FACT!G:G, B35,historical_events_FACT!C:C, "9" )</f>
        <v>0</v>
      </c>
      <c r="K35" s="3">
        <f t="shared" si="2"/>
        <v>11.25</v>
      </c>
      <c r="L35" s="3">
        <f t="shared" si="3"/>
        <v>11.48</v>
      </c>
      <c r="M35" s="10">
        <v>34.45</v>
      </c>
      <c r="N35" s="10">
        <v>3.0</v>
      </c>
      <c r="O35" s="3">
        <f t="shared" si="4"/>
        <v>11.3</v>
      </c>
      <c r="P35" s="10">
        <v>33.89</v>
      </c>
      <c r="Q35" s="10">
        <v>3.0</v>
      </c>
      <c r="R35" s="3">
        <f t="shared" si="5"/>
        <v>10.98</v>
      </c>
      <c r="S35" s="10">
        <v>32.94</v>
      </c>
      <c r="T35" s="10">
        <v>3.0</v>
      </c>
      <c r="U35" s="10">
        <v>13.53</v>
      </c>
      <c r="V35" s="97" t="str">
        <f t="array" ref="V35">ROUND(AVERAGEIF({ IFERROR(XLOOKUP(B35, 'Surfer Stats - Event 7'!B:B, 'Surfer Stats - Event 7'!Z:Z), ""), IFERROR(XLOOKUP(B35, 'Surfer Stats - Event 8'!B:B, 'Surfer Stats - Event 8'!Y:Y), ""), IFERROR(XLOOKUP(B35, 'Surfer Stats - Event 6'!B:B, 'Surfer Stats - Event 6'!Y:Y), "") }, "&lt;&gt;"),2)</f>
        <v>#DIV/0!</v>
      </c>
      <c r="W35" s="3" t="str">
        <f t="array" ref="W35">XLOOKUP(B35, 'Surfer Stats - Event 8'!B:B, 'Surfer Stats - Event 8'!Y:Y)</f>
        <v/>
      </c>
      <c r="X35" s="91">
        <f>6500+500</f>
        <v>7000</v>
      </c>
      <c r="Y35" s="3" t="str">
        <f t="array" ref="Y35">XLOOKUP(B35,'Event 9 Assist'!A:A, 'Event 9 Assist'!E:E)</f>
        <v/>
      </c>
    </row>
    <row r="36">
      <c r="A36" s="51">
        <v>1.0</v>
      </c>
      <c r="B36" s="66" t="s">
        <v>45</v>
      </c>
      <c r="C36" s="3" t="str">
        <f t="array" ref="C36">XLOOKUP(B36, 'Surfer Stats - Event 4'!B:B, 'Surfer Stats - Event 4'!D:D)</f>
        <v>Regular</v>
      </c>
      <c r="D36" s="3">
        <f t="shared" si="1"/>
        <v>11</v>
      </c>
      <c r="E36" s="10">
        <v>0.0</v>
      </c>
      <c r="F36" s="10">
        <v>0.0</v>
      </c>
      <c r="G36" s="10">
        <v>3.0</v>
      </c>
      <c r="H36" s="10">
        <v>25.0</v>
      </c>
      <c r="I36" s="10">
        <v>13.0</v>
      </c>
      <c r="J36" s="3">
        <f>COUNTIFS( historical_events_FACT!J:J, "&gt;16", historical_events_FACT!G:G, B36,historical_events_FACT!C:C, "9" )</f>
        <v>0</v>
      </c>
      <c r="K36" s="3">
        <f t="shared" si="2"/>
        <v>10.36</v>
      </c>
      <c r="L36" s="3">
        <f t="shared" si="3"/>
        <v>10.81</v>
      </c>
      <c r="M36" s="3">
        <f>SUMIFS( '2014Data'!I:I, '2014Data'!F:F, B36,'2014Data'!B:B, "9" )</f>
        <v>64.83</v>
      </c>
      <c r="N36" s="3">
        <f>COUNTIFS('2014Data'!F:F, B36,'2014Data'!B:B, "9" )</f>
        <v>6</v>
      </c>
      <c r="O36" s="3">
        <f t="shared" si="4"/>
        <v>10.67</v>
      </c>
      <c r="P36" s="3">
        <f>SUMIFS( historical_events_FACT!J:J, historical_events_FACT!G:G, B36,historical_events_FACT!B:B, "2015",historical_events_FACT!C:C, "9" )</f>
        <v>32</v>
      </c>
      <c r="Q36" s="3">
        <f>COUNTIFS(historical_events_FACT!G:G, B36,historical_events_FACT!B:B, "2015",historical_events_FACT!C:C, "9" )</f>
        <v>3</v>
      </c>
      <c r="R36" s="3">
        <f t="shared" si="5"/>
        <v>8.57</v>
      </c>
      <c r="S36" s="3">
        <f>SUMIFS( historical_events_FACT!J:J, historical_events_FACT!G:G, B36,historical_events_FACT!B:B, "2016",historical_events_FACT!C:C, "9" )</f>
        <v>17.13</v>
      </c>
      <c r="T36" s="3">
        <f>COUNTIFS(historical_events_FACT!G:G, B36,historical_events_FACT!B:B, "2016",historical_events_FACT!C:C, "9" )</f>
        <v>2</v>
      </c>
      <c r="U36" s="3">
        <f>MAXIFS( historical_events_FACT!J:J, historical_events_FACT!G:G, B36,historical_events_FACT!C:C, "9" )</f>
        <v>15.23</v>
      </c>
      <c r="V36" s="97">
        <f t="array" ref="V36">ROUND(AVERAGEIF({ IFERROR(XLOOKUP(B36, 'Surfer Stats - Event 7'!B:B, 'Surfer Stats - Event 7'!Z:Z), ""), IFERROR(XLOOKUP(B36, 'Surfer Stats - Event 8'!B:B, 'Surfer Stats - Event 8'!Y:Y), ""), IFERROR(XLOOKUP(B36, 'Surfer Stats - Event 6'!B:B, 'Surfer Stats - Event 6'!Y:Y), "") }, "&lt;&gt;"),2)</f>
        <v>25.65</v>
      </c>
      <c r="W36" s="3">
        <f t="array" ref="W36">XLOOKUP(B36, 'Surfer Stats - Event 8'!B:B, 'Surfer Stats - Event 8'!Y:Y)</f>
        <v>39.7</v>
      </c>
      <c r="X36" s="75">
        <f>1500+1750+500+500+500+1750</f>
        <v>6500</v>
      </c>
      <c r="Y36" s="3">
        <f t="array" ref="Y36">XLOOKUP(B36,'Event 9 Assist'!A:A, 'Event 9 Assist'!E:E)</f>
        <v>23.76</v>
      </c>
    </row>
    <row r="37">
      <c r="A37" s="78">
        <v>1.0</v>
      </c>
      <c r="B37" s="66" t="s">
        <v>63</v>
      </c>
      <c r="C37" s="3" t="str">
        <f t="array" ref="C37">XLOOKUP(B37, 'Surfer Stats - Event 4'!B:B, 'Surfer Stats - Event 4'!D:D)</f>
        <v>Regular</v>
      </c>
      <c r="D37" s="3">
        <f t="shared" si="1"/>
        <v>9</v>
      </c>
      <c r="E37" s="10">
        <v>0.0</v>
      </c>
      <c r="F37" s="10">
        <v>0.0</v>
      </c>
      <c r="G37" s="10">
        <v>99.0</v>
      </c>
      <c r="H37" s="10">
        <v>99.0</v>
      </c>
      <c r="I37" s="10">
        <v>99.0</v>
      </c>
      <c r="J37" s="3">
        <f>COUNTIFS( historical_events_FACT!J:J, "&gt;16", historical_events_FACT!G:G, B37,historical_events_FACT!C:C, "9" )</f>
        <v>0</v>
      </c>
      <c r="K37" s="3">
        <f t="shared" si="2"/>
        <v>11.25</v>
      </c>
      <c r="L37" s="3">
        <f t="shared" si="3"/>
        <v>11.48</v>
      </c>
      <c r="M37" s="10">
        <v>34.45</v>
      </c>
      <c r="N37" s="10">
        <v>3.0</v>
      </c>
      <c r="O37" s="3">
        <f t="shared" si="4"/>
        <v>11.3</v>
      </c>
      <c r="P37" s="10">
        <v>33.89</v>
      </c>
      <c r="Q37" s="10">
        <v>3.0</v>
      </c>
      <c r="R37" s="3">
        <f t="shared" si="5"/>
        <v>10.98</v>
      </c>
      <c r="S37" s="10">
        <v>32.94</v>
      </c>
      <c r="T37" s="10">
        <v>3.0</v>
      </c>
      <c r="U37" s="10">
        <v>13.53</v>
      </c>
      <c r="V37" s="97">
        <f t="array" ref="V37">ROUND(AVERAGEIF({ IFERROR(XLOOKUP(B37, 'Surfer Stats - Event 7'!B:B, 'Surfer Stats - Event 7'!Z:Z), ""), IFERROR(XLOOKUP(B37, 'Surfer Stats - Event 8'!B:B, 'Surfer Stats - Event 8'!Y:Y), ""), IFERROR(XLOOKUP(B37, 'Surfer Stats - Event 6'!B:B, 'Surfer Stats - Event 6'!Y:Y), "") }, "&lt;&gt;"),2)</f>
        <v>25.72</v>
      </c>
      <c r="W37" s="3">
        <f t="array" ref="W37">XLOOKUP(B37, 'Surfer Stats - Event 8'!B:B, 'Surfer Stats - Event 8'!Y:Y)</f>
        <v>30.23</v>
      </c>
      <c r="X37" s="75">
        <f>1500+500+500+500+1750+1750</f>
        <v>6500</v>
      </c>
      <c r="Y37" s="3">
        <f t="array" ref="Y37">XLOOKUP(B37,'Event 9 Assist'!A:A, 'Event 9 Assist'!E:E)</f>
        <v>30.07</v>
      </c>
    </row>
    <row r="38">
      <c r="A38" s="51">
        <v>0.0</v>
      </c>
      <c r="B38" s="82" t="s">
        <v>142</v>
      </c>
      <c r="C38" s="3" t="str">
        <f t="array" ref="C38">XLOOKUP(B38, 'Surfer Stats - Event 4'!B:B, 'Surfer Stats - Event 4'!D:D)</f>
        <v>Goofy</v>
      </c>
      <c r="D38" s="3">
        <f t="shared" si="1"/>
        <v>9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"9" )</f>
        <v>0</v>
      </c>
      <c r="K38" s="3">
        <f t="shared" si="2"/>
        <v>11.25</v>
      </c>
      <c r="L38" s="3">
        <f t="shared" si="3"/>
        <v>11.48</v>
      </c>
      <c r="M38" s="10">
        <v>34.45</v>
      </c>
      <c r="N38" s="10">
        <v>3.0</v>
      </c>
      <c r="O38" s="3">
        <f t="shared" si="4"/>
        <v>11.3</v>
      </c>
      <c r="P38" s="10">
        <v>33.89</v>
      </c>
      <c r="Q38" s="10">
        <v>3.0</v>
      </c>
      <c r="R38" s="3">
        <f t="shared" si="5"/>
        <v>10.98</v>
      </c>
      <c r="S38" s="10">
        <v>32.94</v>
      </c>
      <c r="T38" s="10">
        <v>3.0</v>
      </c>
      <c r="U38" s="10">
        <v>13.53</v>
      </c>
      <c r="V38" s="97" t="str">
        <f t="array" ref="V38">ROUND(AVERAGEIF({ IFERROR(XLOOKUP(B38, 'Surfer Stats - Event 7'!B:B, 'Surfer Stats - Event 7'!Z:Z), ""), IFERROR(XLOOKUP(B38, 'Surfer Stats - Event 8'!B:B, 'Surfer Stats - Event 8'!Y:Y), ""), IFERROR(XLOOKUP(B38, 'Surfer Stats - Event 6'!B:B, 'Surfer Stats - Event 6'!Y:Y), "") }, "&lt;&gt;"),2)</f>
        <v>#DIV/0!</v>
      </c>
      <c r="W38" s="3" t="str">
        <f t="array" ref="W38">XLOOKUP(B38, 'Surfer Stats - Event 8'!B:B, 'Surfer Stats - Event 8'!Y:Y)</f>
        <v/>
      </c>
      <c r="X38" s="83">
        <f>1750+500</f>
        <v>2250</v>
      </c>
      <c r="Y38" s="3" t="str">
        <f t="array" ref="Y38">XLOOKUP(B38,'Event 9 Assist'!A:A, 'Event 9 Assist'!E:E)</f>
        <v/>
      </c>
    </row>
    <row r="39">
      <c r="A39" s="51">
        <v>0.0</v>
      </c>
      <c r="B39" s="93" t="s">
        <v>262</v>
      </c>
      <c r="C39" s="3" t="str">
        <f t="array" ref="C39">XLOOKUP(B39, 'Surfer Stats - Event 4'!B:B, 'Surfer Stats - Event 4'!D:D)</f>
        <v>Goofy</v>
      </c>
      <c r="D39" s="3">
        <f t="shared" si="1"/>
        <v>9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"9" )</f>
        <v>0</v>
      </c>
      <c r="K39" s="3">
        <f t="shared" si="2"/>
        <v>11.25</v>
      </c>
      <c r="L39" s="3">
        <f t="shared" si="3"/>
        <v>11.48</v>
      </c>
      <c r="M39" s="10">
        <v>34.45</v>
      </c>
      <c r="N39" s="10">
        <v>3.0</v>
      </c>
      <c r="O39" s="3">
        <f t="shared" si="4"/>
        <v>11.3</v>
      </c>
      <c r="P39" s="10">
        <v>33.89</v>
      </c>
      <c r="Q39" s="10">
        <v>3.0</v>
      </c>
      <c r="R39" s="3">
        <f t="shared" si="5"/>
        <v>10.98</v>
      </c>
      <c r="S39" s="10">
        <v>32.94</v>
      </c>
      <c r="T39" s="10">
        <v>3.0</v>
      </c>
      <c r="U39" s="10">
        <v>13.53</v>
      </c>
      <c r="V39" s="97" t="str">
        <f t="array" ref="V39">ROUND(AVERAGEIF({ IFERROR(XLOOKUP(B39, 'Surfer Stats - Event 7'!B:B, 'Surfer Stats - Event 7'!Z:Z), ""), IFERROR(XLOOKUP(B39, 'Surfer Stats - Event 8'!B:B, 'Surfer Stats - Event 8'!Y:Y), ""), IFERROR(XLOOKUP(B39, 'Surfer Stats - Event 6'!B:B, 'Surfer Stats - Event 6'!Y:Y), "") }, "&lt;&gt;"),2)</f>
        <v>#DIV/0!</v>
      </c>
      <c r="W39" s="3" t="str">
        <f t="array" ref="W39">XLOOKUP(B39, 'Surfer Stats - Event 8'!B:B, 'Surfer Stats - Event 8'!Y:Y)</f>
        <v/>
      </c>
      <c r="X39" s="83">
        <v>1750.0</v>
      </c>
      <c r="Y39" s="3" t="str">
        <f t="array" ref="Y39">XLOOKUP(B39,'Event 9 Assist'!A:A, 'Event 9 Assist'!E:E)</f>
        <v/>
      </c>
    </row>
    <row r="40">
      <c r="A40" s="51">
        <v>0.0</v>
      </c>
      <c r="B40" s="93" t="s">
        <v>46</v>
      </c>
      <c r="C40" s="3" t="str">
        <f t="array" ref="C40">XLOOKUP(B40, 'Surfer Stats - Event 4'!B:B, 'Surfer Stats - Event 4'!D:D)</f>
        <v>Regular</v>
      </c>
      <c r="D40" s="3">
        <f t="shared" si="1"/>
        <v>9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"9" )</f>
        <v>0</v>
      </c>
      <c r="K40" s="3">
        <f t="shared" si="2"/>
        <v>11.25</v>
      </c>
      <c r="L40" s="3">
        <f t="shared" si="3"/>
        <v>11.48</v>
      </c>
      <c r="M40" s="10">
        <v>34.45</v>
      </c>
      <c r="N40" s="10">
        <v>3.0</v>
      </c>
      <c r="O40" s="3">
        <f t="shared" si="4"/>
        <v>11.3</v>
      </c>
      <c r="P40" s="10">
        <v>33.89</v>
      </c>
      <c r="Q40" s="10">
        <v>3.0</v>
      </c>
      <c r="R40" s="3">
        <f t="shared" si="5"/>
        <v>10.98</v>
      </c>
      <c r="S40" s="10">
        <v>32.94</v>
      </c>
      <c r="T40" s="10">
        <v>3.0</v>
      </c>
      <c r="U40" s="10">
        <v>13.53</v>
      </c>
      <c r="V40" s="97" t="str">
        <f t="array" ref="V40">ROUND(AVERAGEIF({ IFERROR(XLOOKUP(B40, 'Surfer Stats - Event 7'!B:B, 'Surfer Stats - Event 7'!Z:Z), ""), IFERROR(XLOOKUP(B40, 'Surfer Stats - Event 8'!B:B, 'Surfer Stats - Event 8'!Y:Y), ""), IFERROR(XLOOKUP(B40, 'Surfer Stats - Event 6'!B:B, 'Surfer Stats - Event 6'!Y:Y), "") }, "&lt;&gt;"),2)</f>
        <v>#DIV/0!</v>
      </c>
      <c r="W40" s="3" t="str">
        <f t="array" ref="W40">XLOOKUP(B40, 'Surfer Stats - Event 8'!B:B, 'Surfer Stats - Event 8'!Y:Y)</f>
        <v/>
      </c>
      <c r="X40" s="83">
        <v>1750.0</v>
      </c>
      <c r="Y40" s="3" t="str">
        <f t="array" ref="Y40">XLOOKUP(B40,'Event 9 Assist'!A:A, 'Event 9 Assist'!E:E)</f>
        <v/>
      </c>
    </row>
    <row r="41">
      <c r="A41" s="51">
        <v>0.0</v>
      </c>
      <c r="B41" s="82" t="s">
        <v>173</v>
      </c>
      <c r="C41" s="10" t="s">
        <v>247</v>
      </c>
      <c r="D41" s="3">
        <f t="shared" si="1"/>
        <v>9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"9" )</f>
        <v>0</v>
      </c>
      <c r="K41" s="3">
        <f t="shared" si="2"/>
        <v>11.25</v>
      </c>
      <c r="L41" s="3">
        <f t="shared" si="3"/>
        <v>11.48</v>
      </c>
      <c r="M41" s="10">
        <v>34.45</v>
      </c>
      <c r="N41" s="10">
        <v>3.0</v>
      </c>
      <c r="O41" s="3">
        <f t="shared" si="4"/>
        <v>11.3</v>
      </c>
      <c r="P41" s="10">
        <v>33.89</v>
      </c>
      <c r="Q41" s="10">
        <v>3.0</v>
      </c>
      <c r="R41" s="3">
        <f t="shared" si="5"/>
        <v>10.98</v>
      </c>
      <c r="S41" s="10">
        <v>32.94</v>
      </c>
      <c r="T41" s="10">
        <v>3.0</v>
      </c>
      <c r="U41" s="10">
        <v>13.53</v>
      </c>
      <c r="V41" s="97">
        <f t="array" ref="V41">ROUND(AVERAGEIF({ IFERROR(XLOOKUP(B41, 'Surfer Stats - Event 7'!B:B, 'Surfer Stats - Event 7'!Z:Z), ""), IFERROR(XLOOKUP(B41, 'Surfer Stats - Event 8'!B:B, 'Surfer Stats - Event 8'!Y:Y), ""), IFERROR(XLOOKUP(B41, 'Surfer Stats - Event 6'!B:B, 'Surfer Stats - Event 6'!Y:Y), "") }, "&lt;&gt;"),2)</f>
        <v>40.09</v>
      </c>
      <c r="W41" s="3">
        <f t="array" ref="W41">XLOOKUP(B41, 'Surfer Stats - Event 8'!B:B, 'Surfer Stats - Event 8'!Y:Y)</f>
        <v>40.09</v>
      </c>
      <c r="X41" s="91">
        <v>1750.0</v>
      </c>
      <c r="Y41" s="3" t="str">
        <f t="array" ref="Y41">XLOOKUP(B41,'Event 9 Assist'!A:A, 'Event 9 Assist'!E:E)</f>
        <v/>
      </c>
    </row>
    <row r="42">
      <c r="A42" s="51">
        <v>0.0</v>
      </c>
      <c r="B42" s="82" t="s">
        <v>116</v>
      </c>
      <c r="C42" s="10" t="s">
        <v>244</v>
      </c>
      <c r="D42" s="3">
        <f t="shared" si="1"/>
        <v>9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"9" )</f>
        <v>0</v>
      </c>
      <c r="K42" s="3">
        <f t="shared" si="2"/>
        <v>11.25</v>
      </c>
      <c r="L42" s="3">
        <f t="shared" si="3"/>
        <v>11.48</v>
      </c>
      <c r="M42" s="10">
        <v>34.45</v>
      </c>
      <c r="N42" s="10">
        <v>3.0</v>
      </c>
      <c r="O42" s="3">
        <f t="shared" si="4"/>
        <v>11.3</v>
      </c>
      <c r="P42" s="10">
        <v>33.89</v>
      </c>
      <c r="Q42" s="10">
        <v>3.0</v>
      </c>
      <c r="R42" s="3">
        <f t="shared" si="5"/>
        <v>10.98</v>
      </c>
      <c r="S42" s="10">
        <v>32.94</v>
      </c>
      <c r="T42" s="10">
        <v>3.0</v>
      </c>
      <c r="U42" s="10">
        <v>13.53</v>
      </c>
      <c r="V42" s="97">
        <f t="array" ref="V42">ROUND(AVERAGEIF({ IFERROR(XLOOKUP(B42, 'Surfer Stats - Event 7'!B:B, 'Surfer Stats - Event 7'!Z:Z), ""), IFERROR(XLOOKUP(B42, 'Surfer Stats - Event 8'!B:B, 'Surfer Stats - Event 8'!Y:Y), ""), IFERROR(XLOOKUP(B42, 'Surfer Stats - Event 6'!B:B, 'Surfer Stats - Event 6'!Y:Y), "") }, "&lt;&gt;"),2)</f>
        <v>41.46</v>
      </c>
      <c r="W42" s="3">
        <f t="array" ref="W42">XLOOKUP(B42, 'Surfer Stats - Event 8'!B:B, 'Surfer Stats - Event 8'!Y:Y)</f>
        <v>41.46</v>
      </c>
      <c r="X42" s="91">
        <v>1750.0</v>
      </c>
      <c r="Y42" s="3" t="str">
        <f t="array" ref="Y42">XLOOKUP(B42,'Event 9 Assist'!A:A, 'Event 9 Assist'!E:E)</f>
        <v/>
      </c>
    </row>
    <row r="43">
      <c r="A43" s="51">
        <v>0.0</v>
      </c>
      <c r="B43" s="82" t="s">
        <v>168</v>
      </c>
      <c r="C43" s="3" t="str">
        <f t="array" ref="C43">XLOOKUP(B43, 'Surfer Stats - Event 4'!B:B, 'Surfer Stats - Event 4'!D:D)</f>
        <v>Regular</v>
      </c>
      <c r="D43" s="3">
        <f t="shared" si="1"/>
        <v>9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"9" )</f>
        <v>0</v>
      </c>
      <c r="K43" s="3">
        <f t="shared" si="2"/>
        <v>11.25</v>
      </c>
      <c r="L43" s="3">
        <f t="shared" si="3"/>
        <v>11.48</v>
      </c>
      <c r="M43" s="10">
        <v>34.45</v>
      </c>
      <c r="N43" s="10">
        <v>3.0</v>
      </c>
      <c r="O43" s="3">
        <f t="shared" si="4"/>
        <v>11.3</v>
      </c>
      <c r="P43" s="10">
        <v>33.89</v>
      </c>
      <c r="Q43" s="10">
        <v>3.0</v>
      </c>
      <c r="R43" s="3">
        <f t="shared" si="5"/>
        <v>10.98</v>
      </c>
      <c r="S43" s="10">
        <v>32.94</v>
      </c>
      <c r="T43" s="10">
        <v>3.0</v>
      </c>
      <c r="U43" s="10">
        <v>13.53</v>
      </c>
      <c r="V43" s="97" t="str">
        <f t="array" ref="V43">ROUND(AVERAGEIF({ IFERROR(XLOOKUP(B43, 'Surfer Stats - Event 7'!B:B, 'Surfer Stats - Event 7'!Z:Z), ""), IFERROR(XLOOKUP(B43, 'Surfer Stats - Event 8'!B:B, 'Surfer Stats - Event 8'!Y:Y), ""), IFERROR(XLOOKUP(B43, 'Surfer Stats - Event 6'!B:B, 'Surfer Stats - Event 6'!Y:Y), "") }, "&lt;&gt;"),2)</f>
        <v>#DIV/0!</v>
      </c>
      <c r="W43" s="3" t="str">
        <f t="array" ref="W43">XLOOKUP(B43, 'Surfer Stats - Event 8'!B:B, 'Surfer Stats - Event 8'!Y:Y)</f>
        <v/>
      </c>
      <c r="X43" s="91">
        <f>0+500+500</f>
        <v>1000</v>
      </c>
      <c r="Y43" s="3" t="str">
        <f t="array" ref="Y43">XLOOKUP(B43,'Event 9 Assist'!A:A, 'Event 9 Assist'!E:E)</f>
        <v/>
      </c>
    </row>
    <row r="44">
      <c r="A44" s="51">
        <v>0.0</v>
      </c>
      <c r="B44" s="82" t="s">
        <v>144</v>
      </c>
      <c r="C44" s="3" t="str">
        <f t="array" ref="C44">XLOOKUP(B44, 'Surfer Stats - Event 4'!B:B, 'Surfer Stats - Event 4'!D:D)</f>
        <v>Regular</v>
      </c>
      <c r="D44" s="3">
        <f t="shared" si="1"/>
        <v>9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"9" )</f>
        <v>0</v>
      </c>
      <c r="K44" s="3">
        <f t="shared" si="2"/>
        <v>11.25</v>
      </c>
      <c r="L44" s="3">
        <f t="shared" si="3"/>
        <v>11.48</v>
      </c>
      <c r="M44" s="10">
        <v>34.45</v>
      </c>
      <c r="N44" s="10">
        <v>3.0</v>
      </c>
      <c r="O44" s="3">
        <f t="shared" si="4"/>
        <v>11.3</v>
      </c>
      <c r="P44" s="10">
        <v>33.89</v>
      </c>
      <c r="Q44" s="10">
        <v>3.0</v>
      </c>
      <c r="R44" s="3">
        <f t="shared" si="5"/>
        <v>10.98</v>
      </c>
      <c r="S44" s="10">
        <v>32.94</v>
      </c>
      <c r="T44" s="10">
        <v>3.0</v>
      </c>
      <c r="U44" s="10">
        <v>13.53</v>
      </c>
      <c r="V44" s="97" t="str">
        <f t="array" ref="V44">ROUND(AVERAGEIF({ IFERROR(XLOOKUP(B44, 'Surfer Stats - Event 7'!B:B, 'Surfer Stats - Event 7'!Z:Z), ""), IFERROR(XLOOKUP(B44, 'Surfer Stats - Event 8'!B:B, 'Surfer Stats - Event 8'!Y:Y), ""), IFERROR(XLOOKUP(B44, 'Surfer Stats - Event 6'!B:B, 'Surfer Stats - Event 6'!Y:Y), "") }, "&lt;&gt;"),2)</f>
        <v>#DIV/0!</v>
      </c>
      <c r="W44" s="3" t="str">
        <f t="array" ref="W44">XLOOKUP(B44, 'Surfer Stats - Event 8'!B:B, 'Surfer Stats - Event 8'!Y:Y)</f>
        <v/>
      </c>
      <c r="X44" s="83">
        <v>500.0</v>
      </c>
      <c r="Y44" s="3" t="str">
        <f t="array" ref="Y44">XLOOKUP(B44,'Event 9 Assist'!A:A, 'Event 9 Assist'!E:E)</f>
        <v/>
      </c>
    </row>
    <row r="45">
      <c r="A45" s="51">
        <v>0.0</v>
      </c>
      <c r="B45" s="82" t="s">
        <v>143</v>
      </c>
      <c r="C45" s="3" t="str">
        <f t="array" ref="C45">XLOOKUP(B45, 'Surfer Stats - Event 4'!B:B, 'Surfer Stats - Event 4'!D:D)</f>
        <v>Regular</v>
      </c>
      <c r="D45" s="3">
        <f t="shared" si="1"/>
        <v>9</v>
      </c>
      <c r="E45" s="10">
        <v>0.0</v>
      </c>
      <c r="F45" s="10">
        <v>0.0</v>
      </c>
      <c r="G45" s="10">
        <v>99.0</v>
      </c>
      <c r="H45" s="10">
        <v>99.0</v>
      </c>
      <c r="I45" s="10">
        <v>99.0</v>
      </c>
      <c r="J45" s="3">
        <f>COUNTIFS( historical_events_FACT!J:J, "&gt;16", historical_events_FACT!G:G, B45,historical_events_FACT!C:C, "9" )</f>
        <v>0</v>
      </c>
      <c r="K45" s="3">
        <f t="shared" si="2"/>
        <v>11.25</v>
      </c>
      <c r="L45" s="3">
        <f t="shared" si="3"/>
        <v>11.48</v>
      </c>
      <c r="M45" s="10">
        <v>34.45</v>
      </c>
      <c r="N45" s="10">
        <v>3.0</v>
      </c>
      <c r="O45" s="3">
        <f t="shared" si="4"/>
        <v>11.3</v>
      </c>
      <c r="P45" s="10">
        <v>33.89</v>
      </c>
      <c r="Q45" s="10">
        <v>3.0</v>
      </c>
      <c r="R45" s="3">
        <f t="shared" si="5"/>
        <v>10.98</v>
      </c>
      <c r="S45" s="10">
        <v>32.94</v>
      </c>
      <c r="T45" s="10">
        <v>3.0</v>
      </c>
      <c r="U45" s="10">
        <v>13.53</v>
      </c>
      <c r="V45" s="97" t="str">
        <f t="array" ref="V45">ROUND(AVERAGEIF({ IFERROR(XLOOKUP(B45, 'Surfer Stats - Event 7'!B:B, 'Surfer Stats - Event 7'!Z:Z), ""), IFERROR(XLOOKUP(B45, 'Surfer Stats - Event 8'!B:B, 'Surfer Stats - Event 8'!Y:Y), ""), IFERROR(XLOOKUP(B45, 'Surfer Stats - Event 6'!B:B, 'Surfer Stats - Event 6'!Y:Y), "") }, "&lt;&gt;"),2)</f>
        <v>#DIV/0!</v>
      </c>
      <c r="W45" s="3" t="str">
        <f t="array" ref="W45">XLOOKUP(B45, 'Surfer Stats - Event 8'!B:B, 'Surfer Stats - Event 8'!Y:Y)</f>
        <v/>
      </c>
      <c r="X45" s="83">
        <v>500.0</v>
      </c>
      <c r="Y45" s="3" t="str">
        <f t="array" ref="Y45">XLOOKUP(B45,'Event 9 Assist'!A:A, 'Event 9 Assist'!E:E)</f>
        <v/>
      </c>
    </row>
    <row r="46">
      <c r="A46" s="51">
        <v>0.0</v>
      </c>
      <c r="B46" s="82" t="s">
        <v>82</v>
      </c>
      <c r="C46" s="10" t="s">
        <v>247</v>
      </c>
      <c r="D46" s="3">
        <f t="shared" si="1"/>
        <v>9</v>
      </c>
      <c r="E46" s="10">
        <v>0.0</v>
      </c>
      <c r="F46" s="10">
        <v>0.0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"9" )</f>
        <v>0</v>
      </c>
      <c r="K46" s="3">
        <f t="shared" si="2"/>
        <v>11.25</v>
      </c>
      <c r="L46" s="3">
        <f t="shared" si="3"/>
        <v>11.48</v>
      </c>
      <c r="M46" s="10">
        <v>34.45</v>
      </c>
      <c r="N46" s="10">
        <v>3.0</v>
      </c>
      <c r="O46" s="3">
        <f t="shared" si="4"/>
        <v>11.3</v>
      </c>
      <c r="P46" s="10">
        <v>33.89</v>
      </c>
      <c r="Q46" s="10">
        <v>3.0</v>
      </c>
      <c r="R46" s="3">
        <f t="shared" si="5"/>
        <v>10.98</v>
      </c>
      <c r="S46" s="10">
        <v>32.94</v>
      </c>
      <c r="T46" s="10">
        <v>3.0</v>
      </c>
      <c r="U46" s="10">
        <v>13.53</v>
      </c>
      <c r="V46" s="97" t="str">
        <f t="array" ref="V46">ROUND(AVERAGEIF({ IFERROR(XLOOKUP(B46, 'Surfer Stats - Event 7'!B:B, 'Surfer Stats - Event 7'!Z:Z), ""), IFERROR(XLOOKUP(B46, 'Surfer Stats - Event 8'!B:B, 'Surfer Stats - Event 8'!Y:Y), ""), IFERROR(XLOOKUP(B46, 'Surfer Stats - Event 6'!B:B, 'Surfer Stats - Event 6'!Y:Y), "") }, "&lt;&gt;"),2)</f>
        <v>#DIV/0!</v>
      </c>
      <c r="W46" s="3" t="str">
        <f t="array" ref="W46">XLOOKUP(B46, 'Surfer Stats - Event 8'!B:B, 'Surfer Stats - Event 8'!Y:Y)</f>
        <v/>
      </c>
      <c r="X46" s="91">
        <v>500.0</v>
      </c>
      <c r="Y46" s="3" t="str">
        <f t="array" ref="Y46">XLOOKUP(B46,'Event 9 Assist'!A:A, 'Event 9 Assist'!E:E)</f>
        <v/>
      </c>
    </row>
    <row r="47">
      <c r="A47" s="51">
        <v>0.0</v>
      </c>
      <c r="B47" s="82" t="s">
        <v>110</v>
      </c>
      <c r="C47" s="10" t="s">
        <v>244</v>
      </c>
      <c r="D47" s="3">
        <f t="shared" si="1"/>
        <v>9</v>
      </c>
      <c r="E47" s="10">
        <v>0.0</v>
      </c>
      <c r="F47" s="10">
        <v>0.0</v>
      </c>
      <c r="G47" s="10">
        <v>99.0</v>
      </c>
      <c r="H47" s="10">
        <v>99.0</v>
      </c>
      <c r="I47" s="10">
        <v>99.0</v>
      </c>
      <c r="J47" s="3">
        <f>COUNTIFS( historical_events_FACT!J:J, "&gt;16", historical_events_FACT!G:G, B47,historical_events_FACT!C:C, "9" )</f>
        <v>0</v>
      </c>
      <c r="K47" s="3">
        <f t="shared" si="2"/>
        <v>11.25</v>
      </c>
      <c r="L47" s="3">
        <f t="shared" si="3"/>
        <v>11.48</v>
      </c>
      <c r="M47" s="10">
        <v>34.45</v>
      </c>
      <c r="N47" s="10">
        <v>3.0</v>
      </c>
      <c r="O47" s="3">
        <f t="shared" si="4"/>
        <v>11.3</v>
      </c>
      <c r="P47" s="10">
        <v>33.89</v>
      </c>
      <c r="Q47" s="10">
        <v>3.0</v>
      </c>
      <c r="R47" s="3">
        <f t="shared" si="5"/>
        <v>10.98</v>
      </c>
      <c r="S47" s="10">
        <v>32.94</v>
      </c>
      <c r="T47" s="10">
        <v>3.0</v>
      </c>
      <c r="U47" s="10">
        <v>13.53</v>
      </c>
      <c r="V47" s="97">
        <f t="array" ref="V47">ROUND(AVERAGEIF({ IFERROR(XLOOKUP(B47, 'Surfer Stats - Event 7'!B:B, 'Surfer Stats - Event 7'!Z:Z), ""), IFERROR(XLOOKUP(B47, 'Surfer Stats - Event 8'!B:B, 'Surfer Stats - Event 8'!Y:Y), ""), IFERROR(XLOOKUP(B47, 'Surfer Stats - Event 6'!B:B, 'Surfer Stats - Event 6'!Y:Y), "") }, "&lt;&gt;"),2)</f>
        <v>24.07</v>
      </c>
      <c r="W47" s="3" t="str">
        <f t="array" ref="W47">XLOOKUP(B47, 'Surfer Stats - Event 8'!B:B, 'Surfer Stats - Event 8'!Y:Y)</f>
        <v/>
      </c>
      <c r="X47" s="91">
        <v>500.0</v>
      </c>
      <c r="Y47" s="3" t="str">
        <f t="array" ref="Y47">XLOOKUP(B47,'Event 9 Assist'!A:A, 'Event 9 Assist'!E:E)</f>
        <v/>
      </c>
    </row>
    <row r="48">
      <c r="A48" s="51">
        <v>0.0</v>
      </c>
      <c r="B48" s="82" t="s">
        <v>286</v>
      </c>
      <c r="C48" s="10" t="s">
        <v>244</v>
      </c>
      <c r="D48" s="3">
        <f t="shared" si="1"/>
        <v>9</v>
      </c>
      <c r="E48" s="10">
        <v>0.0</v>
      </c>
      <c r="F48" s="10">
        <v>0.0</v>
      </c>
      <c r="G48" s="10">
        <v>99.0</v>
      </c>
      <c r="H48" s="10">
        <v>99.0</v>
      </c>
      <c r="I48" s="10">
        <v>99.0</v>
      </c>
      <c r="J48" s="3">
        <f>COUNTIFS( historical_events_FACT!J:J, "&gt;16", historical_events_FACT!G:G, B48,historical_events_FACT!C:C, "9" )</f>
        <v>0</v>
      </c>
      <c r="K48" s="3">
        <f t="shared" si="2"/>
        <v>11.25</v>
      </c>
      <c r="L48" s="3">
        <f t="shared" si="3"/>
        <v>11.48</v>
      </c>
      <c r="M48" s="10">
        <v>34.45</v>
      </c>
      <c r="N48" s="10">
        <v>3.0</v>
      </c>
      <c r="O48" s="3">
        <f t="shared" si="4"/>
        <v>11.3</v>
      </c>
      <c r="P48" s="10">
        <v>33.89</v>
      </c>
      <c r="Q48" s="10">
        <v>3.0</v>
      </c>
      <c r="R48" s="3">
        <f t="shared" si="5"/>
        <v>10.98</v>
      </c>
      <c r="S48" s="10">
        <v>32.94</v>
      </c>
      <c r="T48" s="10">
        <v>3.0</v>
      </c>
      <c r="U48" s="10">
        <v>13.53</v>
      </c>
      <c r="V48" s="97">
        <f t="array" ref="V48">ROUND(AVERAGEIF({ IFERROR(XLOOKUP(B48, 'Surfer Stats - Event 7'!B:B, 'Surfer Stats - Event 7'!Z:Z), ""), IFERROR(XLOOKUP(B48, 'Surfer Stats - Event 8'!B:B, 'Surfer Stats - Event 8'!Y:Y), ""), IFERROR(XLOOKUP(B48, 'Surfer Stats - Event 6'!B:B, 'Surfer Stats - Event 6'!Y:Y), "") }, "&lt;&gt;"),2)</f>
        <v>26.3</v>
      </c>
      <c r="W48" s="3" t="str">
        <f t="array" ref="W48">XLOOKUP(B48, 'Surfer Stats - Event 8'!B:B, 'Surfer Stats - Event 8'!Y:Y)</f>
        <v/>
      </c>
      <c r="X48" s="91">
        <v>500.0</v>
      </c>
      <c r="Y48" s="3" t="str">
        <f t="array" ref="Y48">XLOOKUP(B48,'Event 9 Assist'!A:A, 'Event 9 Assist'!E:E)</f>
        <v/>
      </c>
    </row>
    <row r="49">
      <c r="A49" s="51">
        <v>0.0</v>
      </c>
      <c r="B49" s="82" t="s">
        <v>107</v>
      </c>
      <c r="C49" s="10" t="s">
        <v>244</v>
      </c>
      <c r="D49" s="3">
        <f t="shared" si="1"/>
        <v>7</v>
      </c>
      <c r="E49" s="10">
        <v>0.0</v>
      </c>
      <c r="F49" s="10">
        <v>0.0</v>
      </c>
      <c r="G49" s="10">
        <v>99.0</v>
      </c>
      <c r="H49" s="10">
        <v>99.0</v>
      </c>
      <c r="I49" s="10">
        <v>99.0</v>
      </c>
      <c r="J49" s="3">
        <f>COUNTIFS( historical_events_FACT!J:J, "&gt;16", historical_events_FACT!G:G, B49,historical_events_FACT!C:C, "9" )</f>
        <v>0</v>
      </c>
      <c r="K49" s="3">
        <f t="shared" si="2"/>
        <v>8.31</v>
      </c>
      <c r="L49" s="3">
        <f t="shared" si="3"/>
        <v>8.82</v>
      </c>
      <c r="M49" s="3">
        <f>SUMIFS( '2014Data'!I:I, '2014Data'!F:F, B49,'2014Data'!B:B, "9" )</f>
        <v>17.63</v>
      </c>
      <c r="N49" s="3">
        <f>COUNTIFS('2014Data'!F:F, B49,'2014Data'!B:B, "9" )</f>
        <v>2</v>
      </c>
      <c r="O49" s="3">
        <f t="shared" si="4"/>
        <v>3.8</v>
      </c>
      <c r="P49" s="3">
        <f>SUMIFS( historical_events_FACT!J:J, historical_events_FACT!G:G, B49,historical_events_FACT!B:B, "2015",historical_events_FACT!C:C, "9" )</f>
        <v>7.59</v>
      </c>
      <c r="Q49" s="3">
        <f>COUNTIFS(historical_events_FACT!G:G, B49,historical_events_FACT!B:B, "2015",historical_events_FACT!C:C, "9" )</f>
        <v>2</v>
      </c>
      <c r="R49" s="3">
        <f t="shared" si="5"/>
        <v>10.98</v>
      </c>
      <c r="S49" s="10">
        <v>32.94</v>
      </c>
      <c r="T49" s="10">
        <v>3.0</v>
      </c>
      <c r="U49" s="3">
        <f>MAXIFS( historical_events_FACT!J:J, historical_events_FACT!G:G, B49,historical_events_FACT!C:C, "9" )</f>
        <v>9.2</v>
      </c>
      <c r="V49" s="97">
        <f t="array" ref="V49">ROUND(AVERAGEIF({ IFERROR(XLOOKUP(B49, 'Surfer Stats - Event 7'!B:B, 'Surfer Stats - Event 7'!Z:Z), ""), IFERROR(XLOOKUP(B49, 'Surfer Stats - Event 8'!B:B, 'Surfer Stats - Event 8'!Y:Y), ""), IFERROR(XLOOKUP(B49, 'Surfer Stats - Event 6'!B:B, 'Surfer Stats - Event 6'!Y:Y), "") }, "&lt;&gt;"),2)</f>
        <v>21.47</v>
      </c>
      <c r="W49" s="3" t="str">
        <f t="array" ref="W49">XLOOKUP(B49, 'Surfer Stats - Event 8'!B:B, 'Surfer Stats - Event 8'!Y:Y)</f>
        <v/>
      </c>
      <c r="X49" s="91">
        <v>500.0</v>
      </c>
      <c r="Y49" s="3" t="str">
        <f t="array" ref="Y49">XLOOKUP(B49,'Event 9 Assist'!A:A, 'Event 9 Assist'!E:E)</f>
        <v/>
      </c>
    </row>
    <row r="50">
      <c r="A50" s="51">
        <v>0.0</v>
      </c>
      <c r="B50" s="82" t="s">
        <v>115</v>
      </c>
      <c r="C50" s="10" t="s">
        <v>247</v>
      </c>
      <c r="D50" s="3">
        <f t="shared" si="1"/>
        <v>9</v>
      </c>
      <c r="E50" s="10">
        <v>0.0</v>
      </c>
      <c r="F50" s="10">
        <v>0.0</v>
      </c>
      <c r="G50" s="10">
        <v>99.0</v>
      </c>
      <c r="H50" s="10">
        <v>99.0</v>
      </c>
      <c r="I50" s="10">
        <v>99.0</v>
      </c>
      <c r="J50" s="3">
        <f>COUNTIFS( historical_events_FACT!J:J, "&gt;16", historical_events_FACT!G:G, B50,historical_events_FACT!C:C, "9" )</f>
        <v>0</v>
      </c>
      <c r="K50" s="3">
        <f t="shared" si="2"/>
        <v>11.25</v>
      </c>
      <c r="L50" s="3">
        <f t="shared" si="3"/>
        <v>11.48</v>
      </c>
      <c r="M50" s="10">
        <v>34.45</v>
      </c>
      <c r="N50" s="10">
        <v>3.0</v>
      </c>
      <c r="O50" s="3">
        <f t="shared" si="4"/>
        <v>11.3</v>
      </c>
      <c r="P50" s="10">
        <v>33.89</v>
      </c>
      <c r="Q50" s="10">
        <v>3.0</v>
      </c>
      <c r="R50" s="3">
        <f t="shared" si="5"/>
        <v>10.98</v>
      </c>
      <c r="S50" s="10">
        <v>32.94</v>
      </c>
      <c r="T50" s="10">
        <v>3.0</v>
      </c>
      <c r="U50" s="10">
        <v>13.53</v>
      </c>
      <c r="V50" s="97">
        <f t="array" ref="V50">ROUND(AVERAGEIF({ IFERROR(XLOOKUP(B50, 'Surfer Stats - Event 7'!B:B, 'Surfer Stats - Event 7'!Z:Z), ""), IFERROR(XLOOKUP(B50, 'Surfer Stats - Event 8'!B:B, 'Surfer Stats - Event 8'!Y:Y), ""), IFERROR(XLOOKUP(B50, 'Surfer Stats - Event 6'!B:B, 'Surfer Stats - Event 6'!Y:Y), "") }, "&lt;&gt;"),2)</f>
        <v>16.73</v>
      </c>
      <c r="W50" s="3" t="str">
        <f t="array" ref="W50">XLOOKUP(B50, 'Surfer Stats - Event 8'!B:B, 'Surfer Stats - Event 8'!Y:Y)</f>
        <v/>
      </c>
      <c r="X50" s="91">
        <v>500.0</v>
      </c>
      <c r="Y50" s="3" t="str">
        <f t="array" ref="Y50">XLOOKUP(B50,'Event 9 Assist'!A:A, 'Event 9 Assist'!E:E)</f>
        <v/>
      </c>
    </row>
    <row r="51">
      <c r="A51" s="78">
        <v>1.0</v>
      </c>
      <c r="B51" s="66" t="s">
        <v>25</v>
      </c>
      <c r="C51" s="10" t="s">
        <v>244</v>
      </c>
      <c r="D51" s="3">
        <f t="shared" si="1"/>
        <v>13</v>
      </c>
      <c r="E51" s="10">
        <v>0.0</v>
      </c>
      <c r="F51" s="10">
        <v>0.0</v>
      </c>
      <c r="G51" s="10">
        <v>99.0</v>
      </c>
      <c r="H51" s="10">
        <v>1.0</v>
      </c>
      <c r="I51" s="10">
        <v>13.0</v>
      </c>
      <c r="J51" s="3">
        <f>COUNTIFS( historical_events_FACT!J:J, "&gt;16", historical_events_FACT!G:G, B51,historical_events_FACT!C:C, "9" )</f>
        <v>1</v>
      </c>
      <c r="K51" s="3">
        <f t="shared" si="2"/>
        <v>11.91</v>
      </c>
      <c r="L51" s="3">
        <f t="shared" si="3"/>
        <v>11.48</v>
      </c>
      <c r="M51" s="10">
        <v>34.45</v>
      </c>
      <c r="N51" s="10">
        <v>3.0</v>
      </c>
      <c r="O51" s="3">
        <f t="shared" si="4"/>
        <v>9.75</v>
      </c>
      <c r="P51" s="3">
        <f>SUMIFS( historical_events_FACT!J:J, historical_events_FACT!G:G, B51,historical_events_FACT!B:B, "2015",historical_events_FACT!C:C, "9" )</f>
        <v>29.24</v>
      </c>
      <c r="Q51" s="3">
        <f>COUNTIFS(historical_events_FACT!G:G, B51,historical_events_FACT!B:B, "2015",historical_events_FACT!C:C, "9" )</f>
        <v>3</v>
      </c>
      <c r="R51" s="3">
        <f t="shared" si="5"/>
        <v>13.03</v>
      </c>
      <c r="S51" s="3">
        <f>SUMIFS( historical_events_FACT!J:J, historical_events_FACT!G:G, B51,historical_events_FACT!B:B, "2016",historical_events_FACT!C:C, "9" )</f>
        <v>91.18</v>
      </c>
      <c r="T51" s="3">
        <f>COUNTIFS(historical_events_FACT!G:G, B51,historical_events_FACT!B:B, "2016",historical_events_FACT!C:C, "9" )</f>
        <v>7</v>
      </c>
      <c r="U51" s="3">
        <f>MAXIFS( historical_events_FACT!J:J, historical_events_FACT!G:G, B51,historical_events_FACT!C:C, "9" )</f>
        <v>16.94</v>
      </c>
      <c r="V51" s="99">
        <v>28.36</v>
      </c>
      <c r="W51" s="10">
        <v>40.78</v>
      </c>
      <c r="X51" s="51">
        <v>0.0</v>
      </c>
      <c r="Y51" s="3">
        <f t="array" ref="Y51">XLOOKUP(B51,'Event 9 Assist'!A:A, 'Event 9 Assist'!E:E)</f>
        <v>16.27</v>
      </c>
    </row>
    <row r="52">
      <c r="A52" s="78">
        <v>1.0</v>
      </c>
      <c r="B52" s="74" t="s">
        <v>297</v>
      </c>
      <c r="C52" s="10" t="s">
        <v>247</v>
      </c>
      <c r="D52" s="3">
        <f t="shared" si="1"/>
        <v>9</v>
      </c>
      <c r="E52" s="10">
        <v>1.0</v>
      </c>
      <c r="F52" s="10">
        <v>1.0</v>
      </c>
      <c r="G52" s="10">
        <v>99.0</v>
      </c>
      <c r="H52" s="10">
        <v>99.0</v>
      </c>
      <c r="I52" s="10">
        <v>99.0</v>
      </c>
      <c r="J52" s="3">
        <f>COUNTIFS( historical_events_FACT!J:J, "&gt;16", historical_events_FACT!G:G, B52,historical_events_FACT!C:C, "9" )</f>
        <v>0</v>
      </c>
      <c r="K52" s="3">
        <f t="shared" si="2"/>
        <v>11.25</v>
      </c>
      <c r="L52" s="3">
        <f t="shared" si="3"/>
        <v>11.48</v>
      </c>
      <c r="M52" s="10">
        <v>34.45</v>
      </c>
      <c r="N52" s="10">
        <v>3.0</v>
      </c>
      <c r="O52" s="3">
        <f t="shared" si="4"/>
        <v>11.3</v>
      </c>
      <c r="P52" s="10">
        <v>33.89</v>
      </c>
      <c r="Q52" s="10">
        <v>3.0</v>
      </c>
      <c r="R52" s="3">
        <f t="shared" si="5"/>
        <v>10.98</v>
      </c>
      <c r="S52" s="10">
        <v>32.94</v>
      </c>
      <c r="T52" s="10">
        <v>3.0</v>
      </c>
      <c r="U52" s="10">
        <v>13.53</v>
      </c>
      <c r="V52" s="99">
        <v>28.36</v>
      </c>
      <c r="W52" s="10">
        <v>40.78</v>
      </c>
      <c r="X52" s="51">
        <v>0.0</v>
      </c>
      <c r="Y52" s="3">
        <f t="array" ref="Y52">XLOOKUP(B52,'Event 9 Assist'!A:A, 'Event 9 Assist'!E:E)</f>
        <v>61.6</v>
      </c>
    </row>
    <row r="53">
      <c r="A53" s="78"/>
      <c r="B53" s="10"/>
    </row>
    <row r="54">
      <c r="A54" s="78"/>
      <c r="B54" s="10"/>
    </row>
    <row r="55">
      <c r="A55" s="75"/>
      <c r="B55" s="10"/>
    </row>
    <row r="56">
      <c r="A56" s="74"/>
      <c r="B56" s="51"/>
    </row>
    <row r="57">
      <c r="A57" s="74"/>
      <c r="B57" s="51"/>
    </row>
    <row r="58">
      <c r="A58" s="74"/>
      <c r="B58" s="10"/>
    </row>
    <row r="59">
      <c r="A59" s="74"/>
      <c r="B59" s="10"/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26</v>
      </c>
      <c r="B1" s="75">
        <f>23000+1750+1750+5200+5200+6500+6500</f>
        <v>49900</v>
      </c>
      <c r="C1" s="78">
        <v>1.0</v>
      </c>
      <c r="D1" s="75">
        <v>0.0</v>
      </c>
      <c r="E1" s="103">
        <v>89.06</v>
      </c>
    </row>
    <row r="2">
      <c r="A2" s="66" t="s">
        <v>28</v>
      </c>
      <c r="B2" s="75">
        <f>19200+5200+1750+5200+6500+8000+1750</f>
        <v>47600</v>
      </c>
      <c r="C2" s="78">
        <v>1.0</v>
      </c>
      <c r="D2" s="75">
        <v>0.0</v>
      </c>
      <c r="E2" s="103">
        <v>29.1</v>
      </c>
    </row>
    <row r="3">
      <c r="A3" s="66" t="s">
        <v>30</v>
      </c>
      <c r="B3" s="75">
        <f>8750+4000+1750+6500+8000+1750+10000</f>
        <v>40750</v>
      </c>
      <c r="C3" s="78">
        <v>1.0</v>
      </c>
      <c r="D3" s="75">
        <v>0.0</v>
      </c>
      <c r="E3" s="103">
        <v>93.79</v>
      </c>
    </row>
    <row r="4">
      <c r="A4" s="66" t="s">
        <v>57</v>
      </c>
      <c r="B4" s="75">
        <f>19200++5200+1750+4000+5200+500+4000</f>
        <v>39850</v>
      </c>
      <c r="C4" s="78">
        <v>1.0</v>
      </c>
      <c r="D4" s="75">
        <v>0.0</v>
      </c>
      <c r="E4" s="103">
        <v>58.36</v>
      </c>
    </row>
    <row r="5">
      <c r="A5" s="66" t="s">
        <v>34</v>
      </c>
      <c r="B5" s="75">
        <f>10250+6500+10000+5200+4000+500+1750</f>
        <v>38200</v>
      </c>
      <c r="C5" s="78">
        <v>1.0</v>
      </c>
      <c r="D5" s="75">
        <v>0.0</v>
      </c>
      <c r="E5" s="103">
        <v>28.2</v>
      </c>
    </row>
    <row r="6">
      <c r="A6" s="66" t="s">
        <v>31</v>
      </c>
      <c r="B6" s="75">
        <f>7500+4000+5200+6500+10000+4000+500</f>
        <v>37700</v>
      </c>
      <c r="C6" s="78">
        <v>1.0</v>
      </c>
      <c r="D6" s="75">
        <v>0.0</v>
      </c>
      <c r="E6" s="103">
        <v>21.36</v>
      </c>
    </row>
    <row r="7">
      <c r="A7" s="66" t="s">
        <v>42</v>
      </c>
      <c r="B7" s="75">
        <f>14400+10000+1750+1750+1750+5200+1750</f>
        <v>36600</v>
      </c>
      <c r="C7" s="78">
        <v>1.0</v>
      </c>
      <c r="D7" s="75">
        <v>0.0</v>
      </c>
      <c r="E7" s="103">
        <v>36.91</v>
      </c>
    </row>
    <row r="8">
      <c r="A8" s="66" t="s">
        <v>33</v>
      </c>
      <c r="B8" s="75">
        <f>12200+1750+500+10000+500+10000+500</f>
        <v>35450</v>
      </c>
      <c r="C8" s="78">
        <v>1.0</v>
      </c>
      <c r="D8" s="78">
        <v>0.0</v>
      </c>
      <c r="E8" s="103">
        <v>19.93</v>
      </c>
    </row>
    <row r="9">
      <c r="A9" s="66" t="s">
        <v>39</v>
      </c>
      <c r="B9" s="75">
        <f>10950+5200+6500+1750+1750+500+5200</f>
        <v>31850</v>
      </c>
      <c r="C9" s="78">
        <v>1.0</v>
      </c>
      <c r="D9" s="78">
        <v>0.0</v>
      </c>
      <c r="E9" s="104">
        <v>55.57</v>
      </c>
    </row>
    <row r="10">
      <c r="A10" s="66" t="s">
        <v>32</v>
      </c>
      <c r="B10" s="75">
        <f>13750+500+1750+500+6500+500+6500</f>
        <v>30000</v>
      </c>
      <c r="C10" s="78">
        <v>1.0</v>
      </c>
      <c r="D10" s="75">
        <v>0.0</v>
      </c>
      <c r="E10" s="104">
        <v>88.07</v>
      </c>
    </row>
    <row r="11">
      <c r="A11" s="66" t="s">
        <v>38</v>
      </c>
      <c r="B11" s="75">
        <f>9750+1750+4000+500+1750+4000+8000</f>
        <v>29750</v>
      </c>
      <c r="C11" s="78">
        <v>1.0</v>
      </c>
      <c r="D11" s="78">
        <v>0.0</v>
      </c>
      <c r="E11" s="104">
        <v>92.03</v>
      </c>
    </row>
    <row r="12">
      <c r="A12" s="66" t="s">
        <v>41</v>
      </c>
      <c r="B12" s="75">
        <f>7450+5200+1750+5200+1750+1750+5200</f>
        <v>28300</v>
      </c>
      <c r="C12" s="78">
        <v>1.0</v>
      </c>
      <c r="D12" s="78">
        <v>0.0</v>
      </c>
      <c r="E12" s="104">
        <v>88.11</v>
      </c>
    </row>
    <row r="13">
      <c r="A13" s="66" t="s">
        <v>64</v>
      </c>
      <c r="B13" s="75">
        <f>7450+1750+1750+8000+500+5200+1750</f>
        <v>26400</v>
      </c>
      <c r="C13" s="78">
        <v>1.0</v>
      </c>
      <c r="D13" s="75">
        <v>0.0</v>
      </c>
      <c r="E13" s="104">
        <v>37.02</v>
      </c>
    </row>
    <row r="14">
      <c r="A14" s="66" t="s">
        <v>47</v>
      </c>
      <c r="B14" s="75">
        <f>4000+8000+500+500+4000+6500+1750</f>
        <v>25250</v>
      </c>
      <c r="C14" s="78">
        <v>1.0</v>
      </c>
      <c r="D14" s="75">
        <v>0.0</v>
      </c>
      <c r="E14" s="104">
        <v>28.87</v>
      </c>
    </row>
    <row r="15">
      <c r="A15" s="66" t="s">
        <v>61</v>
      </c>
      <c r="B15" s="75">
        <f>8700+1750+8000+1750+4000+500+500</f>
        <v>25200</v>
      </c>
      <c r="C15" s="78">
        <v>1.0</v>
      </c>
      <c r="D15" s="78">
        <v>0.0</v>
      </c>
      <c r="E15" s="104">
        <v>22.44</v>
      </c>
    </row>
    <row r="16">
      <c r="A16" s="66" t="s">
        <v>65</v>
      </c>
      <c r="B16" s="75">
        <f>2750+500+5200+4000+5200+1750+4000</f>
        <v>23400</v>
      </c>
      <c r="C16" s="78">
        <v>1.0</v>
      </c>
      <c r="D16" s="75">
        <v>0.0</v>
      </c>
      <c r="E16" s="104">
        <v>52.67</v>
      </c>
    </row>
    <row r="17">
      <c r="A17" s="66" t="s">
        <v>27</v>
      </c>
      <c r="B17" s="75">
        <f>7450+500+6500+4000+1750+500+1750</f>
        <v>22450</v>
      </c>
      <c r="C17" s="78">
        <v>1.0</v>
      </c>
      <c r="D17" s="75">
        <v>0.0</v>
      </c>
      <c r="E17" s="104">
        <v>28.9</v>
      </c>
    </row>
    <row r="18">
      <c r="A18" s="66" t="s">
        <v>50</v>
      </c>
      <c r="B18" s="75">
        <f>7500+1750+1750+1750+1750+5200+1750</f>
        <v>21450</v>
      </c>
      <c r="C18" s="78">
        <v>1.0</v>
      </c>
      <c r="D18" s="75">
        <v>0.0</v>
      </c>
      <c r="E18" s="104">
        <v>41.6</v>
      </c>
    </row>
    <row r="19">
      <c r="A19" s="66" t="s">
        <v>40</v>
      </c>
      <c r="B19" s="75">
        <f>11500+1750+500+1750+500+500+4000</f>
        <v>20500</v>
      </c>
      <c r="C19" s="78">
        <v>1.0</v>
      </c>
      <c r="D19" s="75">
        <v>0.0</v>
      </c>
      <c r="E19" s="104">
        <v>61.15</v>
      </c>
    </row>
    <row r="20">
      <c r="A20" s="66" t="s">
        <v>59</v>
      </c>
      <c r="B20" s="75">
        <f>4000+1750+5200+1750+1750+4000+1750</f>
        <v>20200</v>
      </c>
      <c r="C20" s="78">
        <v>1.0</v>
      </c>
      <c r="D20" s="78">
        <v>0.0</v>
      </c>
      <c r="E20" s="104">
        <v>33.4</v>
      </c>
    </row>
    <row r="21">
      <c r="A21" s="66" t="s">
        <v>52</v>
      </c>
      <c r="B21" s="75">
        <f>+500+8500+500+4000+4000+1750+500</f>
        <v>19750</v>
      </c>
      <c r="C21" s="78">
        <v>1.0</v>
      </c>
      <c r="D21" s="75">
        <v>0.0</v>
      </c>
      <c r="E21" s="104">
        <v>15.83</v>
      </c>
    </row>
    <row r="22">
      <c r="A22" s="66" t="s">
        <v>54</v>
      </c>
      <c r="B22" s="75">
        <f>5000+4000+1750+500+5200+1750+500</f>
        <v>18700</v>
      </c>
      <c r="C22" s="78">
        <v>1.0</v>
      </c>
      <c r="D22" s="78">
        <v>0.0</v>
      </c>
      <c r="E22" s="104">
        <v>21.3</v>
      </c>
    </row>
    <row r="23">
      <c r="A23" s="66" t="s">
        <v>17</v>
      </c>
      <c r="B23" s="75">
        <f>6200+500+4000+1750+1750+1750+500</f>
        <v>16450</v>
      </c>
      <c r="C23" s="78">
        <v>1.0</v>
      </c>
      <c r="D23" s="75">
        <v>0.0</v>
      </c>
      <c r="E23" s="104">
        <v>21.2</v>
      </c>
    </row>
    <row r="24">
      <c r="A24" s="66" t="s">
        <v>53</v>
      </c>
      <c r="B24" s="75">
        <f>2750+4000+500+500+1750+5200+500</f>
        <v>15200</v>
      </c>
      <c r="C24" s="78">
        <v>1.0</v>
      </c>
      <c r="D24" s="78">
        <v>0.0</v>
      </c>
      <c r="E24" s="104">
        <v>21.73</v>
      </c>
    </row>
    <row r="25">
      <c r="A25" s="66" t="s">
        <v>69</v>
      </c>
      <c r="B25" s="75">
        <f>8750+500+500+1750+500+1750+500</f>
        <v>14250</v>
      </c>
      <c r="C25" s="78">
        <v>1.0</v>
      </c>
      <c r="D25" s="75">
        <v>0.0</v>
      </c>
      <c r="E25" s="104">
        <v>23.44</v>
      </c>
    </row>
    <row r="26">
      <c r="A26" s="66" t="s">
        <v>67</v>
      </c>
      <c r="B26" s="75">
        <f>4000+1750+4000+500+1750+500+1750</f>
        <v>14250</v>
      </c>
      <c r="C26" s="78">
        <v>1.0</v>
      </c>
      <c r="D26" s="75">
        <v>0.0</v>
      </c>
      <c r="E26" s="105">
        <v>30.34</v>
      </c>
    </row>
    <row r="27">
      <c r="A27" s="82" t="s">
        <v>37</v>
      </c>
      <c r="B27" s="83">
        <f>8700+500+1750+1750+500+500+500</f>
        <v>14200</v>
      </c>
      <c r="C27" s="91">
        <v>0.0</v>
      </c>
      <c r="D27" s="91">
        <v>1.0</v>
      </c>
      <c r="E27" s="93"/>
    </row>
    <row r="28">
      <c r="A28" s="66" t="s">
        <v>55</v>
      </c>
      <c r="B28" s="75">
        <f>500+4000+1750+500+500+1750+5200</f>
        <v>14200</v>
      </c>
      <c r="C28" s="78">
        <v>1.0</v>
      </c>
      <c r="D28" s="75">
        <v>0.0</v>
      </c>
      <c r="E28" s="105">
        <v>66.61</v>
      </c>
    </row>
    <row r="29">
      <c r="A29" s="66" t="s">
        <v>56</v>
      </c>
      <c r="B29" s="75">
        <f>4000+1750+500+1750+500+4000</f>
        <v>12500</v>
      </c>
      <c r="C29" s="78">
        <v>1.0</v>
      </c>
      <c r="D29" s="75">
        <v>0.0</v>
      </c>
      <c r="E29" s="105">
        <v>47.3</v>
      </c>
    </row>
    <row r="30">
      <c r="A30" s="66" t="s">
        <v>68</v>
      </c>
      <c r="B30" s="75">
        <f>7500+500+500+1750+500+500+500</f>
        <v>11750</v>
      </c>
      <c r="C30" s="78">
        <v>1.0</v>
      </c>
      <c r="D30" s="75">
        <v>0.0</v>
      </c>
      <c r="E30" s="105">
        <v>23.33</v>
      </c>
    </row>
    <row r="31">
      <c r="A31" s="66" t="s">
        <v>35</v>
      </c>
      <c r="B31" s="75">
        <f>2750+1750+500+1750+500+4000+500</f>
        <v>11750</v>
      </c>
      <c r="C31" s="78">
        <v>1.0</v>
      </c>
      <c r="D31" s="75">
        <v>0.0</v>
      </c>
      <c r="E31" s="105">
        <v>23.34</v>
      </c>
    </row>
    <row r="32">
      <c r="A32" s="51" t="s">
        <v>66</v>
      </c>
      <c r="B32" s="75">
        <f>1500+500+5200+1750+500+500+1750</f>
        <v>11700</v>
      </c>
      <c r="C32" s="78">
        <v>1.0</v>
      </c>
      <c r="D32" s="75">
        <v>0.0</v>
      </c>
      <c r="E32" s="105">
        <v>36.39</v>
      </c>
    </row>
    <row r="33">
      <c r="A33" s="66" t="s">
        <v>36</v>
      </c>
      <c r="B33" s="75">
        <f>2750+500+4000+500+500+500+1750</f>
        <v>10500</v>
      </c>
      <c r="C33" s="78">
        <v>1.0</v>
      </c>
      <c r="D33" s="75">
        <v>0.0</v>
      </c>
      <c r="E33" s="105">
        <v>20.6</v>
      </c>
    </row>
    <row r="34">
      <c r="A34" s="66" t="s">
        <v>63</v>
      </c>
      <c r="B34" s="75">
        <f>1500+500+500+500+1750+1750+1750</f>
        <v>8250</v>
      </c>
      <c r="C34" s="78">
        <v>1.0</v>
      </c>
      <c r="D34" s="75">
        <v>0.0</v>
      </c>
      <c r="E34" s="105">
        <v>30.07</v>
      </c>
    </row>
    <row r="35">
      <c r="A35" s="82" t="s">
        <v>169</v>
      </c>
      <c r="B35" s="91">
        <f>6500+500</f>
        <v>7000</v>
      </c>
      <c r="C35" s="91">
        <v>0.0</v>
      </c>
      <c r="D35" s="83">
        <v>0.0</v>
      </c>
      <c r="E35" s="93"/>
    </row>
    <row r="36">
      <c r="A36" s="66" t="s">
        <v>45</v>
      </c>
      <c r="B36" s="75">
        <f>1500+1750+500+500+500+1750+500</f>
        <v>7000</v>
      </c>
      <c r="C36" s="78">
        <v>1.0</v>
      </c>
      <c r="D36" s="75">
        <v>0.0</v>
      </c>
      <c r="E36" s="105">
        <v>23.76</v>
      </c>
    </row>
    <row r="37">
      <c r="A37" s="66" t="s">
        <v>298</v>
      </c>
      <c r="B37" s="78">
        <v>5200.0</v>
      </c>
      <c r="C37" s="78">
        <v>1.0</v>
      </c>
      <c r="D37" s="75">
        <v>0.0</v>
      </c>
      <c r="E37" s="105">
        <v>61.6</v>
      </c>
    </row>
    <row r="38">
      <c r="A38" s="82" t="s">
        <v>142</v>
      </c>
      <c r="B38" s="83">
        <f>1750+500</f>
        <v>2250</v>
      </c>
      <c r="C38" s="91">
        <v>0.0</v>
      </c>
      <c r="D38" s="83">
        <v>0.0</v>
      </c>
      <c r="E38" s="93"/>
    </row>
    <row r="39">
      <c r="A39" s="93" t="s">
        <v>262</v>
      </c>
      <c r="B39" s="83">
        <v>1750.0</v>
      </c>
      <c r="C39" s="91">
        <v>0.0</v>
      </c>
      <c r="D39" s="83">
        <v>0.0</v>
      </c>
      <c r="E39" s="93"/>
    </row>
    <row r="40">
      <c r="A40" s="93" t="s">
        <v>46</v>
      </c>
      <c r="B40" s="83">
        <v>1750.0</v>
      </c>
      <c r="C40" s="91">
        <v>0.0</v>
      </c>
      <c r="D40" s="83">
        <v>0.0</v>
      </c>
      <c r="E40" s="93"/>
    </row>
    <row r="41">
      <c r="A41" s="82" t="s">
        <v>173</v>
      </c>
      <c r="B41" s="91">
        <v>1750.0</v>
      </c>
      <c r="C41" s="91">
        <v>0.0</v>
      </c>
      <c r="D41" s="91">
        <v>0.0</v>
      </c>
      <c r="E41" s="93"/>
    </row>
    <row r="42">
      <c r="A42" s="82" t="s">
        <v>116</v>
      </c>
      <c r="B42" s="91">
        <v>1750.0</v>
      </c>
      <c r="C42" s="91">
        <v>0.0</v>
      </c>
      <c r="D42" s="91">
        <v>0.0</v>
      </c>
      <c r="E42" s="93"/>
    </row>
    <row r="43">
      <c r="A43" s="82" t="s">
        <v>168</v>
      </c>
      <c r="B43" s="91">
        <f>0+500+500</f>
        <v>1000</v>
      </c>
      <c r="C43" s="91">
        <v>0.0</v>
      </c>
      <c r="D43" s="91">
        <v>0.0</v>
      </c>
      <c r="E43" s="93"/>
    </row>
    <row r="44">
      <c r="A44" s="82" t="s">
        <v>144</v>
      </c>
      <c r="B44" s="83">
        <v>500.0</v>
      </c>
      <c r="C44" s="91">
        <v>0.0</v>
      </c>
      <c r="D44" s="91">
        <v>0.0</v>
      </c>
      <c r="E44" s="93"/>
    </row>
    <row r="45">
      <c r="A45" s="82" t="s">
        <v>143</v>
      </c>
      <c r="B45" s="83">
        <v>500.0</v>
      </c>
      <c r="C45" s="91">
        <v>0.0</v>
      </c>
      <c r="D45" s="91">
        <v>0.0</v>
      </c>
      <c r="E45" s="93"/>
    </row>
    <row r="46">
      <c r="A46" s="82" t="s">
        <v>82</v>
      </c>
      <c r="B46" s="91">
        <v>500.0</v>
      </c>
      <c r="C46" s="91">
        <v>0.0</v>
      </c>
      <c r="D46" s="91">
        <v>0.0</v>
      </c>
      <c r="E46" s="93"/>
    </row>
    <row r="47">
      <c r="A47" s="82" t="s">
        <v>110</v>
      </c>
      <c r="B47" s="91">
        <v>500.0</v>
      </c>
      <c r="C47" s="91">
        <v>0.0</v>
      </c>
      <c r="D47" s="91">
        <v>0.0</v>
      </c>
      <c r="E47" s="93"/>
    </row>
    <row r="48">
      <c r="A48" s="82" t="s">
        <v>286</v>
      </c>
      <c r="B48" s="91">
        <v>500.0</v>
      </c>
      <c r="C48" s="91">
        <v>0.0</v>
      </c>
      <c r="D48" s="91">
        <v>0.0</v>
      </c>
      <c r="E48" s="93"/>
    </row>
    <row r="49">
      <c r="A49" s="82" t="s">
        <v>107</v>
      </c>
      <c r="B49" s="91">
        <v>500.0</v>
      </c>
      <c r="C49" s="91">
        <v>0.0</v>
      </c>
      <c r="D49" s="91">
        <v>0.0</v>
      </c>
      <c r="E49" s="93"/>
    </row>
    <row r="50">
      <c r="A50" s="82" t="s">
        <v>115</v>
      </c>
      <c r="B50" s="91">
        <v>500.0</v>
      </c>
      <c r="C50" s="91">
        <v>0.0</v>
      </c>
      <c r="D50" s="91">
        <v>0.0</v>
      </c>
      <c r="E50" s="93"/>
    </row>
    <row r="51">
      <c r="A51" s="66" t="s">
        <v>25</v>
      </c>
      <c r="B51" s="78">
        <v>500.0</v>
      </c>
      <c r="C51" s="78">
        <v>1.0</v>
      </c>
      <c r="D51" s="78">
        <v>0.0</v>
      </c>
      <c r="E51" s="105">
        <v>16.27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252</v>
      </c>
      <c r="B1" s="69" t="s">
        <v>6</v>
      </c>
      <c r="C1" s="77" t="s">
        <v>271</v>
      </c>
      <c r="D1" s="69" t="s">
        <v>299</v>
      </c>
      <c r="E1" s="69" t="s">
        <v>203</v>
      </c>
      <c r="F1" s="69" t="s">
        <v>283</v>
      </c>
      <c r="G1" s="32" t="s">
        <v>208</v>
      </c>
      <c r="H1" s="32" t="s">
        <v>206</v>
      </c>
      <c r="I1" s="32" t="s">
        <v>207</v>
      </c>
      <c r="J1" s="69" t="s">
        <v>300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32" t="s">
        <v>236</v>
      </c>
      <c r="V1" s="70" t="s">
        <v>239</v>
      </c>
      <c r="W1" s="69" t="s">
        <v>273</v>
      </c>
      <c r="X1" s="70" t="s">
        <v>240</v>
      </c>
      <c r="Y1" s="77" t="s">
        <v>243</v>
      </c>
    </row>
    <row r="2">
      <c r="A2" s="10">
        <v>1.0</v>
      </c>
      <c r="B2" s="66" t="s">
        <v>26</v>
      </c>
      <c r="C2" s="3" t="str">
        <f t="array" ref="C2">XLOOKUP(B2, 'Surfer Stats - Event 4'!B:B, 'Surfer Stats - Event 4'!D:D)</f>
        <v>Regular</v>
      </c>
      <c r="D2" s="3">
        <f t="shared" ref="D2:D54" si="1">SUM(N2,Q2,T2)</f>
        <v>16</v>
      </c>
      <c r="E2" s="10">
        <v>0.0</v>
      </c>
      <c r="F2" s="10">
        <v>0.0</v>
      </c>
      <c r="G2" s="10">
        <v>3.0</v>
      </c>
      <c r="H2" s="10">
        <v>1.0</v>
      </c>
      <c r="I2" s="10">
        <v>13.0</v>
      </c>
      <c r="J2" s="3">
        <f>COUNTIFS( historical_events_FACT!J:J, "&gt;16", historical_events_FACT!G:G, B2,historical_events_FACT!C:C, "10" )</f>
        <v>8</v>
      </c>
      <c r="K2" s="3">
        <f t="shared" ref="K2:K54" si="2">IF(D2=0,0, ROUND(SUM(P2,S2,M2)/D2,2))</f>
        <v>14.08</v>
      </c>
      <c r="L2" s="3">
        <f t="shared" ref="L2:L54" si="3">IF(M2=0,0,ROUND(M2/N2,2))</f>
        <v>13.99</v>
      </c>
      <c r="M2" s="3">
        <f>SUMIFS( '2014Data'!I:I, '2014Data'!F:F, B2,'2014Data'!B:B, "10" )</f>
        <v>83.91</v>
      </c>
      <c r="N2" s="3">
        <f>COUNTIFS('2014Data'!F:F, B2,'2014Data'!B:B, "10" )</f>
        <v>6</v>
      </c>
      <c r="O2" s="3">
        <f t="shared" ref="O2:O54" si="4">IF(P2=0,0,ROUND(P2/Q2,2))</f>
        <v>13.65</v>
      </c>
      <c r="P2" s="3">
        <f>SUMIFS( historical_events_FACT!J:J, historical_events_FACT!G:G, B2,historical_events_FACT!B:B, "2015",historical_events_FACT!C:C, "10" )</f>
        <v>40.96</v>
      </c>
      <c r="Q2" s="3">
        <f>COUNTIFS(historical_events_FACT!G:G, B2,historical_events_FACT!B:B, "2015",historical_events_FACT!C:C, "10" )</f>
        <v>3</v>
      </c>
      <c r="R2" s="3">
        <f t="shared" ref="R2:R54" si="5">IF(T2=0,0,ROUND(S2/T2,2))</f>
        <v>14.35</v>
      </c>
      <c r="S2" s="3">
        <f>SUMIFS( historical_events_FACT!J:J, historical_events_FACT!G:G, B2,historical_events_FACT!B:B, "2016",historical_events_FACT!C:C, "10" )</f>
        <v>100.42</v>
      </c>
      <c r="T2" s="3">
        <f>COUNTIFS(historical_events_FACT!G:G, B2,historical_events_FACT!B:B, "2016",historical_events_FACT!C:C, "10" )</f>
        <v>7</v>
      </c>
      <c r="U2" s="3">
        <f>MAXIFS( historical_events_FACT!J:J, historical_events_FACT!G:G, B2,historical_events_FACT!C:C, "10" )</f>
        <v>18.77</v>
      </c>
      <c r="V2" s="97">
        <f t="array" ref="V2">ROUND(AVERAGEIF({ IFERROR(XLOOKUP(B2, 'Surfer Stats - Event 7'!B:B, 'Surfer Stats - Event 7'!Z:Z), ""), IFERROR(XLOOKUP(B2, 'Surfer Stats - Event 8'!B:B, 'Surfer Stats - Event 8'!Y:Y), ""), IFERROR(XLOOKUP(B2, 'Surfer Stats - Event 9'!B:B, 'Surfer Stats - Event 9'!Y:Y), "") }, "&lt;&gt;"),2)</f>
        <v>82.6</v>
      </c>
      <c r="W2" s="3">
        <f t="array" ref="W2">XLOOKUP(B2, 'Surfer Stats - Event 9'!B:B, 'Surfer Stats - Event 9'!Y:Y)</f>
        <v>89.06</v>
      </c>
      <c r="X2" s="75">
        <f>23000+1750+1750+5200+5200+6500+6500</f>
        <v>49900</v>
      </c>
      <c r="Y2" s="3">
        <f t="array" ref="Y2">XLOOKUP(B2,'Event 10 Assist'!A:A, 'Event 10 Assist'!E:E)</f>
        <v>47.21</v>
      </c>
    </row>
    <row r="3">
      <c r="A3" s="10">
        <v>1.0</v>
      </c>
      <c r="B3" s="66" t="s">
        <v>28</v>
      </c>
      <c r="C3" s="3" t="str">
        <f t="array" ref="C3">XLOOKUP(B3, 'Surfer Stats - Event 4'!B:B, 'Surfer Stats - Event 4'!D:D)</f>
        <v>Regular</v>
      </c>
      <c r="D3" s="3">
        <f t="shared" si="1"/>
        <v>12</v>
      </c>
      <c r="E3" s="10">
        <v>0.0</v>
      </c>
      <c r="F3" s="10">
        <v>0.0</v>
      </c>
      <c r="G3" s="10">
        <v>2.0</v>
      </c>
      <c r="H3" s="10">
        <v>3.0</v>
      </c>
      <c r="I3" s="10">
        <v>99.0</v>
      </c>
      <c r="J3" s="3">
        <f>COUNTIFS( historical_events_FACT!J:J, "&gt;16", historical_events_FACT!G:G, B3,historical_events_FACT!C:C, "10" )</f>
        <v>4</v>
      </c>
      <c r="K3" s="3">
        <f t="shared" si="2"/>
        <v>14.2</v>
      </c>
      <c r="L3" s="3">
        <f t="shared" si="3"/>
        <v>13.52</v>
      </c>
      <c r="M3" s="3">
        <f>SUMIFS( '2014Data'!I:I, '2014Data'!F:F, B3,'2014Data'!B:B, "10" )</f>
        <v>94.64</v>
      </c>
      <c r="N3" s="3">
        <f>COUNTIFS('2014Data'!F:F, B3,'2014Data'!B:B, "10" )</f>
        <v>7</v>
      </c>
      <c r="O3" s="3">
        <f t="shared" si="4"/>
        <v>0</v>
      </c>
      <c r="P3" s="3">
        <f>SUMIFS( historical_events_FACT!J:J, historical_events_FACT!G:G, B3,historical_events_FACT!B:B, "2015",historical_events_FACT!C:C, "10" )</f>
        <v>0</v>
      </c>
      <c r="Q3" s="3">
        <f>COUNTIFS(historical_events_FACT!G:G, B3,historical_events_FACT!B:B, "2015",historical_events_FACT!C:C, "10" )</f>
        <v>0</v>
      </c>
      <c r="R3" s="3">
        <f t="shared" si="5"/>
        <v>15.15</v>
      </c>
      <c r="S3" s="3">
        <f>SUMIFS( historical_events_FACT!J:J, historical_events_FACT!G:G, B3,historical_events_FACT!B:B, "2016",historical_events_FACT!C:C, "10" )</f>
        <v>75.76</v>
      </c>
      <c r="T3" s="3">
        <f>COUNTIFS(historical_events_FACT!G:G, B3,historical_events_FACT!B:B, "2016",historical_events_FACT!C:C, "10" )</f>
        <v>5</v>
      </c>
      <c r="U3" s="3">
        <f>MAXIFS( historical_events_FACT!J:J, historical_events_FACT!G:G, B3,historical_events_FACT!C:C, "10" )</f>
        <v>17.4</v>
      </c>
      <c r="V3" s="97">
        <f t="array" ref="V3">ROUND(AVERAGEIF({ IFERROR(XLOOKUP(B3, 'Surfer Stats - Event 7'!B:B, 'Surfer Stats - Event 7'!Z:Z), ""), IFERROR(XLOOKUP(B3, 'Surfer Stats - Event 8'!B:B, 'Surfer Stats - Event 8'!Y:Y), ""), IFERROR(XLOOKUP(B3, 'Surfer Stats - Event 9'!B:B, 'Surfer Stats - Event 9'!Y:Y), "") }, "&lt;&gt;"),2)</f>
        <v>69.9</v>
      </c>
      <c r="W3" s="3">
        <f t="array" ref="W3">XLOOKUP(B3, 'Surfer Stats - Event 9'!B:B, 'Surfer Stats - Event 9'!Y:Y)</f>
        <v>29.1</v>
      </c>
      <c r="X3" s="75">
        <f>19200+5200+1750+5200+6500+8000+1750</f>
        <v>47600</v>
      </c>
      <c r="Y3" s="3">
        <f t="array" ref="Y3">XLOOKUP(B3,'Event 10 Assist'!A:A, 'Event 10 Assist'!E:E)</f>
        <v>17.47</v>
      </c>
    </row>
    <row r="4">
      <c r="A4" s="10">
        <v>1.0</v>
      </c>
      <c r="B4" s="66" t="s">
        <v>30</v>
      </c>
      <c r="C4" s="3" t="str">
        <f t="array" ref="C4">XLOOKUP(B4, 'Surfer Stats - Event 4'!B:B, 'Surfer Stats - Event 4'!D:D)</f>
        <v>Goofy</v>
      </c>
      <c r="D4" s="3">
        <f t="shared" si="1"/>
        <v>10</v>
      </c>
      <c r="E4" s="10">
        <v>0.0</v>
      </c>
      <c r="F4" s="10">
        <v>0.0</v>
      </c>
      <c r="G4" s="10">
        <v>13.0</v>
      </c>
      <c r="H4" s="10">
        <v>13.0</v>
      </c>
      <c r="I4" s="10">
        <v>5.0</v>
      </c>
      <c r="J4" s="3">
        <f>COUNTIFS( historical_events_FACT!J:J, "&gt;16", historical_events_FACT!G:G, B4,historical_events_FACT!C:C, "10" )</f>
        <v>1</v>
      </c>
      <c r="K4" s="3">
        <f t="shared" si="2"/>
        <v>11.86</v>
      </c>
      <c r="L4" s="3">
        <f t="shared" si="3"/>
        <v>13.17</v>
      </c>
      <c r="M4" s="3">
        <f>SUMIFS( '2014Data'!I:I, '2014Data'!F:F, B4,'2014Data'!B:B, "10" )</f>
        <v>26.33</v>
      </c>
      <c r="N4" s="3">
        <f>COUNTIFS('2014Data'!F:F, B4,'2014Data'!B:B, "10" )</f>
        <v>2</v>
      </c>
      <c r="O4" s="3">
        <f t="shared" si="4"/>
        <v>11.7</v>
      </c>
      <c r="P4" s="3">
        <f>SUMIFS( historical_events_FACT!J:J, historical_events_FACT!G:G, B4,historical_events_FACT!B:B, "2015",historical_events_FACT!C:C, "10" )</f>
        <v>58.49</v>
      </c>
      <c r="Q4" s="3">
        <f>COUNTIFS(historical_events_FACT!G:G, B4,historical_events_FACT!B:B, "2015",historical_events_FACT!C:C, "10" )</f>
        <v>5</v>
      </c>
      <c r="R4" s="3">
        <f t="shared" si="5"/>
        <v>11.26</v>
      </c>
      <c r="S4" s="3">
        <f>SUMIFS( historical_events_FACT!J:J, historical_events_FACT!G:G, B4,historical_events_FACT!B:B, "2016",historical_events_FACT!C:C, "10" )</f>
        <v>33.77</v>
      </c>
      <c r="T4" s="3">
        <f>COUNTIFS(historical_events_FACT!G:G, B4,historical_events_FACT!B:B, "2016",historical_events_FACT!C:C, "10" )</f>
        <v>3</v>
      </c>
      <c r="U4" s="3">
        <f>MAXIFS( historical_events_FACT!J:J, historical_events_FACT!G:G, B4,historical_events_FACT!C:C, "10" )</f>
        <v>17.67</v>
      </c>
      <c r="V4" s="97">
        <f t="array" ref="V4">ROUND(AVERAGEIF({ IFERROR(XLOOKUP(B4, 'Surfer Stats - Event 7'!B:B, 'Surfer Stats - Event 7'!Z:Z), ""), IFERROR(XLOOKUP(B4, 'Surfer Stats - Event 8'!B:B, 'Surfer Stats - Event 8'!Y:Y), ""), IFERROR(XLOOKUP(B4, 'Surfer Stats - Event 9'!B:B, 'Surfer Stats - Event 9'!Y:Y), "") }, "&lt;&gt;"),2)</f>
        <v>74.18</v>
      </c>
      <c r="W4" s="3">
        <f t="array" ref="W4">XLOOKUP(B4, 'Surfer Stats - Event 9'!B:B, 'Surfer Stats - Event 9'!Y:Y)</f>
        <v>93.79</v>
      </c>
      <c r="X4" s="75">
        <f>8750+4000+1750+6500+8000+1750+10000</f>
        <v>40750</v>
      </c>
      <c r="Y4" s="3">
        <f t="array" ref="Y4">XLOOKUP(B4,'Event 10 Assist'!A:A, 'Event 10 Assist'!E:E)</f>
        <v>90.03</v>
      </c>
    </row>
    <row r="5">
      <c r="A5" s="10">
        <v>1.0</v>
      </c>
      <c r="B5" s="66" t="s">
        <v>57</v>
      </c>
      <c r="C5" s="3" t="str">
        <f t="array" ref="C5">XLOOKUP(B5, 'Surfer Stats - Event 4'!B:B, 'Surfer Stats - Event 4'!D:D)</f>
        <v>Goofy</v>
      </c>
      <c r="D5" s="3">
        <f t="shared" si="1"/>
        <v>4</v>
      </c>
      <c r="E5" s="10">
        <v>0.0</v>
      </c>
      <c r="F5" s="10">
        <v>0.0</v>
      </c>
      <c r="G5" s="10">
        <v>13.0</v>
      </c>
      <c r="H5" s="10">
        <v>99.0</v>
      </c>
      <c r="I5" s="10">
        <v>25.0</v>
      </c>
      <c r="J5" s="3">
        <f>COUNTIFS( historical_events_FACT!J:J, "&gt;16", historical_events_FACT!G:G, B5,historical_events_FACT!C:C, "10" )</f>
        <v>1</v>
      </c>
      <c r="K5" s="3">
        <f t="shared" si="2"/>
        <v>10.61</v>
      </c>
      <c r="L5" s="3">
        <f t="shared" si="3"/>
        <v>9.5</v>
      </c>
      <c r="M5" s="3">
        <f>SUMIFS( '2014Data'!I:I, '2014Data'!F:F, B5,'2014Data'!B:B, "10" )</f>
        <v>18.99</v>
      </c>
      <c r="N5" s="3">
        <f>COUNTIFS('2014Data'!F:F, B5,'2014Data'!B:B, "10" )</f>
        <v>2</v>
      </c>
      <c r="O5" s="3">
        <f t="shared" si="4"/>
        <v>11.72</v>
      </c>
      <c r="P5" s="3">
        <f>SUMIFS( historical_events_FACT!J:J, historical_events_FACT!G:G, B5,historical_events_FACT!B:B, "2015",historical_events_FACT!C:C, "10" )</f>
        <v>23.44</v>
      </c>
      <c r="Q5" s="3">
        <f>COUNTIFS(historical_events_FACT!G:G, B5,historical_events_FACT!B:B, "2015",historical_events_FACT!C:C, "10" )</f>
        <v>2</v>
      </c>
      <c r="R5" s="3">
        <f t="shared" si="5"/>
        <v>0</v>
      </c>
      <c r="S5" s="3">
        <f>SUMIFS( historical_events_FACT!J:J, historical_events_FACT!G:G, B5,historical_events_FACT!B:B, "2016",historical_events_FACT!C:C, "10" )</f>
        <v>0</v>
      </c>
      <c r="T5" s="3">
        <f>COUNTIFS(historical_events_FACT!G:G, B5,historical_events_FACT!B:B, "2016",historical_events_FACT!C:C, "10" )</f>
        <v>0</v>
      </c>
      <c r="U5" s="3">
        <f>MAXIFS( historical_events_FACT!J:J, historical_events_FACT!G:G, B5,historical_events_FACT!C:C, "10" )</f>
        <v>16.16</v>
      </c>
      <c r="V5" s="97">
        <f t="array" ref="V5">ROUND(AVERAGEIF({ IFERROR(XLOOKUP(B5, 'Surfer Stats - Event 7'!B:B, 'Surfer Stats - Event 7'!Z:Z), ""), IFERROR(XLOOKUP(B5, 'Surfer Stats - Event 8'!B:B, 'Surfer Stats - Event 8'!Y:Y), ""), IFERROR(XLOOKUP(B5, 'Surfer Stats - Event 9'!B:B, 'Surfer Stats - Event 9'!Y:Y), "") }, "&lt;&gt;"),2)</f>
        <v>50.84</v>
      </c>
      <c r="W5" s="3">
        <f t="array" ref="W5">XLOOKUP(B5, 'Surfer Stats - Event 9'!B:B, 'Surfer Stats - Event 9'!Y:Y)</f>
        <v>58.36</v>
      </c>
      <c r="X5" s="75">
        <f>19200++5200+1750+4000+5200+500+4000</f>
        <v>39850</v>
      </c>
      <c r="Y5" s="3">
        <f t="array" ref="Y5">XLOOKUP(B5,'Event 10 Assist'!A:A, 'Event 10 Assist'!E:E)</f>
        <v>19.5</v>
      </c>
    </row>
    <row r="6">
      <c r="A6" s="10">
        <v>1.0</v>
      </c>
      <c r="B6" s="66" t="s">
        <v>34</v>
      </c>
      <c r="C6" s="3" t="str">
        <f t="array" ref="C6">XLOOKUP(B6, 'Surfer Stats - Event 4'!B:B, 'Surfer Stats - Event 4'!D:D)</f>
        <v>Goofy</v>
      </c>
      <c r="D6" s="3">
        <f t="shared" si="1"/>
        <v>6</v>
      </c>
      <c r="E6" s="10">
        <v>0.0</v>
      </c>
      <c r="F6" s="10">
        <v>0.0</v>
      </c>
      <c r="G6" s="10">
        <v>25.0</v>
      </c>
      <c r="H6" s="10">
        <v>25.0</v>
      </c>
      <c r="I6" s="10">
        <v>13.0</v>
      </c>
      <c r="J6" s="3">
        <f>COUNTIFS( historical_events_FACT!J:J, "&gt;16", historical_events_FACT!G:G, B6,historical_events_FACT!C:C, "10" )</f>
        <v>0</v>
      </c>
      <c r="K6" s="3">
        <f t="shared" si="2"/>
        <v>12.49</v>
      </c>
      <c r="L6" s="3">
        <f t="shared" si="3"/>
        <v>13.54</v>
      </c>
      <c r="M6" s="3">
        <f>SUMIFS( '2014Data'!I:I, '2014Data'!F:F, B6,'2014Data'!B:B, "10" )</f>
        <v>27.07</v>
      </c>
      <c r="N6" s="3">
        <f>COUNTIFS('2014Data'!F:F, B6,'2014Data'!B:B, "10" )</f>
        <v>2</v>
      </c>
      <c r="O6" s="3">
        <f t="shared" si="4"/>
        <v>15.12</v>
      </c>
      <c r="P6" s="3">
        <f>SUMIFS( historical_events_FACT!J:J, historical_events_FACT!G:G, B6,historical_events_FACT!B:B, "2015",historical_events_FACT!C:C, "10" )</f>
        <v>30.23</v>
      </c>
      <c r="Q6" s="3">
        <f>COUNTIFS(historical_events_FACT!G:G, B6,historical_events_FACT!B:B, "2015",historical_events_FACT!C:C, "10" )</f>
        <v>2</v>
      </c>
      <c r="R6" s="3">
        <f t="shared" si="5"/>
        <v>8.82</v>
      </c>
      <c r="S6" s="3">
        <f>SUMIFS( historical_events_FACT!J:J, historical_events_FACT!G:G, B6,historical_events_FACT!B:B, "2016",historical_events_FACT!C:C, "10" )</f>
        <v>17.63</v>
      </c>
      <c r="T6" s="3">
        <f>COUNTIFS(historical_events_FACT!G:G, B6,historical_events_FACT!B:B, "2016",historical_events_FACT!C:C, "10" )</f>
        <v>2</v>
      </c>
      <c r="U6" s="3">
        <f>MAXIFS( historical_events_FACT!J:J, historical_events_FACT!G:G, B6,historical_events_FACT!C:C, "10" )</f>
        <v>15.63</v>
      </c>
      <c r="V6" s="97">
        <f t="array" ref="V6">ROUND(AVERAGEIF({ IFERROR(XLOOKUP(B6, 'Surfer Stats - Event 7'!B:B, 'Surfer Stats - Event 7'!Z:Z), ""), IFERROR(XLOOKUP(B6, 'Surfer Stats - Event 8'!B:B, 'Surfer Stats - Event 8'!Y:Y), ""), IFERROR(XLOOKUP(B6, 'Surfer Stats - Event 9'!B:B, 'Surfer Stats - Event 9'!Y:Y), "") }, "&lt;&gt;"),2)</f>
        <v>31.59</v>
      </c>
      <c r="W6" s="3">
        <f t="array" ref="W6">XLOOKUP(B6, 'Surfer Stats - Event 9'!B:B, 'Surfer Stats - Event 9'!Y:Y)</f>
        <v>28.2</v>
      </c>
      <c r="X6" s="75">
        <f>10250+6500+10000+5200+4000+500+1750</f>
        <v>38200</v>
      </c>
      <c r="Y6" s="3">
        <f t="array" ref="Y6">XLOOKUP(B6,'Event 10 Assist'!A:A, 'Event 10 Assist'!E:E)</f>
        <v>15.47</v>
      </c>
    </row>
    <row r="7">
      <c r="A7" s="10">
        <v>1.0</v>
      </c>
      <c r="B7" s="66" t="s">
        <v>31</v>
      </c>
      <c r="C7" s="3" t="str">
        <f t="array" ref="C7">XLOOKUP(B7, 'Surfer Stats - Event 4'!B:B, 'Surfer Stats - Event 4'!D:D)</f>
        <v>Regular</v>
      </c>
      <c r="D7" s="3">
        <f t="shared" si="1"/>
        <v>10</v>
      </c>
      <c r="E7" s="10">
        <v>0.0</v>
      </c>
      <c r="F7" s="10">
        <v>0.0</v>
      </c>
      <c r="G7" s="10">
        <v>25.0</v>
      </c>
      <c r="H7" s="10">
        <v>5.0</v>
      </c>
      <c r="I7" s="10">
        <v>25.0</v>
      </c>
      <c r="J7" s="3">
        <f>COUNTIFS( historical_events_FACT!J:J, "&gt;16", historical_events_FACT!G:G, B7,historical_events_FACT!C:C, "10" )</f>
        <v>1</v>
      </c>
      <c r="K7" s="3">
        <f t="shared" si="2"/>
        <v>11.32</v>
      </c>
      <c r="L7" s="3">
        <f t="shared" si="3"/>
        <v>8.7</v>
      </c>
      <c r="M7" s="3">
        <f>SUMIFS( '2014Data'!I:I, '2014Data'!F:F, B7,'2014Data'!B:B, "10" )</f>
        <v>17.39</v>
      </c>
      <c r="N7" s="3">
        <f>COUNTIFS('2014Data'!F:F, B7,'2014Data'!B:B, "10" )</f>
        <v>2</v>
      </c>
      <c r="O7" s="3">
        <f t="shared" si="4"/>
        <v>10.88</v>
      </c>
      <c r="P7" s="3">
        <f>SUMIFS( historical_events_FACT!J:J, historical_events_FACT!G:G, B7,historical_events_FACT!B:B, "2015",historical_events_FACT!C:C, "10" )</f>
        <v>21.76</v>
      </c>
      <c r="Q7" s="3">
        <f>COUNTIFS(historical_events_FACT!G:G, B7,historical_events_FACT!B:B, "2015",historical_events_FACT!C:C, "10" )</f>
        <v>2</v>
      </c>
      <c r="R7" s="3">
        <f t="shared" si="5"/>
        <v>12.34</v>
      </c>
      <c r="S7" s="3">
        <f>SUMIFS( historical_events_FACT!J:J, historical_events_FACT!G:G, B7,historical_events_FACT!B:B, "2016",historical_events_FACT!C:C, "10" )</f>
        <v>74.03</v>
      </c>
      <c r="T7" s="3">
        <f>COUNTIFS(historical_events_FACT!G:G, B7,historical_events_FACT!B:B, "2016",historical_events_FACT!C:C, "10" )</f>
        <v>6</v>
      </c>
      <c r="U7" s="3">
        <f>MAXIFS( historical_events_FACT!J:J, historical_events_FACT!G:G, B7,historical_events_FACT!C:C, "10" )</f>
        <v>16.33</v>
      </c>
      <c r="V7" s="97">
        <f t="array" ref="V7">ROUND(AVERAGEIF({ IFERROR(XLOOKUP(B7, 'Surfer Stats - Event 7'!B:B, 'Surfer Stats - Event 7'!Z:Z), ""), IFERROR(XLOOKUP(B7, 'Surfer Stats - Event 8'!B:B, 'Surfer Stats - Event 8'!Y:Y), ""), IFERROR(XLOOKUP(B7, 'Surfer Stats - Event 9'!B:B, 'Surfer Stats - Event 9'!Y:Y), "") }, "&lt;&gt;"),2)</f>
        <v>59.48</v>
      </c>
      <c r="W7" s="3">
        <f t="array" ref="W7">XLOOKUP(B7, 'Surfer Stats - Event 9'!B:B, 'Surfer Stats - Event 9'!Y:Y)</f>
        <v>21.36</v>
      </c>
      <c r="X7" s="75">
        <f>7500+4000+5200+6500+10000+4000+500</f>
        <v>37700</v>
      </c>
      <c r="Y7" s="3">
        <f t="array" ref="Y7">XLOOKUP(B7,'Event 10 Assist'!A:A, 'Event 10 Assist'!E:E)</f>
        <v>65.34</v>
      </c>
    </row>
    <row r="8">
      <c r="A8" s="10">
        <v>1.0</v>
      </c>
      <c r="B8" s="66" t="s">
        <v>42</v>
      </c>
      <c r="C8" s="3" t="str">
        <f t="array" ref="C8">XLOOKUP(B8, 'Surfer Stats - Event 4'!B:B, 'Surfer Stats - Event 4'!D:D)</f>
        <v>Regular</v>
      </c>
      <c r="D8" s="3">
        <f t="shared" si="1"/>
        <v>12</v>
      </c>
      <c r="E8" s="10">
        <v>0.0</v>
      </c>
      <c r="F8" s="10">
        <v>0.0</v>
      </c>
      <c r="G8" s="10">
        <v>5.0</v>
      </c>
      <c r="H8" s="10">
        <v>5.0</v>
      </c>
      <c r="I8" s="10">
        <v>13.0</v>
      </c>
      <c r="J8" s="3">
        <f>COUNTIFS( historical_events_FACT!J:J, "&gt;16", historical_events_FACT!G:G, B8,historical_events_FACT!C:C, "10" )</f>
        <v>2</v>
      </c>
      <c r="K8" s="3">
        <f t="shared" si="2"/>
        <v>12.14</v>
      </c>
      <c r="L8" s="3">
        <f t="shared" si="3"/>
        <v>13.35</v>
      </c>
      <c r="M8" s="3">
        <f>SUMIFS( '2014Data'!I:I, '2014Data'!F:F, B8,'2014Data'!B:B, "10" )</f>
        <v>53.39</v>
      </c>
      <c r="N8" s="3">
        <f>COUNTIFS('2014Data'!F:F, B8,'2014Data'!B:B, "10" )</f>
        <v>4</v>
      </c>
      <c r="O8" s="3">
        <f t="shared" si="4"/>
        <v>13.5</v>
      </c>
      <c r="P8" s="3">
        <f>SUMIFS( historical_events_FACT!J:J, historical_events_FACT!G:G, B8,historical_events_FACT!B:B, "2015",historical_events_FACT!C:C, "10" )</f>
        <v>40.5</v>
      </c>
      <c r="Q8" s="3">
        <f>COUNTIFS(historical_events_FACT!G:G, B8,historical_events_FACT!B:B, "2015",historical_events_FACT!C:C, "10" )</f>
        <v>3</v>
      </c>
      <c r="R8" s="3">
        <f t="shared" si="5"/>
        <v>10.35</v>
      </c>
      <c r="S8" s="3">
        <f>SUMIFS( historical_events_FACT!J:J, historical_events_FACT!G:G, B8,historical_events_FACT!B:B, "2016",historical_events_FACT!C:C, "10" )</f>
        <v>51.73</v>
      </c>
      <c r="T8" s="3">
        <f>COUNTIFS(historical_events_FACT!G:G, B8,historical_events_FACT!B:B, "2016",historical_events_FACT!C:C, "10" )</f>
        <v>5</v>
      </c>
      <c r="U8" s="3">
        <f>MAXIFS( historical_events_FACT!J:J, historical_events_FACT!G:G, B8,historical_events_FACT!C:C, "10" )</f>
        <v>17.26</v>
      </c>
      <c r="V8" s="97">
        <f t="array" ref="V8">ROUND(AVERAGEIF({ IFERROR(XLOOKUP(B8, 'Surfer Stats - Event 7'!B:B, 'Surfer Stats - Event 7'!Z:Z), ""), IFERROR(XLOOKUP(B8, 'Surfer Stats - Event 8'!B:B, 'Surfer Stats - Event 8'!Y:Y), ""), IFERROR(XLOOKUP(B8, 'Surfer Stats - Event 9'!B:B, 'Surfer Stats - Event 9'!Y:Y), "") }, "&lt;&gt;"),2)</f>
        <v>38.21</v>
      </c>
      <c r="W8" s="3">
        <f t="array" ref="W8">XLOOKUP(B8, 'Surfer Stats - Event 9'!B:B, 'Surfer Stats - Event 9'!Y:Y)</f>
        <v>36.91</v>
      </c>
      <c r="X8" s="75">
        <f>14400+10000+1750+1750+1750+5200+1750</f>
        <v>36600</v>
      </c>
      <c r="Y8" s="3">
        <f t="array" ref="Y8">XLOOKUP(B8,'Event 10 Assist'!A:A, 'Event 10 Assist'!E:E)</f>
        <v>38.18</v>
      </c>
    </row>
    <row r="9">
      <c r="A9" s="10">
        <v>1.0</v>
      </c>
      <c r="B9" s="66" t="s">
        <v>33</v>
      </c>
      <c r="C9" s="3" t="str">
        <f t="array" ref="C9">XLOOKUP(B9, 'Surfer Stats - Event 4'!B:B, 'Surfer Stats - Event 4'!D:D)</f>
        <v>Regular</v>
      </c>
      <c r="D9" s="3">
        <f t="shared" si="1"/>
        <v>14</v>
      </c>
      <c r="E9" s="10">
        <v>0.0</v>
      </c>
      <c r="F9" s="10">
        <v>0.0</v>
      </c>
      <c r="G9" s="10">
        <v>5.0</v>
      </c>
      <c r="H9" s="10">
        <v>13.0</v>
      </c>
      <c r="I9" s="10">
        <v>1.0</v>
      </c>
      <c r="J9" s="3">
        <f>COUNTIFS( historical_events_FACT!J:J, "&gt;16", historical_events_FACT!G:G, B9,historical_events_FACT!C:C, "10" )</f>
        <v>2</v>
      </c>
      <c r="K9" s="3">
        <f t="shared" si="2"/>
        <v>13.48</v>
      </c>
      <c r="L9" s="3">
        <f t="shared" si="3"/>
        <v>12.28</v>
      </c>
      <c r="M9" s="3">
        <f>SUMIFS( '2014Data'!I:I, '2014Data'!F:F, B9,'2014Data'!B:B, "10" )</f>
        <v>61.42</v>
      </c>
      <c r="N9" s="3">
        <f>COUNTIFS('2014Data'!F:F, B9,'2014Data'!B:B, "10" )</f>
        <v>5</v>
      </c>
      <c r="O9" s="3">
        <f t="shared" si="4"/>
        <v>14.95</v>
      </c>
      <c r="P9" s="3">
        <f>SUMIFS( historical_events_FACT!J:J, historical_events_FACT!G:G, B9,historical_events_FACT!B:B, "2015",historical_events_FACT!C:C, "10" )</f>
        <v>89.67</v>
      </c>
      <c r="Q9" s="3">
        <f>COUNTIFS(historical_events_FACT!G:G, B9,historical_events_FACT!B:B, "2015",historical_events_FACT!C:C, "10" )</f>
        <v>6</v>
      </c>
      <c r="R9" s="3">
        <f t="shared" si="5"/>
        <v>12.56</v>
      </c>
      <c r="S9" s="3">
        <f>SUMIFS( historical_events_FACT!J:J, historical_events_FACT!G:G, B9,historical_events_FACT!B:B, "2016",historical_events_FACT!C:C, "10" )</f>
        <v>37.67</v>
      </c>
      <c r="T9" s="3">
        <f>COUNTIFS(historical_events_FACT!G:G, B9,historical_events_FACT!B:B, "2016",historical_events_FACT!C:C, "10" )</f>
        <v>3</v>
      </c>
      <c r="U9" s="3">
        <f>MAXIFS( historical_events_FACT!J:J, historical_events_FACT!G:G, B9,historical_events_FACT!C:C, "10" )</f>
        <v>19</v>
      </c>
      <c r="V9" s="97">
        <f t="array" ref="V9">ROUND(AVERAGEIF({ IFERROR(XLOOKUP(B9, 'Surfer Stats - Event 7'!B:B, 'Surfer Stats - Event 7'!Z:Z), ""), IFERROR(XLOOKUP(B9, 'Surfer Stats - Event 8'!B:B, 'Surfer Stats - Event 8'!Y:Y), ""), IFERROR(XLOOKUP(B9, 'Surfer Stats - Event 9'!B:B, 'Surfer Stats - Event 9'!Y:Y), "") }, "&lt;&gt;"),2)</f>
        <v>43.77</v>
      </c>
      <c r="W9" s="3">
        <f t="array" ref="W9">XLOOKUP(B9, 'Surfer Stats - Event 9'!B:B, 'Surfer Stats - Event 9'!Y:Y)</f>
        <v>19.93</v>
      </c>
      <c r="X9" s="75">
        <f>12200+1750+500+10000+500+10000+500</f>
        <v>35450</v>
      </c>
      <c r="Y9" s="3">
        <f t="array" ref="Y9">XLOOKUP(B9,'Event 10 Assist'!A:A, 'Event 10 Assist'!E:E)</f>
        <v>16.14</v>
      </c>
    </row>
    <row r="10">
      <c r="A10" s="10">
        <v>1.0</v>
      </c>
      <c r="B10" s="66" t="s">
        <v>39</v>
      </c>
      <c r="C10" s="3" t="str">
        <f t="array" ref="C10">XLOOKUP(B10, 'Surfer Stats - Event 4'!B:B, 'Surfer Stats - Event 4'!D:D)</f>
        <v>Regular</v>
      </c>
      <c r="D10" s="3">
        <f t="shared" si="1"/>
        <v>12</v>
      </c>
      <c r="E10" s="10">
        <v>0.0</v>
      </c>
      <c r="F10" s="10">
        <v>0.0</v>
      </c>
      <c r="G10" s="10">
        <v>13.0</v>
      </c>
      <c r="H10" s="10">
        <v>9.0</v>
      </c>
      <c r="I10" s="10">
        <v>5.0</v>
      </c>
      <c r="J10" s="3">
        <f>COUNTIFS( historical_events_FACT!J:J, "&gt;16", historical_events_FACT!G:G, B10,historical_events_FACT!C:C, "10" )</f>
        <v>1</v>
      </c>
      <c r="K10" s="3">
        <f t="shared" si="2"/>
        <v>12.22</v>
      </c>
      <c r="L10" s="3">
        <f t="shared" si="3"/>
        <v>11.88</v>
      </c>
      <c r="M10" s="3">
        <f>SUMIFS( '2014Data'!I:I, '2014Data'!F:F, B10,'2014Data'!B:B, "10" )</f>
        <v>23.76</v>
      </c>
      <c r="N10" s="3">
        <f>COUNTIFS('2014Data'!F:F, B10,'2014Data'!B:B, "10" )</f>
        <v>2</v>
      </c>
      <c r="O10" s="3">
        <f t="shared" si="4"/>
        <v>11.88</v>
      </c>
      <c r="P10" s="3">
        <f>SUMIFS( historical_events_FACT!J:J, historical_events_FACT!G:G, B10,historical_events_FACT!B:B, "2015",historical_events_FACT!C:C, "10" )</f>
        <v>71.27</v>
      </c>
      <c r="Q10" s="3">
        <f>COUNTIFS(historical_events_FACT!G:G, B10,historical_events_FACT!B:B, "2015",historical_events_FACT!C:C, "10" )</f>
        <v>6</v>
      </c>
      <c r="R10" s="3">
        <f t="shared" si="5"/>
        <v>12.9</v>
      </c>
      <c r="S10" s="3">
        <f>SUMIFS( historical_events_FACT!J:J, historical_events_FACT!G:G, B10,historical_events_FACT!B:B, "2016",historical_events_FACT!C:C, "10" )</f>
        <v>51.6</v>
      </c>
      <c r="T10" s="3">
        <f>COUNTIFS(historical_events_FACT!G:G, B10,historical_events_FACT!B:B, "2016",historical_events_FACT!C:C, "10" )</f>
        <v>4</v>
      </c>
      <c r="U10" s="3">
        <f>MAXIFS( historical_events_FACT!J:J, historical_events_FACT!G:G, B10,historical_events_FACT!C:C, "10" )</f>
        <v>16.1</v>
      </c>
      <c r="V10" s="97">
        <f t="array" ref="V10">ROUND(AVERAGEIF({ IFERROR(XLOOKUP(B10, 'Surfer Stats - Event 7'!B:B, 'Surfer Stats - Event 7'!Z:Z), ""), IFERROR(XLOOKUP(B10, 'Surfer Stats - Event 8'!B:B, 'Surfer Stats - Event 8'!Y:Y), ""), IFERROR(XLOOKUP(B10, 'Surfer Stats - Event 9'!B:B, 'Surfer Stats - Event 9'!Y:Y), "") }, "&lt;&gt;"),2)</f>
        <v>31.23</v>
      </c>
      <c r="W10" s="3">
        <f t="array" ref="W10">XLOOKUP(B10, 'Surfer Stats - Event 9'!B:B, 'Surfer Stats - Event 9'!Y:Y)</f>
        <v>55.57</v>
      </c>
      <c r="X10" s="75">
        <f>10950+5200+6500+1750+1750+500+5200</f>
        <v>31850</v>
      </c>
      <c r="Y10" s="3">
        <f t="array" ref="Y10">XLOOKUP(B10,'Event 10 Assist'!A:A, 'Event 10 Assist'!E:E)</f>
        <v>18.77</v>
      </c>
    </row>
    <row r="11">
      <c r="A11" s="10">
        <v>1.0</v>
      </c>
      <c r="B11" s="66" t="s">
        <v>32</v>
      </c>
      <c r="C11" s="3" t="str">
        <f t="array" ref="C11">XLOOKUP(B11, 'Surfer Stats - Event 4'!B:B, 'Surfer Stats - Event 4'!D:D)</f>
        <v>Regular</v>
      </c>
      <c r="D11" s="3">
        <f t="shared" si="1"/>
        <v>13</v>
      </c>
      <c r="E11" s="10">
        <v>0.0</v>
      </c>
      <c r="F11" s="10">
        <v>0.0</v>
      </c>
      <c r="G11" s="10">
        <v>13.0</v>
      </c>
      <c r="H11" s="10">
        <v>3.0</v>
      </c>
      <c r="I11" s="10">
        <v>9.0</v>
      </c>
      <c r="J11" s="3">
        <f>COUNTIFS( historical_events_FACT!J:J, "&gt;16", historical_events_FACT!G:G, B11,historical_events_FACT!C:C, "10" )</f>
        <v>4</v>
      </c>
      <c r="K11" s="3">
        <f t="shared" si="2"/>
        <v>13.07</v>
      </c>
      <c r="L11" s="3">
        <f t="shared" si="3"/>
        <v>10.44</v>
      </c>
      <c r="M11" s="3">
        <f>SUMIFS( '2014Data'!I:I, '2014Data'!F:F, B11,'2014Data'!B:B, "10" )</f>
        <v>31.31</v>
      </c>
      <c r="N11" s="3">
        <f>COUNTIFS('2014Data'!F:F, B11,'2014Data'!B:B, "10" )</f>
        <v>3</v>
      </c>
      <c r="O11" s="3">
        <f t="shared" si="4"/>
        <v>14.57</v>
      </c>
      <c r="P11" s="3">
        <f>SUMIFS( historical_events_FACT!J:J, historical_events_FACT!G:G, B11,historical_events_FACT!B:B, "2015",historical_events_FACT!C:C, "10" )</f>
        <v>72.83</v>
      </c>
      <c r="Q11" s="3">
        <f>COUNTIFS(historical_events_FACT!G:G, B11,historical_events_FACT!B:B, "2015",historical_events_FACT!C:C, "10" )</f>
        <v>5</v>
      </c>
      <c r="R11" s="3">
        <f t="shared" si="5"/>
        <v>13.17</v>
      </c>
      <c r="S11" s="3">
        <f>SUMIFS( historical_events_FACT!J:J, historical_events_FACT!G:G, B11,historical_events_FACT!B:B, "2016",historical_events_FACT!C:C, "10" )</f>
        <v>65.83</v>
      </c>
      <c r="T11" s="3">
        <f>COUNTIFS(historical_events_FACT!G:G, B11,historical_events_FACT!B:B, "2016",historical_events_FACT!C:C, "10" )</f>
        <v>5</v>
      </c>
      <c r="U11" s="3">
        <f>MAXIFS( historical_events_FACT!J:J, historical_events_FACT!G:G, B11,historical_events_FACT!C:C, "10" )</f>
        <v>18</v>
      </c>
      <c r="V11" s="97">
        <f t="array" ref="V11">ROUND(AVERAGEIF({ IFERROR(XLOOKUP(B11, 'Surfer Stats - Event 7'!B:B, 'Surfer Stats - Event 7'!Z:Z), ""), IFERROR(XLOOKUP(B11, 'Surfer Stats - Event 8'!B:B, 'Surfer Stats - Event 8'!Y:Y), ""), IFERROR(XLOOKUP(B11, 'Surfer Stats - Event 9'!B:B, 'Surfer Stats - Event 9'!Y:Y), "") }, "&lt;&gt;"),2)</f>
        <v>58.85</v>
      </c>
      <c r="W11" s="3">
        <f t="array" ref="W11">XLOOKUP(B11, 'Surfer Stats - Event 9'!B:B, 'Surfer Stats - Event 9'!Y:Y)</f>
        <v>88.07</v>
      </c>
      <c r="X11" s="75">
        <f>13750+500+1750+500+6500+500+6500</f>
        <v>30000</v>
      </c>
      <c r="Y11" s="3">
        <f t="array" ref="Y11">XLOOKUP(B11,'Event 10 Assist'!A:A, 'Event 10 Assist'!E:E)</f>
        <v>95.52</v>
      </c>
    </row>
    <row r="12">
      <c r="A12" s="10">
        <v>1.0</v>
      </c>
      <c r="B12" s="66" t="s">
        <v>38</v>
      </c>
      <c r="C12" s="3" t="str">
        <f t="array" ref="C12">XLOOKUP(B12, 'Surfer Stats - Event 4'!B:B, 'Surfer Stats - Event 4'!D:D)</f>
        <v>Regular</v>
      </c>
      <c r="D12" s="3">
        <f t="shared" si="1"/>
        <v>11</v>
      </c>
      <c r="E12" s="10">
        <v>0.0</v>
      </c>
      <c r="F12" s="10">
        <v>0.0</v>
      </c>
      <c r="G12" s="10">
        <v>13.0</v>
      </c>
      <c r="H12" s="10">
        <v>5.0</v>
      </c>
      <c r="I12" s="10">
        <v>13.0</v>
      </c>
      <c r="J12" s="3">
        <f>COUNTIFS( historical_events_FACT!J:J, "&gt;16", historical_events_FACT!G:G, B12,historical_events_FACT!C:C, "10" )</f>
        <v>1</v>
      </c>
      <c r="K12" s="3">
        <f t="shared" si="2"/>
        <v>12.17</v>
      </c>
      <c r="L12" s="3">
        <f t="shared" si="3"/>
        <v>13.8</v>
      </c>
      <c r="M12" s="3">
        <f>SUMIFS( '2014Data'!I:I, '2014Data'!F:F, B12,'2014Data'!B:B, "10" )</f>
        <v>27.6</v>
      </c>
      <c r="N12" s="3">
        <f>COUNTIFS('2014Data'!F:F, B12,'2014Data'!B:B, "10" )</f>
        <v>2</v>
      </c>
      <c r="O12" s="3">
        <f t="shared" si="4"/>
        <v>11.39</v>
      </c>
      <c r="P12" s="3">
        <f>SUMIFS( historical_events_FACT!J:J, historical_events_FACT!G:G, B12,historical_events_FACT!B:B, "2015",historical_events_FACT!C:C, "10" )</f>
        <v>34.17</v>
      </c>
      <c r="Q12" s="3">
        <f>COUNTIFS(historical_events_FACT!G:G, B12,historical_events_FACT!B:B, "2015",historical_events_FACT!C:C, "10" )</f>
        <v>3</v>
      </c>
      <c r="R12" s="3">
        <f t="shared" si="5"/>
        <v>12.02</v>
      </c>
      <c r="S12" s="3">
        <f>SUMIFS( historical_events_FACT!J:J, historical_events_FACT!G:G, B12,historical_events_FACT!B:B, "2016",historical_events_FACT!C:C, "10" )</f>
        <v>72.1</v>
      </c>
      <c r="T12" s="3">
        <f>COUNTIFS(historical_events_FACT!G:G, B12,historical_events_FACT!B:B, "2016",historical_events_FACT!C:C, "10" )</f>
        <v>6</v>
      </c>
      <c r="U12" s="3">
        <f>MAXIFS( historical_events_FACT!J:J, historical_events_FACT!G:G, B12,historical_events_FACT!C:C, "10" )</f>
        <v>16.1</v>
      </c>
      <c r="V12" s="97">
        <f t="array" ref="V12">ROUND(AVERAGEIF({ IFERROR(XLOOKUP(B12, 'Surfer Stats - Event 7'!B:B, 'Surfer Stats - Event 7'!Z:Z), ""), IFERROR(XLOOKUP(B12, 'Surfer Stats - Event 8'!B:B, 'Surfer Stats - Event 8'!Y:Y), ""), IFERROR(XLOOKUP(B12, 'Surfer Stats - Event 9'!B:B, 'Surfer Stats - Event 9'!Y:Y), "") }, "&lt;&gt;"),2)</f>
        <v>59.41</v>
      </c>
      <c r="W12" s="3">
        <f t="array" ref="W12">XLOOKUP(B12, 'Surfer Stats - Event 9'!B:B, 'Surfer Stats - Event 9'!Y:Y)</f>
        <v>92.03</v>
      </c>
      <c r="X12" s="75">
        <f>9750+1750+4000+500+1750+4000+8000</f>
        <v>29750</v>
      </c>
      <c r="Y12" s="3">
        <f t="array" ref="Y12">XLOOKUP(B12,'Event 10 Assist'!A:A, 'Event 10 Assist'!E:E)</f>
        <v>49.47</v>
      </c>
    </row>
    <row r="13">
      <c r="A13" s="10">
        <v>1.0</v>
      </c>
      <c r="B13" s="66" t="s">
        <v>41</v>
      </c>
      <c r="C13" s="3" t="str">
        <f t="array" ref="C13">XLOOKUP(B13, 'Surfer Stats - Event 4'!B:B, 'Surfer Stats - Event 4'!D:D)</f>
        <v>Regular</v>
      </c>
      <c r="D13" s="3">
        <f t="shared" si="1"/>
        <v>9</v>
      </c>
      <c r="E13" s="10">
        <v>0.0</v>
      </c>
      <c r="F13" s="10">
        <v>0.0</v>
      </c>
      <c r="G13" s="10">
        <v>1.0</v>
      </c>
      <c r="H13" s="10">
        <v>99.0</v>
      </c>
      <c r="I13" s="10">
        <v>13.0</v>
      </c>
      <c r="J13" s="3">
        <f>COUNTIFS( historical_events_FACT!J:J, "&gt;16", historical_events_FACT!G:G, B13,historical_events_FACT!C:C, "10" )</f>
        <v>3</v>
      </c>
      <c r="K13" s="3">
        <f t="shared" si="2"/>
        <v>14.76</v>
      </c>
      <c r="L13" s="3">
        <f t="shared" si="3"/>
        <v>15.02</v>
      </c>
      <c r="M13" s="3">
        <f>SUMIFS( '2014Data'!I:I, '2014Data'!F:F, B13,'2014Data'!B:B, "10" )</f>
        <v>105.17</v>
      </c>
      <c r="N13" s="3">
        <f>COUNTIFS('2014Data'!F:F, B13,'2014Data'!B:B, "10" )</f>
        <v>7</v>
      </c>
      <c r="O13" s="3">
        <f t="shared" si="4"/>
        <v>13.82</v>
      </c>
      <c r="P13" s="3">
        <f>SUMIFS( historical_events_FACT!J:J, historical_events_FACT!G:G, B13,historical_events_FACT!B:B, "2015",historical_events_FACT!C:C, "10" )</f>
        <v>27.64</v>
      </c>
      <c r="Q13" s="3">
        <f>COUNTIFS(historical_events_FACT!G:G, B13,historical_events_FACT!B:B, "2015",historical_events_FACT!C:C, "10" )</f>
        <v>2</v>
      </c>
      <c r="R13" s="3">
        <f t="shared" si="5"/>
        <v>0</v>
      </c>
      <c r="S13" s="3">
        <f>SUMIFS( historical_events_FACT!J:J, historical_events_FACT!G:G, B13,historical_events_FACT!B:B, "2016",historical_events_FACT!C:C, "10" )</f>
        <v>0</v>
      </c>
      <c r="T13" s="3">
        <f>COUNTIFS(historical_events_FACT!G:G, B13,historical_events_FACT!B:B, "2016",historical_events_FACT!C:C, "10" )</f>
        <v>0</v>
      </c>
      <c r="U13" s="3">
        <f>MAXIFS( historical_events_FACT!J:J, historical_events_FACT!G:G, B13,historical_events_FACT!C:C, "10" )</f>
        <v>17.93</v>
      </c>
      <c r="V13" s="97">
        <f t="array" ref="V13">ROUND(AVERAGEIF({ IFERROR(XLOOKUP(B13, 'Surfer Stats - Event 7'!B:B, 'Surfer Stats - Event 7'!Z:Z), ""), IFERROR(XLOOKUP(B13, 'Surfer Stats - Event 8'!B:B, 'Surfer Stats - Event 8'!Y:Y), ""), IFERROR(XLOOKUP(B13, 'Surfer Stats - Event 9'!B:B, 'Surfer Stats - Event 9'!Y:Y), "") }, "&lt;&gt;"),2)</f>
        <v>50.42</v>
      </c>
      <c r="W13" s="3">
        <f t="array" ref="W13">XLOOKUP(B13, 'Surfer Stats - Event 9'!B:B, 'Surfer Stats - Event 9'!Y:Y)</f>
        <v>88.11</v>
      </c>
      <c r="X13" s="75">
        <f>7450+5200+1750+5200+1750+1750+5200</f>
        <v>28300</v>
      </c>
      <c r="Y13" s="3">
        <f t="array" ref="Y13">XLOOKUP(B13,'Event 10 Assist'!A:A, 'Event 10 Assist'!E:E)</f>
        <v>54.41</v>
      </c>
    </row>
    <row r="14">
      <c r="A14" s="10">
        <v>1.0</v>
      </c>
      <c r="B14" s="66" t="s">
        <v>64</v>
      </c>
      <c r="C14" s="3" t="str">
        <f t="array" ref="C14">XLOOKUP(B14, 'Surfer Stats - Event 4'!B:B, 'Surfer Stats - Event 4'!D:D)</f>
        <v>Regular</v>
      </c>
      <c r="D14" s="3">
        <f t="shared" si="1"/>
        <v>7</v>
      </c>
      <c r="E14" s="10">
        <v>0.0</v>
      </c>
      <c r="F14" s="10">
        <v>1.0</v>
      </c>
      <c r="G14" s="10">
        <v>99.0</v>
      </c>
      <c r="H14" s="10">
        <v>13.0</v>
      </c>
      <c r="I14" s="10">
        <v>5.0</v>
      </c>
      <c r="J14" s="3">
        <f>COUNTIFS( historical_events_FACT!J:J, "&gt;16", historical_events_FACT!G:G, B14,historical_events_FACT!C:C, "10" )</f>
        <v>2</v>
      </c>
      <c r="K14" s="3">
        <f t="shared" si="2"/>
        <v>12.78</v>
      </c>
      <c r="L14" s="3">
        <f t="shared" si="3"/>
        <v>6.9</v>
      </c>
      <c r="M14" s="10">
        <v>6.9</v>
      </c>
      <c r="N14" s="10">
        <v>1.0</v>
      </c>
      <c r="O14" s="3">
        <f t="shared" si="4"/>
        <v>14.47</v>
      </c>
      <c r="P14" s="3">
        <f>SUMIFS( historical_events_FACT!J:J, historical_events_FACT!G:G, B14,historical_events_FACT!B:B, "2015",historical_events_FACT!C:C, "10" )</f>
        <v>57.88</v>
      </c>
      <c r="Q14" s="3">
        <f>COUNTIFS(historical_events_FACT!G:G, B14,historical_events_FACT!B:B, "2015",historical_events_FACT!C:C, "10" )</f>
        <v>4</v>
      </c>
      <c r="R14" s="3">
        <f t="shared" si="5"/>
        <v>12.34</v>
      </c>
      <c r="S14" s="3">
        <f>SUMIFS( historical_events_FACT!J:J, historical_events_FACT!G:G, B14,historical_events_FACT!B:B, "2016",historical_events_FACT!C:C, "10" )</f>
        <v>24.67</v>
      </c>
      <c r="T14" s="3">
        <f>COUNTIFS(historical_events_FACT!G:G, B14,historical_events_FACT!B:B, "2016",historical_events_FACT!C:C, "10" )</f>
        <v>2</v>
      </c>
      <c r="U14" s="3">
        <f>MAXIFS( historical_events_FACT!J:J, historical_events_FACT!G:G, B14,historical_events_FACT!C:C, "10" )</f>
        <v>16.43</v>
      </c>
      <c r="V14" s="97">
        <f t="array" ref="V14">ROUND(AVERAGEIF({ IFERROR(XLOOKUP(B14, 'Surfer Stats - Event 7'!B:B, 'Surfer Stats - Event 7'!Z:Z), ""), IFERROR(XLOOKUP(B14, 'Surfer Stats - Event 8'!B:B, 'Surfer Stats - Event 8'!Y:Y), ""), IFERROR(XLOOKUP(B14, 'Surfer Stats - Event 9'!B:B, 'Surfer Stats - Event 9'!Y:Y), "") }, "&lt;&gt;"),2)</f>
        <v>40.31</v>
      </c>
      <c r="W14" s="3">
        <f t="array" ref="W14">XLOOKUP(B14, 'Surfer Stats - Event 9'!B:B, 'Surfer Stats - Event 9'!Y:Y)</f>
        <v>37.02</v>
      </c>
      <c r="X14" s="75">
        <f>7450+1750+1750+8000+500+5200+1750</f>
        <v>26400</v>
      </c>
      <c r="Y14" s="3">
        <f t="array" ref="Y14">XLOOKUP(B14,'Event 10 Assist'!A:A, 'Event 10 Assist'!E:E)</f>
        <v>46.47</v>
      </c>
    </row>
    <row r="15">
      <c r="A15" s="10">
        <v>1.0</v>
      </c>
      <c r="B15" s="66" t="s">
        <v>47</v>
      </c>
      <c r="C15" s="3" t="str">
        <f t="array" ref="C15">XLOOKUP(B15, 'Surfer Stats - Event 4'!B:B, 'Surfer Stats - Event 4'!D:D)</f>
        <v>Goofy</v>
      </c>
      <c r="D15" s="3">
        <f t="shared" si="1"/>
        <v>6</v>
      </c>
      <c r="E15" s="10">
        <v>0.0</v>
      </c>
      <c r="F15" s="10">
        <v>0.0</v>
      </c>
      <c r="G15" s="10">
        <v>25.0</v>
      </c>
      <c r="H15" s="10">
        <v>25.0</v>
      </c>
      <c r="I15" s="10">
        <v>25.0</v>
      </c>
      <c r="J15" s="3">
        <f>COUNTIFS( historical_events_FACT!J:J, "&gt;16", historical_events_FACT!G:G, B15,historical_events_FACT!C:C, "10" )</f>
        <v>0</v>
      </c>
      <c r="K15" s="3">
        <f t="shared" si="2"/>
        <v>7.76</v>
      </c>
      <c r="L15" s="3">
        <f t="shared" si="3"/>
        <v>4.65</v>
      </c>
      <c r="M15" s="3">
        <f>SUMIFS( '2014Data'!I:I, '2014Data'!F:F, B15,'2014Data'!B:B, "10" )</f>
        <v>9.3</v>
      </c>
      <c r="N15" s="3">
        <f>COUNTIFS('2014Data'!F:F, B15,'2014Data'!B:B, "10" )</f>
        <v>2</v>
      </c>
      <c r="O15" s="3">
        <f t="shared" si="4"/>
        <v>9.05</v>
      </c>
      <c r="P15" s="3">
        <f>SUMIFS( historical_events_FACT!J:J, historical_events_FACT!G:G, B15,historical_events_FACT!B:B, "2015",historical_events_FACT!C:C, "10" )</f>
        <v>18.1</v>
      </c>
      <c r="Q15" s="3">
        <f>COUNTIFS(historical_events_FACT!G:G, B15,historical_events_FACT!B:B, "2015",historical_events_FACT!C:C, "10" )</f>
        <v>2</v>
      </c>
      <c r="R15" s="3">
        <f t="shared" si="5"/>
        <v>9.59</v>
      </c>
      <c r="S15" s="3">
        <f>SUMIFS( historical_events_FACT!J:J, historical_events_FACT!G:G, B15,historical_events_FACT!B:B, "2016",historical_events_FACT!C:C, "10" )</f>
        <v>19.18</v>
      </c>
      <c r="T15" s="3">
        <f>COUNTIFS(historical_events_FACT!G:G, B15,historical_events_FACT!B:B, "2016",historical_events_FACT!C:C, "10" )</f>
        <v>2</v>
      </c>
      <c r="U15" s="3">
        <f>MAXIFS( historical_events_FACT!J:J, historical_events_FACT!G:G, B15,historical_events_FACT!C:C, "10" )</f>
        <v>11.34</v>
      </c>
      <c r="V15" s="97">
        <f t="array" ref="V15">ROUND(AVERAGEIF({ IFERROR(XLOOKUP(B15, 'Surfer Stats - Event 7'!B:B, 'Surfer Stats - Event 7'!Z:Z), ""), IFERROR(XLOOKUP(B15, 'Surfer Stats - Event 8'!B:B, 'Surfer Stats - Event 8'!Y:Y), ""), IFERROR(XLOOKUP(B15, 'Surfer Stats - Event 9'!B:B, 'Surfer Stats - Event 9'!Y:Y), "") }, "&lt;&gt;"),2)</f>
        <v>59.81</v>
      </c>
      <c r="W15" s="3">
        <f t="array" ref="W15">XLOOKUP(B15, 'Surfer Stats - Event 9'!B:B, 'Surfer Stats - Event 9'!Y:Y)</f>
        <v>28.87</v>
      </c>
      <c r="X15" s="75">
        <f>4000+8000+500+500+4000+6500+1750</f>
        <v>25250</v>
      </c>
      <c r="Y15" s="3">
        <f t="array" ref="Y15">XLOOKUP(B15,'Event 10 Assist'!A:A, 'Event 10 Assist'!E:E)</f>
        <v>34.34</v>
      </c>
    </row>
    <row r="16">
      <c r="A16" s="10">
        <v>1.0</v>
      </c>
      <c r="B16" s="66" t="s">
        <v>61</v>
      </c>
      <c r="C16" s="3" t="str">
        <f t="array" ref="C16">XLOOKUP(B16, 'Surfer Stats - Event 4'!B:B, 'Surfer Stats - Event 4'!D:D)</f>
        <v>Goofy</v>
      </c>
      <c r="D16" s="3">
        <f t="shared" si="1"/>
        <v>10</v>
      </c>
      <c r="E16" s="10">
        <v>0.0</v>
      </c>
      <c r="F16" s="10">
        <v>0.0</v>
      </c>
      <c r="G16" s="10">
        <v>99.0</v>
      </c>
      <c r="H16" s="10">
        <v>99.0</v>
      </c>
      <c r="I16" s="10">
        <v>99.0</v>
      </c>
      <c r="J16" s="3">
        <f>COUNTIFS( historical_events_FACT!J:J, "&gt;16", historical_events_FACT!G:G, B16,historical_events_FACT!C:C, "10" )</f>
        <v>0</v>
      </c>
      <c r="K16" s="3">
        <f t="shared" si="2"/>
        <v>13.27</v>
      </c>
      <c r="L16" s="3">
        <f t="shared" si="3"/>
        <v>12.24</v>
      </c>
      <c r="M16" s="10">
        <v>24.47</v>
      </c>
      <c r="N16" s="10">
        <v>2.0</v>
      </c>
      <c r="O16" s="3">
        <f t="shared" si="4"/>
        <v>13.46</v>
      </c>
      <c r="P16" s="10">
        <v>53.84</v>
      </c>
      <c r="Q16" s="10">
        <v>4.0</v>
      </c>
      <c r="R16" s="3">
        <f t="shared" si="5"/>
        <v>13.61</v>
      </c>
      <c r="S16" s="10">
        <v>54.43</v>
      </c>
      <c r="T16" s="10">
        <v>4.0</v>
      </c>
      <c r="U16" s="10">
        <v>17.47</v>
      </c>
      <c r="V16" s="97">
        <f t="array" ref="V16">ROUND(AVERAGEIF({ IFERROR(XLOOKUP(B16, 'Surfer Stats - Event 7'!B:B, 'Surfer Stats - Event 7'!Z:Z), ""), IFERROR(XLOOKUP(B16, 'Surfer Stats - Event 8'!B:B, 'Surfer Stats - Event 8'!Y:Y), ""), IFERROR(XLOOKUP(B16, 'Surfer Stats - Event 9'!B:B, 'Surfer Stats - Event 9'!Y:Y), "") }, "&lt;&gt;"),2)</f>
        <v>32.4</v>
      </c>
      <c r="W16" s="3">
        <f t="array" ref="W16">XLOOKUP(B16, 'Surfer Stats - Event 9'!B:B, 'Surfer Stats - Event 9'!Y:Y)</f>
        <v>22.44</v>
      </c>
      <c r="X16" s="75">
        <f>8700+1750+8000+1750+4000+500+500</f>
        <v>25200</v>
      </c>
      <c r="Y16" s="3">
        <f t="array" ref="Y16">XLOOKUP(B16,'Event 10 Assist'!A:A, 'Event 10 Assist'!E:E)</f>
        <v>57.17</v>
      </c>
    </row>
    <row r="17">
      <c r="A17" s="10">
        <v>1.0</v>
      </c>
      <c r="B17" s="66" t="s">
        <v>65</v>
      </c>
      <c r="C17" s="3" t="str">
        <f t="array" ref="C17">XLOOKUP(B17, 'Surfer Stats - Event 4'!B:B, 'Surfer Stats - Event 4'!D:D)</f>
        <v>Goofy</v>
      </c>
      <c r="D17" s="3">
        <f t="shared" si="1"/>
        <v>9</v>
      </c>
      <c r="E17" s="10">
        <v>0.0</v>
      </c>
      <c r="F17" s="10">
        <v>0.0</v>
      </c>
      <c r="G17" s="10">
        <v>99.0</v>
      </c>
      <c r="H17" s="10">
        <v>99.0</v>
      </c>
      <c r="I17" s="10">
        <v>99.0</v>
      </c>
      <c r="J17" s="3">
        <f>COUNTIFS( historical_events_FACT!J:J, "&gt;16", historical_events_FACT!G:G, B17,historical_events_FACT!C:C, "10" )</f>
        <v>0</v>
      </c>
      <c r="K17" s="3">
        <f t="shared" si="2"/>
        <v>12.87</v>
      </c>
      <c r="L17" s="3">
        <f t="shared" si="3"/>
        <v>13.12</v>
      </c>
      <c r="M17" s="10">
        <v>26.23</v>
      </c>
      <c r="N17" s="10">
        <v>2.0</v>
      </c>
      <c r="O17" s="3">
        <f t="shared" si="4"/>
        <v>8.92</v>
      </c>
      <c r="P17" s="10">
        <v>17.84</v>
      </c>
      <c r="Q17" s="10">
        <v>2.0</v>
      </c>
      <c r="R17" s="3">
        <f t="shared" si="5"/>
        <v>14.36</v>
      </c>
      <c r="S17" s="10">
        <v>71.8</v>
      </c>
      <c r="T17" s="10">
        <v>5.0</v>
      </c>
      <c r="U17" s="10">
        <v>15.5</v>
      </c>
      <c r="V17" s="97">
        <f t="array" ref="V17">ROUND(AVERAGEIF({ IFERROR(XLOOKUP(B17, 'Surfer Stats - Event 7'!B:B, 'Surfer Stats - Event 7'!Z:Z), ""), IFERROR(XLOOKUP(B17, 'Surfer Stats - Event 8'!B:B, 'Surfer Stats - Event 8'!Y:Y), ""), IFERROR(XLOOKUP(B17, 'Surfer Stats - Event 9'!B:B, 'Surfer Stats - Event 9'!Y:Y), "") }, "&lt;&gt;"),2)</f>
        <v>48.69</v>
      </c>
      <c r="W17" s="3">
        <f t="array" ref="W17">XLOOKUP(B17, 'Surfer Stats - Event 9'!B:B, 'Surfer Stats - Event 9'!Y:Y)</f>
        <v>52.67</v>
      </c>
      <c r="X17" s="75">
        <f>2750+500+5200+4000+5200+1750+4000</f>
        <v>23400</v>
      </c>
      <c r="Y17" s="3">
        <f t="array" ref="Y17">XLOOKUP(B17,'Event 10 Assist'!A:A, 'Event 10 Assist'!E:E)</f>
        <v>13.96</v>
      </c>
    </row>
    <row r="18">
      <c r="A18" s="10">
        <v>1.0</v>
      </c>
      <c r="B18" s="66" t="s">
        <v>27</v>
      </c>
      <c r="C18" s="3" t="str">
        <f t="array" ref="C18">XLOOKUP(B18, 'Surfer Stats - Event 4'!B:B, 'Surfer Stats - Event 4'!D:D)</f>
        <v>Regular</v>
      </c>
      <c r="D18" s="3">
        <f t="shared" si="1"/>
        <v>15</v>
      </c>
      <c r="E18" s="10">
        <v>0.0</v>
      </c>
      <c r="F18" s="10">
        <v>0.0</v>
      </c>
      <c r="G18" s="10">
        <v>9.0</v>
      </c>
      <c r="H18" s="10">
        <v>9.0</v>
      </c>
      <c r="I18" s="10">
        <v>9.0</v>
      </c>
      <c r="J18" s="3">
        <f>COUNTIFS( historical_events_FACT!J:J, "&gt;16", historical_events_FACT!G:G, B18,historical_events_FACT!C:C, "10" )</f>
        <v>1</v>
      </c>
      <c r="K18" s="3">
        <f t="shared" si="2"/>
        <v>10.13</v>
      </c>
      <c r="L18" s="3">
        <f t="shared" si="3"/>
        <v>8.16</v>
      </c>
      <c r="M18" s="3">
        <f>SUMIFS( '2014Data'!I:I, '2014Data'!F:F, B18,'2014Data'!B:B, "10" )</f>
        <v>40.79</v>
      </c>
      <c r="N18" s="3">
        <f>COUNTIFS('2014Data'!F:F, B18,'2014Data'!B:B, "10" )</f>
        <v>5</v>
      </c>
      <c r="O18" s="3">
        <f t="shared" si="4"/>
        <v>10.67</v>
      </c>
      <c r="P18" s="3">
        <f>SUMIFS( historical_events_FACT!J:J, historical_events_FACT!G:G, B18,historical_events_FACT!B:B, "2015",historical_events_FACT!C:C, "10" )</f>
        <v>53.35</v>
      </c>
      <c r="Q18" s="3">
        <f>COUNTIFS(historical_events_FACT!G:G, B18,historical_events_FACT!B:B, "2015",historical_events_FACT!C:C, "10" )</f>
        <v>5</v>
      </c>
      <c r="R18" s="3">
        <f t="shared" si="5"/>
        <v>11.56</v>
      </c>
      <c r="S18" s="3">
        <f>SUMIFS( historical_events_FACT!J:J, historical_events_FACT!G:G, B18,historical_events_FACT!B:B, "2016",historical_events_FACT!C:C, "10" )</f>
        <v>57.81</v>
      </c>
      <c r="T18" s="3">
        <f>COUNTIFS(historical_events_FACT!G:G, B18,historical_events_FACT!B:B, "2016",historical_events_FACT!C:C, "10" )</f>
        <v>5</v>
      </c>
      <c r="U18" s="3">
        <f>MAXIFS( historical_events_FACT!J:J, historical_events_FACT!G:G, B18,historical_events_FACT!C:C, "10" )</f>
        <v>17.23</v>
      </c>
      <c r="V18" s="97">
        <f t="array" ref="V18">ROUND(AVERAGEIF({ IFERROR(XLOOKUP(B18, 'Surfer Stats - Event 7'!B:B, 'Surfer Stats - Event 7'!Z:Z), ""), IFERROR(XLOOKUP(B18, 'Surfer Stats - Event 8'!B:B, 'Surfer Stats - Event 8'!Y:Y), ""), IFERROR(XLOOKUP(B18, 'Surfer Stats - Event 9'!B:B, 'Surfer Stats - Event 9'!Y:Y), "") }, "&lt;&gt;"),2)</f>
        <v>31.37</v>
      </c>
      <c r="W18" s="3">
        <f t="array" ref="W18">XLOOKUP(B18, 'Surfer Stats - Event 9'!B:B, 'Surfer Stats - Event 9'!Y:Y)</f>
        <v>28.9</v>
      </c>
      <c r="X18" s="75">
        <f>7450+500+6500+4000+1750+500+1750</f>
        <v>22450</v>
      </c>
      <c r="Y18" s="3">
        <f t="array" ref="Y18">XLOOKUP(B18,'Event 10 Assist'!A:A, 'Event 10 Assist'!E:E)</f>
        <v>20.74</v>
      </c>
    </row>
    <row r="19">
      <c r="A19" s="10">
        <v>1.0</v>
      </c>
      <c r="B19" s="66" t="s">
        <v>50</v>
      </c>
      <c r="C19" s="3" t="str">
        <f t="array" ref="C19">XLOOKUP(B19, 'Surfer Stats - Event 4'!B:B, 'Surfer Stats - Event 4'!D:D)</f>
        <v>Regular</v>
      </c>
      <c r="D19" s="3">
        <f t="shared" si="1"/>
        <v>12</v>
      </c>
      <c r="E19" s="10">
        <v>0.0</v>
      </c>
      <c r="F19" s="10">
        <v>0.0</v>
      </c>
      <c r="G19" s="10">
        <v>25.0</v>
      </c>
      <c r="H19" s="10">
        <v>9.0</v>
      </c>
      <c r="I19" s="10">
        <v>5.0</v>
      </c>
      <c r="J19" s="3">
        <f>COUNTIFS( historical_events_FACT!J:J, "&gt;16", historical_events_FACT!G:G, B19,historical_events_FACT!C:C, "10" )</f>
        <v>2</v>
      </c>
      <c r="K19" s="3">
        <f t="shared" si="2"/>
        <v>12.27</v>
      </c>
      <c r="L19" s="3">
        <f t="shared" si="3"/>
        <v>8.65</v>
      </c>
      <c r="M19" s="3">
        <f>SUMIFS( '2014Data'!I:I, '2014Data'!F:F, B19,'2014Data'!B:B, "10" )</f>
        <v>17.3</v>
      </c>
      <c r="N19" s="3">
        <f>COUNTIFS('2014Data'!F:F, B19,'2014Data'!B:B, "10" )</f>
        <v>2</v>
      </c>
      <c r="O19" s="3">
        <f t="shared" si="4"/>
        <v>13.18</v>
      </c>
      <c r="P19" s="3">
        <f>SUMIFS( historical_events_FACT!J:J, historical_events_FACT!G:G, B19,historical_events_FACT!B:B, "2015",historical_events_FACT!C:C, "10" )</f>
        <v>65.89</v>
      </c>
      <c r="Q19" s="3">
        <f>COUNTIFS(historical_events_FACT!G:G, B19,historical_events_FACT!B:B, "2015",historical_events_FACT!C:C, "10" )</f>
        <v>5</v>
      </c>
      <c r="R19" s="3">
        <f t="shared" si="5"/>
        <v>12.81</v>
      </c>
      <c r="S19" s="3">
        <f>SUMIFS( historical_events_FACT!J:J, historical_events_FACT!G:G, B19,historical_events_FACT!B:B, "2016",historical_events_FACT!C:C, "10" )</f>
        <v>64.04</v>
      </c>
      <c r="T19" s="3">
        <f>COUNTIFS(historical_events_FACT!G:G, B19,historical_events_FACT!B:B, "2016",historical_events_FACT!C:C, "10" )</f>
        <v>5</v>
      </c>
      <c r="U19" s="3">
        <f>MAXIFS( historical_events_FACT!J:J, historical_events_FACT!G:G, B19,historical_events_FACT!C:C, "10" )</f>
        <v>17.26</v>
      </c>
      <c r="V19" s="97">
        <f t="array" ref="V19">ROUND(AVERAGEIF({ IFERROR(XLOOKUP(B19, 'Surfer Stats - Event 7'!B:B, 'Surfer Stats - Event 7'!Z:Z), ""), IFERROR(XLOOKUP(B19, 'Surfer Stats - Event 8'!B:B, 'Surfer Stats - Event 8'!Y:Y), ""), IFERROR(XLOOKUP(B19, 'Surfer Stats - Event 9'!B:B, 'Surfer Stats - Event 9'!Y:Y), "") }, "&lt;&gt;"),2)</f>
        <v>47.25</v>
      </c>
      <c r="W19" s="3">
        <f t="array" ref="W19">XLOOKUP(B19, 'Surfer Stats - Event 9'!B:B, 'Surfer Stats - Event 9'!Y:Y)</f>
        <v>41.6</v>
      </c>
      <c r="X19" s="75">
        <f>7500+1750+1750+1750+1750+5200+1750</f>
        <v>21450</v>
      </c>
      <c r="Y19" s="3">
        <f t="array" ref="Y19">XLOOKUP(B19,'Event 10 Assist'!A:A, 'Event 10 Assist'!E:E)</f>
        <v>12.1</v>
      </c>
    </row>
    <row r="20">
      <c r="A20" s="10">
        <v>1.0</v>
      </c>
      <c r="B20" s="66" t="s">
        <v>40</v>
      </c>
      <c r="C20" s="3" t="str">
        <f t="array" ref="C20">XLOOKUP(B20, 'Surfer Stats - Event 4'!B:B, 'Surfer Stats - Event 4'!D:D)</f>
        <v>Regular</v>
      </c>
      <c r="D20" s="3">
        <f t="shared" si="1"/>
        <v>10</v>
      </c>
      <c r="E20" s="10">
        <v>0.0</v>
      </c>
      <c r="F20" s="10">
        <v>0.0</v>
      </c>
      <c r="G20" s="10">
        <v>99.0</v>
      </c>
      <c r="H20" s="10">
        <v>13.0</v>
      </c>
      <c r="I20" s="10">
        <v>13.0</v>
      </c>
      <c r="J20" s="3">
        <f>COUNTIFS( historical_events_FACT!J:J, "&gt;16", historical_events_FACT!G:G, B20,historical_events_FACT!C:C, "10" )</f>
        <v>0</v>
      </c>
      <c r="K20" s="3">
        <f t="shared" si="2"/>
        <v>12.8</v>
      </c>
      <c r="L20" s="3">
        <f t="shared" si="3"/>
        <v>12.06</v>
      </c>
      <c r="M20" s="10">
        <v>48.23</v>
      </c>
      <c r="N20" s="10">
        <v>4.0</v>
      </c>
      <c r="O20" s="3">
        <f t="shared" si="4"/>
        <v>13.76</v>
      </c>
      <c r="P20" s="3">
        <f>SUMIFS( historical_events_FACT!J:J, historical_events_FACT!G:G, B20,historical_events_FACT!B:B, "2015",historical_events_FACT!C:C, "10" )</f>
        <v>41.27</v>
      </c>
      <c r="Q20" s="3">
        <f>COUNTIFS(historical_events_FACT!G:G, B20,historical_events_FACT!B:B, "2015",historical_events_FACT!C:C, "10" )</f>
        <v>3</v>
      </c>
      <c r="R20" s="3">
        <f t="shared" si="5"/>
        <v>12.85</v>
      </c>
      <c r="S20" s="3">
        <f>SUMIFS( historical_events_FACT!J:J, historical_events_FACT!G:G, B20,historical_events_FACT!B:B, "2016",historical_events_FACT!C:C, "10" )</f>
        <v>38.54</v>
      </c>
      <c r="T20" s="3">
        <f>COUNTIFS(historical_events_FACT!G:G, B20,historical_events_FACT!B:B, "2016",historical_events_FACT!C:C, "10" )</f>
        <v>3</v>
      </c>
      <c r="U20" s="3">
        <f>MAXIFS( historical_events_FACT!J:J, historical_events_FACT!G:G, B20,historical_events_FACT!C:C, "10" )</f>
        <v>15.87</v>
      </c>
      <c r="V20" s="97">
        <f t="array" ref="V20">ROUND(AVERAGEIF({ IFERROR(XLOOKUP(B20, 'Surfer Stats - Event 7'!B:B, 'Surfer Stats - Event 7'!Z:Z), ""), IFERROR(XLOOKUP(B20, 'Surfer Stats - Event 8'!B:B, 'Surfer Stats - Event 8'!Y:Y), ""), IFERROR(XLOOKUP(B20, 'Surfer Stats - Event 9'!B:B, 'Surfer Stats - Event 9'!Y:Y), "") }, "&lt;&gt;"),2)</f>
        <v>31.82</v>
      </c>
      <c r="W20" s="3">
        <f t="array" ref="W20">XLOOKUP(B20, 'Surfer Stats - Event 9'!B:B, 'Surfer Stats - Event 9'!Y:Y)</f>
        <v>61.15</v>
      </c>
      <c r="X20" s="75">
        <f>11500+1750+500+1750+500+500+4000</f>
        <v>20500</v>
      </c>
      <c r="Y20" s="3">
        <f t="array" ref="Y20">XLOOKUP(B20,'Event 10 Assist'!A:A, 'Event 10 Assist'!E:E)</f>
        <v>24.76</v>
      </c>
    </row>
    <row r="21">
      <c r="A21" s="10">
        <v>1.0</v>
      </c>
      <c r="B21" s="66" t="s">
        <v>59</v>
      </c>
      <c r="C21" s="3" t="str">
        <f t="array" ref="C21">XLOOKUP(B21, 'Surfer Stats - Event 4'!B:B, 'Surfer Stats - Event 4'!D:D)</f>
        <v>Regular</v>
      </c>
      <c r="D21" s="3">
        <f t="shared" si="1"/>
        <v>7</v>
      </c>
      <c r="E21" s="10">
        <v>0.0</v>
      </c>
      <c r="F21" s="10">
        <v>0.0</v>
      </c>
      <c r="G21" s="10">
        <v>9.0</v>
      </c>
      <c r="H21" s="10">
        <v>99.0</v>
      </c>
      <c r="I21" s="10">
        <v>13.0</v>
      </c>
      <c r="J21" s="3">
        <f>COUNTIFS( historical_events_FACT!J:J, "&gt;16", historical_events_FACT!G:G, B21,historical_events_FACT!C:C, "10" )</f>
        <v>0</v>
      </c>
      <c r="K21" s="3">
        <f t="shared" si="2"/>
        <v>11.22</v>
      </c>
      <c r="L21" s="3">
        <f t="shared" si="3"/>
        <v>10.79</v>
      </c>
      <c r="M21" s="3">
        <f>SUMIFS( '2014Data'!I:I, '2014Data'!F:F, B21,'2014Data'!B:B, "10" )</f>
        <v>53.93</v>
      </c>
      <c r="N21" s="3">
        <f>COUNTIFS('2014Data'!F:F, B21,'2014Data'!B:B, "10" )</f>
        <v>5</v>
      </c>
      <c r="O21" s="3">
        <f t="shared" si="4"/>
        <v>12.3</v>
      </c>
      <c r="P21" s="3">
        <f>SUMIFS( historical_events_FACT!J:J, historical_events_FACT!G:G, B21,historical_events_FACT!B:B, "2015",historical_events_FACT!C:C, "10" )</f>
        <v>24.6</v>
      </c>
      <c r="Q21" s="3">
        <f>COUNTIFS(historical_events_FACT!G:G, B21,historical_events_FACT!B:B, "2015",historical_events_FACT!C:C, "10" )</f>
        <v>2</v>
      </c>
      <c r="R21" s="3">
        <f t="shared" si="5"/>
        <v>0</v>
      </c>
      <c r="S21" s="3">
        <f>SUMIFS( historical_events_FACT!J:J, historical_events_FACT!G:G, B21,historical_events_FACT!B:B, "2016",historical_events_FACT!C:C, "10" )</f>
        <v>0</v>
      </c>
      <c r="T21" s="3">
        <f>COUNTIFS(historical_events_FACT!G:G, B21,historical_events_FACT!B:B, "2016",historical_events_FACT!C:C, "10" )</f>
        <v>0</v>
      </c>
      <c r="U21" s="3">
        <f>MAXIFS( historical_events_FACT!J:J, historical_events_FACT!G:G, B21,historical_events_FACT!C:C, "10" )</f>
        <v>14.17</v>
      </c>
      <c r="V21" s="97">
        <f t="array" ref="V21">ROUND(AVERAGEIF({ IFERROR(XLOOKUP(B21, 'Surfer Stats - Event 7'!B:B, 'Surfer Stats - Event 7'!Z:Z), ""), IFERROR(XLOOKUP(B21, 'Surfer Stats - Event 8'!B:B, 'Surfer Stats - Event 8'!Y:Y), ""), IFERROR(XLOOKUP(B21, 'Surfer Stats - Event 9'!B:B, 'Surfer Stats - Event 9'!Y:Y), "") }, "&lt;&gt;"),2)</f>
        <v>40.11</v>
      </c>
      <c r="W21" s="3">
        <f t="array" ref="W21">XLOOKUP(B21, 'Surfer Stats - Event 9'!B:B, 'Surfer Stats - Event 9'!Y:Y)</f>
        <v>33.4</v>
      </c>
      <c r="X21" s="75">
        <f>4000+1750+5200+1750+1750+4000+1750</f>
        <v>20200</v>
      </c>
      <c r="Y21" s="3">
        <f t="array" ref="Y21">XLOOKUP(B21,'Event 10 Assist'!A:A, 'Event 10 Assist'!E:E)</f>
        <v>16.04</v>
      </c>
    </row>
    <row r="22">
      <c r="A22" s="10">
        <v>1.0</v>
      </c>
      <c r="B22" s="66" t="s">
        <v>52</v>
      </c>
      <c r="C22" s="3" t="str">
        <f t="array" ref="C22">XLOOKUP(B22, 'Surfer Stats - Event 4'!B:B, 'Surfer Stats - Event 4'!D:D)</f>
        <v>Regular</v>
      </c>
      <c r="D22" s="3">
        <f t="shared" si="1"/>
        <v>15</v>
      </c>
      <c r="E22" s="10">
        <v>0.0</v>
      </c>
      <c r="F22" s="10">
        <v>0.0</v>
      </c>
      <c r="G22" s="10">
        <v>99.0</v>
      </c>
      <c r="H22" s="10">
        <v>2.0</v>
      </c>
      <c r="I22" s="10">
        <v>99.0</v>
      </c>
      <c r="J22" s="3">
        <f>COUNTIFS( historical_events_FACT!J:J, "&gt;16", historical_events_FACT!G:G, B22,historical_events_FACT!C:C, "10" )</f>
        <v>0</v>
      </c>
      <c r="K22" s="3">
        <f t="shared" si="2"/>
        <v>12.09</v>
      </c>
      <c r="L22" s="3">
        <f t="shared" si="3"/>
        <v>9.12</v>
      </c>
      <c r="M22" s="10">
        <v>18.23</v>
      </c>
      <c r="N22" s="10">
        <v>2.0</v>
      </c>
      <c r="O22" s="3">
        <f t="shared" si="4"/>
        <v>14.23</v>
      </c>
      <c r="P22" s="10">
        <v>71.16</v>
      </c>
      <c r="Q22" s="10">
        <v>5.0</v>
      </c>
      <c r="R22" s="3">
        <f t="shared" si="5"/>
        <v>11.5</v>
      </c>
      <c r="S22" s="3">
        <f>SUMIFS( historical_events_FACT!J:J, historical_events_FACT!G:G, B22,historical_events_FACT!B:B, "2016",historical_events_FACT!C:C, "10" )</f>
        <v>91.99</v>
      </c>
      <c r="T22" s="3">
        <f>COUNTIFS(historical_events_FACT!G:G, B22,historical_events_FACT!B:B, "2016",historical_events_FACT!C:C, "10" )</f>
        <v>8</v>
      </c>
      <c r="U22" s="3">
        <f>MAXIFS( historical_events_FACT!J:J, historical_events_FACT!G:G, B22,historical_events_FACT!C:C, "10" )</f>
        <v>15</v>
      </c>
      <c r="V22" s="97">
        <f t="array" ref="V22">ROUND(AVERAGEIF({ IFERROR(XLOOKUP(B22, 'Surfer Stats - Event 7'!B:B, 'Surfer Stats - Event 7'!Z:Z), ""), IFERROR(XLOOKUP(B22, 'Surfer Stats - Event 8'!B:B, 'Surfer Stats - Event 8'!Y:Y), ""), IFERROR(XLOOKUP(B22, 'Surfer Stats - Event 9'!B:B, 'Surfer Stats - Event 9'!Y:Y), "") }, "&lt;&gt;"),2)</f>
        <v>34.71</v>
      </c>
      <c r="W22" s="3">
        <f t="array" ref="W22">XLOOKUP(B22, 'Surfer Stats - Event 9'!B:B, 'Surfer Stats - Event 9'!Y:Y)</f>
        <v>15.83</v>
      </c>
      <c r="X22" s="75">
        <f>+500+8500+500+4000+4000+1750+500</f>
        <v>19750</v>
      </c>
      <c r="Y22" s="3">
        <f t="array" ref="Y22">XLOOKUP(B22,'Event 10 Assist'!A:A, 'Event 10 Assist'!E:E)</f>
        <v>25.21</v>
      </c>
    </row>
    <row r="23">
      <c r="A23" s="10">
        <v>1.0</v>
      </c>
      <c r="B23" s="66" t="s">
        <v>54</v>
      </c>
      <c r="C23" s="3" t="str">
        <f t="array" ref="C23">XLOOKUP(B23, 'Surfer Stats - Event 4'!B:B, 'Surfer Stats - Event 4'!D:D)</f>
        <v>Goofy</v>
      </c>
      <c r="D23" s="3">
        <f t="shared" si="1"/>
        <v>10</v>
      </c>
      <c r="E23" s="10">
        <v>0.0</v>
      </c>
      <c r="F23" s="10">
        <v>0.0</v>
      </c>
      <c r="G23" s="10">
        <v>99.0</v>
      </c>
      <c r="H23" s="10">
        <v>13.0</v>
      </c>
      <c r="I23" s="10">
        <v>25.0</v>
      </c>
      <c r="J23" s="3">
        <f>COUNTIFS( historical_events_FACT!J:J, "&gt;16", historical_events_FACT!G:G, B23,historical_events_FACT!C:C, "10" )</f>
        <v>0</v>
      </c>
      <c r="K23" s="3">
        <f t="shared" si="2"/>
        <v>13.22</v>
      </c>
      <c r="L23" s="3">
        <f t="shared" si="3"/>
        <v>13.93</v>
      </c>
      <c r="M23" s="10">
        <v>83.59</v>
      </c>
      <c r="N23" s="10">
        <v>6.0</v>
      </c>
      <c r="O23" s="3">
        <f t="shared" si="4"/>
        <v>11.32</v>
      </c>
      <c r="P23" s="3">
        <f>SUMIFS( historical_events_FACT!J:J, historical_events_FACT!G:G, B23,historical_events_FACT!B:B, "2015",historical_events_FACT!C:C, "10" )</f>
        <v>22.64</v>
      </c>
      <c r="Q23" s="3">
        <f>COUNTIFS(historical_events_FACT!G:G, B23,historical_events_FACT!B:B, "2015",historical_events_FACT!C:C, "10" )</f>
        <v>2</v>
      </c>
      <c r="R23" s="3">
        <f t="shared" si="5"/>
        <v>12.97</v>
      </c>
      <c r="S23" s="3">
        <f>SUMIFS( historical_events_FACT!J:J, historical_events_FACT!G:G, B23,historical_events_FACT!B:B, "2016",historical_events_FACT!C:C, "10" )</f>
        <v>25.94</v>
      </c>
      <c r="T23" s="3">
        <f>COUNTIFS(historical_events_FACT!G:G, B23,historical_events_FACT!B:B, "2016",historical_events_FACT!C:C, "10" )</f>
        <v>2</v>
      </c>
      <c r="U23" s="3">
        <f>MAXIFS( historical_events_FACT!J:J, historical_events_FACT!G:G, B23,historical_events_FACT!C:C, "10" )</f>
        <v>15</v>
      </c>
      <c r="V23" s="97">
        <f t="array" ref="V23">ROUND(AVERAGEIF({ IFERROR(XLOOKUP(B23, 'Surfer Stats - Event 7'!B:B, 'Surfer Stats - Event 7'!Z:Z), ""), IFERROR(XLOOKUP(B23, 'Surfer Stats - Event 8'!B:B, 'Surfer Stats - Event 8'!Y:Y), ""), IFERROR(XLOOKUP(B23, 'Surfer Stats - Event 9'!B:B, 'Surfer Stats - Event 9'!Y:Y), "") }, "&lt;&gt;"),2)</f>
        <v>41.18</v>
      </c>
      <c r="W23" s="3">
        <f t="array" ref="W23">XLOOKUP(B23, 'Surfer Stats - Event 9'!B:B, 'Surfer Stats - Event 9'!Y:Y)</f>
        <v>21.3</v>
      </c>
      <c r="X23" s="75">
        <f>5000+4000+1750+500+5200+1750+500</f>
        <v>18700</v>
      </c>
      <c r="Y23" s="3">
        <f t="array" ref="Y23">XLOOKUP(B23,'Event 10 Assist'!A:A, 'Event 10 Assist'!E:E)</f>
        <v>6.77</v>
      </c>
    </row>
    <row r="24">
      <c r="A24" s="10">
        <v>1.0</v>
      </c>
      <c r="B24" s="66" t="s">
        <v>17</v>
      </c>
      <c r="C24" s="3" t="str">
        <f t="array" ref="C24">XLOOKUP(B24, 'Surfer Stats - Event 4'!B:B, 'Surfer Stats - Event 4'!D:D)</f>
        <v>Goofy</v>
      </c>
      <c r="D24" s="3">
        <f t="shared" si="1"/>
        <v>15</v>
      </c>
      <c r="E24" s="10">
        <v>0.0</v>
      </c>
      <c r="F24" s="10">
        <v>0.0</v>
      </c>
      <c r="G24" s="10">
        <v>99.0</v>
      </c>
      <c r="H24" s="10">
        <v>13.0</v>
      </c>
      <c r="I24" s="10">
        <v>2.0</v>
      </c>
      <c r="J24" s="3">
        <f>COUNTIFS( historical_events_FACT!J:J, "&gt;16", historical_events_FACT!G:G, B24,historical_events_FACT!C:C, "10" )</f>
        <v>3</v>
      </c>
      <c r="K24" s="3">
        <f t="shared" si="2"/>
        <v>14.63</v>
      </c>
      <c r="L24" s="3">
        <f t="shared" si="3"/>
        <v>14.32</v>
      </c>
      <c r="M24" s="10">
        <v>85.94</v>
      </c>
      <c r="N24" s="10">
        <v>6.0</v>
      </c>
      <c r="O24" s="3">
        <f t="shared" si="4"/>
        <v>15.17</v>
      </c>
      <c r="P24" s="3">
        <f>SUMIFS( historical_events_FACT!J:J, historical_events_FACT!G:G, B24,historical_events_FACT!B:B, "2015",historical_events_FACT!C:C, "10" )</f>
        <v>106.21</v>
      </c>
      <c r="Q24" s="3">
        <f>COUNTIFS(historical_events_FACT!G:G, B24,historical_events_FACT!B:B, "2015",historical_events_FACT!C:C, "10" )</f>
        <v>7</v>
      </c>
      <c r="R24" s="3">
        <f t="shared" si="5"/>
        <v>13.62</v>
      </c>
      <c r="S24" s="3">
        <f>SUMIFS( historical_events_FACT!J:J, historical_events_FACT!G:G, B24,historical_events_FACT!B:B, "2016",historical_events_FACT!C:C, "10" )</f>
        <v>27.23</v>
      </c>
      <c r="T24" s="3">
        <f>COUNTIFS(historical_events_FACT!G:G, B24,historical_events_FACT!B:B, "2016",historical_events_FACT!C:C, "10" )</f>
        <v>2</v>
      </c>
      <c r="U24" s="3">
        <f>MAXIFS( historical_events_FACT!J:J, historical_events_FACT!G:G, B24,historical_events_FACT!C:C, "10" )</f>
        <v>18.27</v>
      </c>
      <c r="V24" s="97">
        <f t="array" ref="V24">ROUND(AVERAGEIF({ IFERROR(XLOOKUP(B24, 'Surfer Stats - Event 7'!B:B, 'Surfer Stats - Event 7'!Z:Z), ""), IFERROR(XLOOKUP(B24, 'Surfer Stats - Event 8'!B:B, 'Surfer Stats - Event 8'!Y:Y), ""), IFERROR(XLOOKUP(B24, 'Surfer Stats - Event 9'!B:B, 'Surfer Stats - Event 9'!Y:Y), "") }, "&lt;&gt;"),2)</f>
        <v>29.7</v>
      </c>
      <c r="W24" s="3">
        <f t="array" ref="W24">XLOOKUP(B24, 'Surfer Stats - Event 9'!B:B, 'Surfer Stats - Event 9'!Y:Y)</f>
        <v>21.2</v>
      </c>
      <c r="X24" s="75">
        <f>6200+500+4000+1750+1750+1750+500</f>
        <v>16450</v>
      </c>
      <c r="Y24" s="3">
        <f t="array" ref="Y24">XLOOKUP(B24,'Event 10 Assist'!A:A, 'Event 10 Assist'!E:E)</f>
        <v>26.13</v>
      </c>
    </row>
    <row r="25">
      <c r="A25" s="10">
        <v>1.0</v>
      </c>
      <c r="B25" s="66" t="s">
        <v>53</v>
      </c>
      <c r="C25" s="3" t="str">
        <f t="array" ref="C25">XLOOKUP(B25, 'Surfer Stats - Event 4'!B:B, 'Surfer Stats - Event 4'!D:D)</f>
        <v>Regular</v>
      </c>
      <c r="D25" s="3">
        <f t="shared" si="1"/>
        <v>6</v>
      </c>
      <c r="E25" s="10">
        <v>0.0</v>
      </c>
      <c r="F25" s="10">
        <v>0.0</v>
      </c>
      <c r="G25" s="10">
        <v>99.0</v>
      </c>
      <c r="H25" s="10">
        <v>13.0</v>
      </c>
      <c r="I25" s="10">
        <v>99.0</v>
      </c>
      <c r="J25" s="3">
        <f>COUNTIFS( historical_events_FACT!J:J, "&gt;16", historical_events_FACT!G:G, B25,historical_events_FACT!C:C, "10" )</f>
        <v>0</v>
      </c>
      <c r="K25" s="3">
        <f t="shared" si="2"/>
        <v>12.66</v>
      </c>
      <c r="L25" s="3">
        <f t="shared" si="3"/>
        <v>12.5</v>
      </c>
      <c r="M25" s="10">
        <v>12.5</v>
      </c>
      <c r="N25" s="10">
        <v>1.0</v>
      </c>
      <c r="O25" s="3">
        <f t="shared" si="4"/>
        <v>15.05</v>
      </c>
      <c r="P25" s="10">
        <v>30.1</v>
      </c>
      <c r="Q25" s="10">
        <v>2.0</v>
      </c>
      <c r="R25" s="3">
        <f t="shared" si="5"/>
        <v>11.11</v>
      </c>
      <c r="S25" s="3">
        <f>SUMIFS( historical_events_FACT!J:J, historical_events_FACT!G:G, B25,historical_events_FACT!B:B, "2016",historical_events_FACT!C:C, "10" )</f>
        <v>33.33</v>
      </c>
      <c r="T25" s="3">
        <f>COUNTIFS(historical_events_FACT!G:G, B25,historical_events_FACT!B:B, "2016",historical_events_FACT!C:C, "10" )</f>
        <v>3</v>
      </c>
      <c r="U25" s="3">
        <f>MAXIFS( historical_events_FACT!J:J, historical_events_FACT!G:G, B25,historical_events_FACT!C:C, "10" )</f>
        <v>11.93</v>
      </c>
      <c r="V25" s="97">
        <f t="array" ref="V25">ROUND(AVERAGEIF({ IFERROR(XLOOKUP(B25, 'Surfer Stats - Event 7'!B:B, 'Surfer Stats - Event 7'!Z:Z), ""), IFERROR(XLOOKUP(B25, 'Surfer Stats - Event 8'!B:B, 'Surfer Stats - Event 8'!Y:Y), ""), IFERROR(XLOOKUP(B25, 'Surfer Stats - Event 9'!B:B, 'Surfer Stats - Event 9'!Y:Y), "") }, "&lt;&gt;"),2)</f>
        <v>39.71</v>
      </c>
      <c r="W25" s="3">
        <f t="array" ref="W25">XLOOKUP(B25, 'Surfer Stats - Event 9'!B:B, 'Surfer Stats - Event 9'!Y:Y)</f>
        <v>21.73</v>
      </c>
      <c r="X25" s="75">
        <f>2750+4000+500+500+1750+5200+500</f>
        <v>15200</v>
      </c>
      <c r="Y25" s="3">
        <f t="array" ref="Y25">XLOOKUP(B25,'Event 10 Assist'!A:A, 'Event 10 Assist'!E:E)</f>
        <v>63.76</v>
      </c>
    </row>
    <row r="26">
      <c r="A26" s="10">
        <v>1.0</v>
      </c>
      <c r="B26" s="66" t="s">
        <v>69</v>
      </c>
      <c r="C26" s="3" t="str">
        <f t="array" ref="C26">XLOOKUP(B26, 'Surfer Stats - Event 4'!B:B, 'Surfer Stats - Event 4'!D:D)</f>
        <v>Regular</v>
      </c>
      <c r="D26" s="3">
        <f t="shared" si="1"/>
        <v>2</v>
      </c>
      <c r="E26" s="10">
        <v>0.0</v>
      </c>
      <c r="F26" s="10">
        <v>0.0</v>
      </c>
      <c r="G26" s="10">
        <v>99.0</v>
      </c>
      <c r="H26" s="10">
        <v>99.0</v>
      </c>
      <c r="I26" s="10">
        <v>99.0</v>
      </c>
      <c r="J26" s="3">
        <f>COUNTIFS( historical_events_FACT!J:J, "&gt;16", historical_events_FACT!G:G, B26,historical_events_FACT!C:C, "10" )</f>
        <v>0</v>
      </c>
      <c r="K26" s="3">
        <f t="shared" si="2"/>
        <v>8.99</v>
      </c>
      <c r="L26" s="3">
        <f t="shared" si="3"/>
        <v>0</v>
      </c>
      <c r="M26" s="3">
        <f>SUMIFS( '2014Data'!I:I, '2014Data'!F:F, B26,'2014Data'!B:B, "10" )</f>
        <v>0</v>
      </c>
      <c r="N26" s="3">
        <f>COUNTIFS('2014Data'!F:F, B26,'2014Data'!B:B, "10" )</f>
        <v>0</v>
      </c>
      <c r="O26" s="3">
        <f t="shared" si="4"/>
        <v>10.37</v>
      </c>
      <c r="P26" s="10">
        <v>10.37</v>
      </c>
      <c r="Q26" s="10">
        <v>1.0</v>
      </c>
      <c r="R26" s="3">
        <f t="shared" si="5"/>
        <v>7.6</v>
      </c>
      <c r="S26" s="10">
        <v>7.6</v>
      </c>
      <c r="T26" s="10">
        <v>1.0</v>
      </c>
      <c r="U26" s="10">
        <v>7.6</v>
      </c>
      <c r="V26" s="97">
        <f t="array" ref="V26">ROUND(AVERAGEIF({ IFERROR(XLOOKUP(B26, 'Surfer Stats - Event 7'!B:B, 'Surfer Stats - Event 7'!Z:Z), ""), IFERROR(XLOOKUP(B26, 'Surfer Stats - Event 8'!B:B, 'Surfer Stats - Event 8'!Y:Y), ""), IFERROR(XLOOKUP(B26, 'Surfer Stats - Event 9'!B:B, 'Surfer Stats - Event 9'!Y:Y), "") }, "&lt;&gt;"),2)</f>
        <v>29.39</v>
      </c>
      <c r="W26" s="3">
        <f t="array" ref="W26">XLOOKUP(B26, 'Surfer Stats - Event 9'!B:B, 'Surfer Stats - Event 9'!Y:Y)</f>
        <v>23.44</v>
      </c>
      <c r="X26" s="75">
        <f>8750+500+500+1750+500+1750+500</f>
        <v>14250</v>
      </c>
      <c r="Y26" s="3">
        <f t="array" ref="Y26">XLOOKUP(B26,'Event 10 Assist'!A:A, 'Event 10 Assist'!E:E)</f>
        <v>10.87</v>
      </c>
    </row>
    <row r="27">
      <c r="A27" s="10">
        <v>1.0</v>
      </c>
      <c r="B27" s="66" t="s">
        <v>67</v>
      </c>
      <c r="C27" s="3" t="str">
        <f t="array" ref="C27">XLOOKUP(B27, 'Surfer Stats - Event 4'!B:B, 'Surfer Stats - Event 4'!D:D)</f>
        <v>Goofy</v>
      </c>
      <c r="D27" s="3">
        <f t="shared" si="1"/>
        <v>8</v>
      </c>
      <c r="E27" s="10">
        <v>0.0</v>
      </c>
      <c r="F27" s="10">
        <v>0.0</v>
      </c>
      <c r="G27" s="10">
        <v>99.0</v>
      </c>
      <c r="H27" s="10">
        <v>99.0</v>
      </c>
      <c r="I27" s="10">
        <v>99.0</v>
      </c>
      <c r="J27" s="3">
        <f>COUNTIFS( historical_events_FACT!J:J, "&gt;16", historical_events_FACT!G:G, B27,historical_events_FACT!C:C, "10" )</f>
        <v>0</v>
      </c>
      <c r="K27" s="3">
        <f t="shared" si="2"/>
        <v>14.6</v>
      </c>
      <c r="L27" s="3">
        <f t="shared" si="3"/>
        <v>0</v>
      </c>
      <c r="M27" s="3">
        <f>SUMIFS( '2014Data'!I:I, '2014Data'!F:F, B27,'2014Data'!B:B, "10" )</f>
        <v>0</v>
      </c>
      <c r="N27" s="3">
        <f>COUNTIFS('2014Data'!F:F, B27,'2014Data'!B:B, "10" )</f>
        <v>0</v>
      </c>
      <c r="O27" s="3">
        <f t="shared" si="4"/>
        <v>12.68</v>
      </c>
      <c r="P27" s="10">
        <v>25.36</v>
      </c>
      <c r="Q27" s="10">
        <v>2.0</v>
      </c>
      <c r="R27" s="3">
        <f t="shared" si="5"/>
        <v>15.24</v>
      </c>
      <c r="S27" s="10">
        <v>91.43</v>
      </c>
      <c r="T27" s="10">
        <v>6.0</v>
      </c>
      <c r="U27" s="10">
        <v>17.57</v>
      </c>
      <c r="V27" s="97">
        <f t="array" ref="V27">ROUND(AVERAGEIF({ IFERROR(XLOOKUP(B27, 'Surfer Stats - Event 7'!B:B, 'Surfer Stats - Event 7'!Z:Z), ""), IFERROR(XLOOKUP(B27, 'Surfer Stats - Event 8'!B:B, 'Surfer Stats - Event 8'!Y:Y), ""), IFERROR(XLOOKUP(B27, 'Surfer Stats - Event 9'!B:B, 'Surfer Stats - Event 9'!Y:Y), "") }, "&lt;&gt;"),2)</f>
        <v>25.71</v>
      </c>
      <c r="W27" s="3">
        <f t="array" ref="W27">XLOOKUP(B27, 'Surfer Stats - Event 9'!B:B, 'Surfer Stats - Event 9'!Y:Y)</f>
        <v>30.34</v>
      </c>
      <c r="X27" s="75">
        <f>4000+1750+4000+500+1750+500+1750</f>
        <v>14250</v>
      </c>
      <c r="Y27" s="3">
        <f t="array" ref="Y27">XLOOKUP(B27,'Event 10 Assist'!A:A, 'Event 10 Assist'!E:E)</f>
        <v>10.47</v>
      </c>
    </row>
    <row r="28">
      <c r="A28" s="10">
        <v>0.0</v>
      </c>
      <c r="B28" s="82" t="s">
        <v>37</v>
      </c>
      <c r="C28" s="3" t="str">
        <f t="array" ref="C28">XLOOKUP(B28, 'Surfer Stats - Event 4'!B:B, 'Surfer Stats - Event 4'!D:D)</f>
        <v>Regular</v>
      </c>
      <c r="D28" s="3">
        <f t="shared" si="1"/>
        <v>5</v>
      </c>
      <c r="E28" s="10">
        <v>0.0</v>
      </c>
      <c r="F28" s="10">
        <v>0.0</v>
      </c>
      <c r="G28" s="10">
        <v>13.0</v>
      </c>
      <c r="H28" s="10">
        <v>13.0</v>
      </c>
      <c r="I28" s="10">
        <v>13.0</v>
      </c>
      <c r="J28" s="3">
        <f>COUNTIFS( historical_events_FACT!J:J, "&gt;16", historical_events_FACT!G:G, B28,historical_events_FACT!C:C, "10" )</f>
        <v>1</v>
      </c>
      <c r="K28" s="3">
        <f t="shared" si="2"/>
        <v>11.9</v>
      </c>
      <c r="L28" s="3">
        <f t="shared" si="3"/>
        <v>11.65</v>
      </c>
      <c r="M28" s="3">
        <f>SUMIFS( '2014Data'!I:I, '2014Data'!F:F, B28,'2014Data'!B:B, "10" )</f>
        <v>23.3</v>
      </c>
      <c r="N28" s="3">
        <f>COUNTIFS('2014Data'!F:F, B28,'2014Data'!B:B, "10" )</f>
        <v>2</v>
      </c>
      <c r="O28" s="3">
        <f t="shared" si="4"/>
        <v>10.98</v>
      </c>
      <c r="P28" s="3">
        <f>SUMIFS( historical_events_FACT!J:J, historical_events_FACT!G:G, B28,historical_events_FACT!B:B, "2015",historical_events_FACT!C:C, "10" )</f>
        <v>21.96</v>
      </c>
      <c r="Q28" s="3">
        <f>COUNTIFS(historical_events_FACT!G:G, B28,historical_events_FACT!B:B, "2015",historical_events_FACT!C:C, "10" )</f>
        <v>2</v>
      </c>
      <c r="R28" s="3">
        <f t="shared" si="5"/>
        <v>14.26</v>
      </c>
      <c r="S28" s="3">
        <f>SUMIFS( historical_events_FACT!J:J, historical_events_FACT!G:G, B28,historical_events_FACT!B:B, "2016",historical_events_FACT!C:C, "10" )</f>
        <v>14.26</v>
      </c>
      <c r="T28" s="3">
        <f>COUNTIFS(historical_events_FACT!G:G, B28,historical_events_FACT!B:B, "2016",historical_events_FACT!C:C, "10" )</f>
        <v>1</v>
      </c>
      <c r="U28" s="3">
        <f>MAXIFS( historical_events_FACT!J:J, historical_events_FACT!G:G, B28,historical_events_FACT!C:C, "10" )</f>
        <v>17</v>
      </c>
      <c r="V28" s="97" t="str">
        <f t="array" ref="V28">ROUND(AVERAGEIF({ IFERROR(XLOOKUP(B28, 'Surfer Stats - Event 7'!B:B, 'Surfer Stats - Event 7'!Z:Z), ""), IFERROR(XLOOKUP(B28, 'Surfer Stats - Event 8'!B:B, 'Surfer Stats - Event 8'!Y:Y), ""), IFERROR(XLOOKUP(B28, 'Surfer Stats - Event 9'!B:B, 'Surfer Stats - Event 9'!Y:Y), "") }, "&lt;&gt;"),2)</f>
        <v>#DIV/0!</v>
      </c>
      <c r="W28" s="3" t="str">
        <f t="array" ref="W28">XLOOKUP(B28, 'Surfer Stats - Event 9'!B:B, 'Surfer Stats - Event 9'!Y:Y)</f>
        <v/>
      </c>
      <c r="X28" s="83">
        <f>8700+500+1750+1750+500+500+500</f>
        <v>14200</v>
      </c>
      <c r="Y28" s="3" t="str">
        <f t="array" ref="Y28">XLOOKUP(B28,'Event 10 Assist'!A:A, 'Event 10 Assist'!E:E)</f>
        <v/>
      </c>
    </row>
    <row r="29">
      <c r="A29" s="10">
        <v>1.0</v>
      </c>
      <c r="B29" s="66" t="s">
        <v>55</v>
      </c>
      <c r="C29" s="3" t="str">
        <f t="array" ref="C29">XLOOKUP(B29, 'Surfer Stats - Event 4'!B:B, 'Surfer Stats - Event 4'!D:D)</f>
        <v>Goofy</v>
      </c>
      <c r="D29" s="3">
        <f t="shared" si="1"/>
        <v>10</v>
      </c>
      <c r="E29" s="10">
        <v>0.0</v>
      </c>
      <c r="F29" s="10">
        <v>0.0</v>
      </c>
      <c r="G29" s="10">
        <v>13.0</v>
      </c>
      <c r="H29" s="10">
        <v>5.0</v>
      </c>
      <c r="I29" s="10">
        <v>25.0</v>
      </c>
      <c r="J29" s="3">
        <f>COUNTIFS( historical_events_FACT!J:J, "&gt;16", historical_events_FACT!G:G, B29,historical_events_FACT!C:C, "10" )</f>
        <v>1</v>
      </c>
      <c r="K29" s="3">
        <f t="shared" si="2"/>
        <v>11.9</v>
      </c>
      <c r="L29" s="3">
        <f t="shared" si="3"/>
        <v>11.84</v>
      </c>
      <c r="M29" s="3">
        <f>SUMIFS( '2014Data'!I:I, '2014Data'!F:F, B29,'2014Data'!B:B, "10" )</f>
        <v>23.67</v>
      </c>
      <c r="N29" s="3">
        <f>COUNTIFS('2014Data'!F:F, B29,'2014Data'!B:B, "10" )</f>
        <v>2</v>
      </c>
      <c r="O29" s="3">
        <f t="shared" si="4"/>
        <v>11.72</v>
      </c>
      <c r="P29" s="3">
        <f>SUMIFS( historical_events_FACT!J:J, historical_events_FACT!G:G, B29,historical_events_FACT!B:B, "2015",historical_events_FACT!C:C, "10" )</f>
        <v>23.43</v>
      </c>
      <c r="Q29" s="3">
        <f>COUNTIFS(historical_events_FACT!G:G, B29,historical_events_FACT!B:B, "2015",historical_events_FACT!C:C, "10" )</f>
        <v>2</v>
      </c>
      <c r="R29" s="3">
        <f t="shared" si="5"/>
        <v>11.99</v>
      </c>
      <c r="S29" s="3">
        <f>SUMIFS( historical_events_FACT!J:J, historical_events_FACT!G:G, B29,historical_events_FACT!B:B, "2016",historical_events_FACT!C:C, "10" )</f>
        <v>71.91</v>
      </c>
      <c r="T29" s="3">
        <f>COUNTIFS(historical_events_FACT!G:G, B29,historical_events_FACT!B:B, "2016",historical_events_FACT!C:C, "10" )</f>
        <v>6</v>
      </c>
      <c r="U29" s="3">
        <f>MAXIFS( historical_events_FACT!J:J, historical_events_FACT!G:G, B29,historical_events_FACT!C:C, "10" )</f>
        <v>16.43</v>
      </c>
      <c r="V29" s="97">
        <f t="array" ref="V29">ROUND(AVERAGEIF({ IFERROR(XLOOKUP(B29, 'Surfer Stats - Event 7'!B:B, 'Surfer Stats - Event 7'!Z:Z), ""), IFERROR(XLOOKUP(B29, 'Surfer Stats - Event 8'!B:B, 'Surfer Stats - Event 8'!Y:Y), ""), IFERROR(XLOOKUP(B29, 'Surfer Stats - Event 9'!B:B, 'Surfer Stats - Event 9'!Y:Y), "") }, "&lt;&gt;"),2)</f>
        <v>36.89</v>
      </c>
      <c r="W29" s="3">
        <f t="array" ref="W29">XLOOKUP(B29, 'Surfer Stats - Event 9'!B:B, 'Surfer Stats - Event 9'!Y:Y)</f>
        <v>66.61</v>
      </c>
      <c r="X29" s="75">
        <f>500+4000+1750+500+500+1750+5200</f>
        <v>14200</v>
      </c>
      <c r="Y29" s="3">
        <f t="array" ref="Y29">XLOOKUP(B29,'Event 10 Assist'!A:A, 'Event 10 Assist'!E:E)</f>
        <v>50.75</v>
      </c>
    </row>
    <row r="30">
      <c r="A30" s="10">
        <v>1.0</v>
      </c>
      <c r="B30" s="66" t="s">
        <v>56</v>
      </c>
      <c r="C30" s="3" t="str">
        <f t="array" ref="C30">XLOOKUP(B30, 'Surfer Stats - Event 4'!B:B, 'Surfer Stats - Event 4'!D:D)</f>
        <v>Goofy</v>
      </c>
      <c r="D30" s="3">
        <f t="shared" si="1"/>
        <v>8</v>
      </c>
      <c r="E30" s="10">
        <v>0.0</v>
      </c>
      <c r="F30" s="10">
        <v>0.0</v>
      </c>
      <c r="G30" s="10">
        <v>25.0</v>
      </c>
      <c r="H30" s="10">
        <v>25.0</v>
      </c>
      <c r="I30" s="10">
        <v>9.0</v>
      </c>
      <c r="J30" s="3">
        <f>COUNTIFS( historical_events_FACT!J:J, "&gt;16", historical_events_FACT!G:G, B30,historical_events_FACT!C:C, "10" )</f>
        <v>1</v>
      </c>
      <c r="K30" s="3">
        <f t="shared" si="2"/>
        <v>12.4</v>
      </c>
      <c r="L30" s="3">
        <f t="shared" si="3"/>
        <v>11.85</v>
      </c>
      <c r="M30" s="3">
        <f>SUMIFS( '2014Data'!I:I, '2014Data'!F:F, B30,'2014Data'!B:B, "10" )</f>
        <v>23.7</v>
      </c>
      <c r="N30" s="3">
        <f>COUNTIFS('2014Data'!F:F, B30,'2014Data'!B:B, "10" )</f>
        <v>2</v>
      </c>
      <c r="O30" s="3">
        <f t="shared" si="4"/>
        <v>12.53</v>
      </c>
      <c r="P30" s="3">
        <f>SUMIFS( historical_events_FACT!J:J, historical_events_FACT!G:G, B30,historical_events_FACT!B:B, "2015",historical_events_FACT!C:C, "10" )</f>
        <v>50.1</v>
      </c>
      <c r="Q30" s="3">
        <f>COUNTIFS(historical_events_FACT!G:G, B30,historical_events_FACT!B:B, "2015",historical_events_FACT!C:C, "10" )</f>
        <v>4</v>
      </c>
      <c r="R30" s="3">
        <f t="shared" si="5"/>
        <v>12.72</v>
      </c>
      <c r="S30" s="3">
        <f>SUMIFS( historical_events_FACT!J:J, historical_events_FACT!G:G, B30,historical_events_FACT!B:B, "2016",historical_events_FACT!C:C, "10" )</f>
        <v>25.43</v>
      </c>
      <c r="T30" s="3">
        <f>COUNTIFS(historical_events_FACT!G:G, B30,historical_events_FACT!B:B, "2016",historical_events_FACT!C:C, "10" )</f>
        <v>2</v>
      </c>
      <c r="U30" s="3">
        <f>MAXIFS( historical_events_FACT!J:J, historical_events_FACT!G:G, B30,historical_events_FACT!C:C, "10" )</f>
        <v>16.67</v>
      </c>
      <c r="V30" s="97">
        <f t="array" ref="V30">ROUND(AVERAGEIF({ IFERROR(XLOOKUP(B30, 'Surfer Stats - Event 7'!B:B, 'Surfer Stats - Event 7'!Z:Z), ""), IFERROR(XLOOKUP(B30, 'Surfer Stats - Event 8'!B:B, 'Surfer Stats - Event 8'!Y:Y), ""), IFERROR(XLOOKUP(B30, 'Surfer Stats - Event 9'!B:B, 'Surfer Stats - Event 9'!Y:Y), "") }, "&lt;&gt;"),2)</f>
        <v>34.36</v>
      </c>
      <c r="W30" s="3">
        <f t="array" ref="W30">XLOOKUP(B30, 'Surfer Stats - Event 9'!B:B, 'Surfer Stats - Event 9'!Y:Y)</f>
        <v>47.3</v>
      </c>
      <c r="X30" s="75">
        <f>4000+1750+500+1750+500+4000</f>
        <v>12500</v>
      </c>
      <c r="Y30" s="3">
        <f t="array" ref="Y30">XLOOKUP(B30,'Event 10 Assist'!A:A, 'Event 10 Assist'!E:E)</f>
        <v>12.14</v>
      </c>
    </row>
    <row r="31">
      <c r="A31" s="10">
        <v>1.0</v>
      </c>
      <c r="B31" s="66" t="s">
        <v>68</v>
      </c>
      <c r="C31" s="3" t="str">
        <f t="array" ref="C31">XLOOKUP(B31, 'Surfer Stats - Event 4'!B:B, 'Surfer Stats - Event 4'!D:D)</f>
        <v>Regular</v>
      </c>
      <c r="D31" s="3">
        <f t="shared" si="1"/>
        <v>8</v>
      </c>
      <c r="E31" s="10">
        <v>0.0</v>
      </c>
      <c r="F31" s="10">
        <v>0.0</v>
      </c>
      <c r="G31" s="10">
        <v>99.0</v>
      </c>
      <c r="H31" s="10">
        <v>25.0</v>
      </c>
      <c r="I31" s="10">
        <v>99.0</v>
      </c>
      <c r="J31" s="3">
        <f>COUNTIFS( historical_events_FACT!J:J, "&gt;16", historical_events_FACT!G:G, B31,historical_events_FACT!C:C, "10" )</f>
        <v>0</v>
      </c>
      <c r="K31" s="3">
        <f t="shared" si="2"/>
        <v>13.11</v>
      </c>
      <c r="L31" s="3">
        <f t="shared" si="3"/>
        <v>12.04</v>
      </c>
      <c r="M31" s="10">
        <v>24.07</v>
      </c>
      <c r="N31" s="10">
        <v>2.0</v>
      </c>
      <c r="O31" s="3">
        <f t="shared" si="4"/>
        <v>13.52</v>
      </c>
      <c r="P31" s="10">
        <v>54.06</v>
      </c>
      <c r="Q31" s="10">
        <v>4.0</v>
      </c>
      <c r="R31" s="3">
        <f t="shared" si="5"/>
        <v>13.39</v>
      </c>
      <c r="S31" s="3">
        <f>SUMIFS( historical_events_FACT!J:J, historical_events_FACT!G:G, B31,historical_events_FACT!B:B, "2016",historical_events_FACT!C:C, "10" )</f>
        <v>26.77</v>
      </c>
      <c r="T31" s="3">
        <f>COUNTIFS(historical_events_FACT!G:G, B31,historical_events_FACT!B:B, "2016",historical_events_FACT!C:C, "10" )</f>
        <v>2</v>
      </c>
      <c r="U31" s="3">
        <f>MAXIFS( historical_events_FACT!J:J, historical_events_FACT!G:G, B31,historical_events_FACT!C:C, "10" )</f>
        <v>13.5</v>
      </c>
      <c r="V31" s="97">
        <f t="array" ref="V31">ROUND(AVERAGEIF({ IFERROR(XLOOKUP(B31, 'Surfer Stats - Event 7'!B:B, 'Surfer Stats - Event 7'!Z:Z), ""), IFERROR(XLOOKUP(B31, 'Surfer Stats - Event 8'!B:B, 'Surfer Stats - Event 8'!Y:Y), ""), IFERROR(XLOOKUP(B31, 'Surfer Stats - Event 9'!B:B, 'Surfer Stats - Event 9'!Y:Y), "") }, "&lt;&gt;"),2)</f>
        <v>23.12</v>
      </c>
      <c r="W31" s="3">
        <f t="array" ref="W31">XLOOKUP(B31, 'Surfer Stats - Event 9'!B:B, 'Surfer Stats - Event 9'!Y:Y)</f>
        <v>23.33</v>
      </c>
      <c r="X31" s="75">
        <f>7500+500+500+1750+500+500+500</f>
        <v>11750</v>
      </c>
      <c r="Y31" s="3">
        <f t="array" ref="Y31">XLOOKUP(B31,'Event 10 Assist'!A:A, 'Event 10 Assist'!E:E)</f>
        <v>21.9</v>
      </c>
    </row>
    <row r="32">
      <c r="A32" s="10">
        <v>1.0</v>
      </c>
      <c r="B32" s="66" t="s">
        <v>35</v>
      </c>
      <c r="C32" s="3" t="str">
        <f t="array" ref="C32">XLOOKUP(B32, 'Surfer Stats - Event 4'!B:B, 'Surfer Stats - Event 4'!D:D)</f>
        <v>Goofy</v>
      </c>
      <c r="D32" s="3">
        <f t="shared" si="1"/>
        <v>6</v>
      </c>
      <c r="E32" s="10">
        <v>0.0</v>
      </c>
      <c r="F32" s="10">
        <v>0.0</v>
      </c>
      <c r="G32" s="10">
        <v>13.0</v>
      </c>
      <c r="H32" s="10">
        <v>13.0</v>
      </c>
      <c r="I32" s="10">
        <v>25.0</v>
      </c>
      <c r="J32" s="3">
        <f>COUNTIFS( historical_events_FACT!J:J, "&gt;16", historical_events_FACT!G:G, B32,historical_events_FACT!C:C, "10" )</f>
        <v>0</v>
      </c>
      <c r="K32" s="3">
        <f t="shared" si="2"/>
        <v>11.43</v>
      </c>
      <c r="L32" s="3">
        <f t="shared" si="3"/>
        <v>11.3</v>
      </c>
      <c r="M32" s="3">
        <f>SUMIFS( '2014Data'!I:I, '2014Data'!F:F, B32,'2014Data'!B:B, "10" )</f>
        <v>22.6</v>
      </c>
      <c r="N32" s="3">
        <f>COUNTIFS('2014Data'!F:F, B32,'2014Data'!B:B, "10" )</f>
        <v>2</v>
      </c>
      <c r="O32" s="3">
        <f t="shared" si="4"/>
        <v>8.94</v>
      </c>
      <c r="P32" s="3">
        <f>SUMIFS( historical_events_FACT!J:J, historical_events_FACT!G:G, B32,historical_events_FACT!B:B, "2015",historical_events_FACT!C:C, "10" )</f>
        <v>17.87</v>
      </c>
      <c r="Q32" s="3">
        <f>COUNTIFS(historical_events_FACT!G:G, B32,historical_events_FACT!B:B, "2015",historical_events_FACT!C:C, "10" )</f>
        <v>2</v>
      </c>
      <c r="R32" s="3">
        <f t="shared" si="5"/>
        <v>14.05</v>
      </c>
      <c r="S32" s="3">
        <f>SUMIFS( historical_events_FACT!J:J, historical_events_FACT!G:G, B32,historical_events_FACT!B:B, "2016",historical_events_FACT!C:C, "10" )</f>
        <v>28.1</v>
      </c>
      <c r="T32" s="3">
        <f>COUNTIFS(historical_events_FACT!G:G, B32,historical_events_FACT!B:B, "2016",historical_events_FACT!C:C, "10" )</f>
        <v>2</v>
      </c>
      <c r="U32" s="3">
        <f>MAXIFS( historical_events_FACT!J:J, historical_events_FACT!G:G, B32,historical_events_FACT!C:C, "10" )</f>
        <v>15.93</v>
      </c>
      <c r="V32" s="97">
        <f t="array" ref="V32">ROUND(AVERAGEIF({ IFERROR(XLOOKUP(B32, 'Surfer Stats - Event 7'!B:B, 'Surfer Stats - Event 7'!Z:Z), ""), IFERROR(XLOOKUP(B32, 'Surfer Stats - Event 8'!B:B, 'Surfer Stats - Event 8'!Y:Y), ""), IFERROR(XLOOKUP(B32, 'Surfer Stats - Event 9'!B:B, 'Surfer Stats - Event 9'!Y:Y), "") }, "&lt;&gt;"),2)</f>
        <v>38.95</v>
      </c>
      <c r="W32" s="3">
        <f t="array" ref="W32">XLOOKUP(B32, 'Surfer Stats - Event 9'!B:B, 'Surfer Stats - Event 9'!Y:Y)</f>
        <v>23.34</v>
      </c>
      <c r="X32" s="75">
        <f>2750+1750+500+1750+500+4000+500</f>
        <v>11750</v>
      </c>
      <c r="Y32" s="3">
        <f t="array" ref="Y32">XLOOKUP(B32,'Event 10 Assist'!A:A, 'Event 10 Assist'!E:E)</f>
        <v>12.73</v>
      </c>
    </row>
    <row r="33">
      <c r="A33" s="10">
        <v>1.0</v>
      </c>
      <c r="B33" s="51" t="s">
        <v>66</v>
      </c>
      <c r="C33" s="10" t="s">
        <v>244</v>
      </c>
      <c r="D33" s="3">
        <f t="shared" si="1"/>
        <v>5</v>
      </c>
      <c r="E33" s="10">
        <v>0.0</v>
      </c>
      <c r="F33" s="10">
        <v>0.0</v>
      </c>
      <c r="G33" s="10">
        <v>99.0</v>
      </c>
      <c r="H33" s="10">
        <v>99.0</v>
      </c>
      <c r="I33" s="10">
        <v>99.0</v>
      </c>
      <c r="J33" s="3">
        <f>COUNTIFS( historical_events_FACT!J:J, "&gt;16", historical_events_FACT!G:G, B33,historical_events_FACT!C:C, "10" )</f>
        <v>0</v>
      </c>
      <c r="K33" s="3">
        <f t="shared" si="2"/>
        <v>12.09</v>
      </c>
      <c r="L33" s="3">
        <f t="shared" si="3"/>
        <v>11.25</v>
      </c>
      <c r="M33" s="10">
        <v>22.5</v>
      </c>
      <c r="N33" s="10">
        <v>2.0</v>
      </c>
      <c r="O33" s="3">
        <f t="shared" si="4"/>
        <v>11.26</v>
      </c>
      <c r="P33" s="10">
        <v>11.26</v>
      </c>
      <c r="Q33" s="10">
        <v>1.0</v>
      </c>
      <c r="R33" s="3">
        <f t="shared" si="5"/>
        <v>13.35</v>
      </c>
      <c r="S33" s="10">
        <v>26.7</v>
      </c>
      <c r="T33" s="10">
        <v>2.0</v>
      </c>
      <c r="U33" s="10">
        <v>14.1</v>
      </c>
      <c r="V33" s="97">
        <f t="array" ref="V33">ROUND(AVERAGEIF({ IFERROR(XLOOKUP(B33, 'Surfer Stats - Event 7'!B:B, 'Surfer Stats - Event 7'!Z:Z), ""), IFERROR(XLOOKUP(B33, 'Surfer Stats - Event 8'!B:B, 'Surfer Stats - Event 8'!Y:Y), ""), IFERROR(XLOOKUP(B33, 'Surfer Stats - Event 9'!B:B, 'Surfer Stats - Event 9'!Y:Y), "") }, "&lt;&gt;"),2)</f>
        <v>29.46</v>
      </c>
      <c r="W33" s="3">
        <f t="array" ref="W33">XLOOKUP(B33, 'Surfer Stats - Event 9'!B:B, 'Surfer Stats - Event 9'!Y:Y)</f>
        <v>36.39</v>
      </c>
      <c r="X33" s="75">
        <f>1500+500+5200+1750+500+500+1750</f>
        <v>11700</v>
      </c>
      <c r="Y33" s="3">
        <f t="array" ref="Y33">XLOOKUP(B33,'Event 10 Assist'!A:A, 'Event 10 Assist'!E:E)</f>
        <v>47.9</v>
      </c>
    </row>
    <row r="34">
      <c r="A34" s="10">
        <v>1.0</v>
      </c>
      <c r="B34" s="66" t="s">
        <v>36</v>
      </c>
      <c r="C34" s="3" t="str">
        <f t="array" ref="C34">XLOOKUP(B34, 'Surfer Stats - Event 4'!B:B, 'Surfer Stats - Event 4'!D:D)</f>
        <v>Regular</v>
      </c>
      <c r="D34" s="3">
        <f t="shared" si="1"/>
        <v>15</v>
      </c>
      <c r="E34" s="10">
        <v>0.0</v>
      </c>
      <c r="F34" s="10">
        <v>0.0</v>
      </c>
      <c r="G34" s="10">
        <v>99.0</v>
      </c>
      <c r="H34" s="10">
        <v>9.0</v>
      </c>
      <c r="I34" s="10">
        <v>99.0</v>
      </c>
      <c r="J34" s="3">
        <f>COUNTIFS( historical_events_FACT!J:J, "&gt;16", historical_events_FACT!G:G, B34,historical_events_FACT!C:C, "10" )</f>
        <v>0</v>
      </c>
      <c r="K34" s="3">
        <f t="shared" si="2"/>
        <v>12.9</v>
      </c>
      <c r="L34" s="3">
        <f t="shared" si="3"/>
        <v>15.37</v>
      </c>
      <c r="M34" s="10">
        <v>107.62</v>
      </c>
      <c r="N34" s="10">
        <v>7.0</v>
      </c>
      <c r="O34" s="3">
        <f t="shared" si="4"/>
        <v>11.02</v>
      </c>
      <c r="P34" s="10">
        <v>33.05</v>
      </c>
      <c r="Q34" s="10">
        <v>3.0</v>
      </c>
      <c r="R34" s="3">
        <f t="shared" si="5"/>
        <v>10.58</v>
      </c>
      <c r="S34" s="3">
        <f>SUMIFS( historical_events_FACT!J:J, historical_events_FACT!G:G, B34,historical_events_FACT!B:B, "2016",historical_events_FACT!C:C, "10" )</f>
        <v>52.88</v>
      </c>
      <c r="T34" s="3">
        <f>COUNTIFS(historical_events_FACT!G:G, B34,historical_events_FACT!B:B, "2016",historical_events_FACT!C:C, "10" )</f>
        <v>5</v>
      </c>
      <c r="U34" s="3">
        <f>MAXIFS( historical_events_FACT!J:J, historical_events_FACT!G:G, B34,historical_events_FACT!C:C, "10" )</f>
        <v>12.33</v>
      </c>
      <c r="V34" s="97">
        <f t="array" ref="V34">ROUND(AVERAGEIF({ IFERROR(XLOOKUP(B34, 'Surfer Stats - Event 7'!B:B, 'Surfer Stats - Event 7'!Z:Z), ""), IFERROR(XLOOKUP(B34, 'Surfer Stats - Event 8'!B:B, 'Surfer Stats - Event 8'!Y:Y), ""), IFERROR(XLOOKUP(B34, 'Surfer Stats - Event 9'!B:B, 'Surfer Stats - Event 9'!Y:Y), "") }, "&lt;&gt;"),2)</f>
        <v>18.89</v>
      </c>
      <c r="W34" s="3">
        <f t="array" ref="W34">XLOOKUP(B34, 'Surfer Stats - Event 9'!B:B, 'Surfer Stats - Event 9'!Y:Y)</f>
        <v>20.6</v>
      </c>
      <c r="X34" s="75">
        <f>2750+500+4000+500+500+500+1750</f>
        <v>10500</v>
      </c>
      <c r="Y34" s="3">
        <f t="array" ref="Y34">XLOOKUP(B34,'Event 10 Assist'!A:A, 'Event 10 Assist'!E:E)</f>
        <v>12.83</v>
      </c>
    </row>
    <row r="35">
      <c r="A35" s="10">
        <v>1.0</v>
      </c>
      <c r="B35" s="66" t="s">
        <v>63</v>
      </c>
      <c r="C35" s="3" t="str">
        <f t="array" ref="C35">XLOOKUP(B35, 'Surfer Stats - Event 4'!B:B, 'Surfer Stats - Event 4'!D:D)</f>
        <v>Regular</v>
      </c>
      <c r="D35" s="3">
        <f t="shared" si="1"/>
        <v>3</v>
      </c>
      <c r="E35" s="10">
        <v>0.0</v>
      </c>
      <c r="F35" s="10">
        <v>0.0</v>
      </c>
      <c r="G35" s="10">
        <v>99.0</v>
      </c>
      <c r="H35" s="10">
        <v>99.0</v>
      </c>
      <c r="I35" s="10">
        <v>99.0</v>
      </c>
      <c r="J35" s="3">
        <f>COUNTIFS( historical_events_FACT!J:J, "&gt;16", historical_events_FACT!G:G, B35,historical_events_FACT!C:C, "10" )</f>
        <v>0</v>
      </c>
      <c r="K35" s="3">
        <f t="shared" si="2"/>
        <v>11.52</v>
      </c>
      <c r="L35" s="3">
        <f t="shared" si="3"/>
        <v>0</v>
      </c>
      <c r="M35" s="3">
        <f>SUMIFS( '2014Data'!I:I, '2014Data'!F:F, B35,'2014Data'!B:B, "10" )</f>
        <v>0</v>
      </c>
      <c r="N35" s="3">
        <f>COUNTIFS('2014Data'!F:F, B35,'2014Data'!B:B, "10" )</f>
        <v>0</v>
      </c>
      <c r="O35" s="3">
        <f t="shared" si="4"/>
        <v>0</v>
      </c>
      <c r="P35" s="3">
        <f>SUMIFS( historical_events_FACT!J:J, historical_events_FACT!G:G, B35,historical_events_FACT!B:B, "2015",historical_events_FACT!C:C, "10" )</f>
        <v>0</v>
      </c>
      <c r="Q35" s="3">
        <f>COUNTIFS(historical_events_FACT!G:G, B35,historical_events_FACT!B:B, "2015",historical_events_FACT!C:C, "10" )</f>
        <v>0</v>
      </c>
      <c r="R35" s="3">
        <f t="shared" si="5"/>
        <v>11.52</v>
      </c>
      <c r="S35" s="10">
        <v>34.57</v>
      </c>
      <c r="T35" s="10">
        <v>3.0</v>
      </c>
      <c r="U35" s="3">
        <f>MAXIFS( historical_events_FACT!J:J, historical_events_FACT!G:G, B35,historical_events_FACT!C:C, "10" )</f>
        <v>0</v>
      </c>
      <c r="V35" s="97">
        <f t="array" ref="V35">ROUND(AVERAGEIF({ IFERROR(XLOOKUP(B35, 'Surfer Stats - Event 7'!B:B, 'Surfer Stats - Event 7'!Z:Z), ""), IFERROR(XLOOKUP(B35, 'Surfer Stats - Event 8'!B:B, 'Surfer Stats - Event 8'!Y:Y), ""), IFERROR(XLOOKUP(B35, 'Surfer Stats - Event 9'!B:B, 'Surfer Stats - Event 9'!Y:Y), "") }, "&lt;&gt;"),2)</f>
        <v>28.73</v>
      </c>
      <c r="W35" s="3">
        <f t="array" ref="W35">XLOOKUP(B35, 'Surfer Stats - Event 9'!B:B, 'Surfer Stats - Event 9'!Y:Y)</f>
        <v>30.07</v>
      </c>
      <c r="X35" s="75">
        <f>1500+500+500+500+1750+1750+1750</f>
        <v>8250</v>
      </c>
      <c r="Y35" s="3">
        <f t="array" ref="Y35">XLOOKUP(B35,'Event 10 Assist'!A:A, 'Event 10 Assist'!E:E)</f>
        <v>20.77</v>
      </c>
    </row>
    <row r="36">
      <c r="A36" s="10">
        <v>0.0</v>
      </c>
      <c r="B36" s="82" t="s">
        <v>169</v>
      </c>
      <c r="C36" s="3" t="str">
        <f t="array" ref="C36">XLOOKUP(B36, 'Surfer Stats - Event 4'!B:B, 'Surfer Stats - Event 4'!D:D)</f>
        <v>Goofy</v>
      </c>
      <c r="D36" s="3">
        <f t="shared" si="1"/>
        <v>1</v>
      </c>
      <c r="E36" s="10">
        <v>0.0</v>
      </c>
      <c r="F36" s="10">
        <v>0.0</v>
      </c>
      <c r="G36" s="10">
        <v>99.0</v>
      </c>
      <c r="H36" s="10">
        <v>99.0</v>
      </c>
      <c r="I36" s="10">
        <v>99.0</v>
      </c>
      <c r="J36" s="3">
        <f>COUNTIFS( historical_events_FACT!J:J, "&gt;16", historical_events_FACT!G:G, B36,historical_events_FACT!C:C, "10" )</f>
        <v>0</v>
      </c>
      <c r="K36" s="3">
        <f t="shared" si="2"/>
        <v>9.76</v>
      </c>
      <c r="L36" s="3">
        <f t="shared" si="3"/>
        <v>0</v>
      </c>
      <c r="M36" s="3">
        <f>SUMIFS( '2014Data'!I:I, '2014Data'!F:F, B36,'2014Data'!B:B, "10" )</f>
        <v>0</v>
      </c>
      <c r="N36" s="3">
        <f>COUNTIFS('2014Data'!F:F, B36,'2014Data'!B:B, "10" )</f>
        <v>0</v>
      </c>
      <c r="O36" s="3">
        <f t="shared" si="4"/>
        <v>0</v>
      </c>
      <c r="P36" s="3">
        <f>SUMIFS( historical_events_FACT!J:J, historical_events_FACT!G:G, B36,historical_events_FACT!B:B, "2015",historical_events_FACT!C:C, "10" )</f>
        <v>0</v>
      </c>
      <c r="Q36" s="3">
        <f>COUNTIFS(historical_events_FACT!G:G, B36,historical_events_FACT!B:B, "2015",historical_events_FACT!C:C, "10" )</f>
        <v>0</v>
      </c>
      <c r="R36" s="3">
        <f t="shared" si="5"/>
        <v>9.76</v>
      </c>
      <c r="S36" s="10">
        <v>9.76</v>
      </c>
      <c r="T36" s="10">
        <v>1.0</v>
      </c>
      <c r="U36" s="3">
        <f>MAXIFS( historical_events_FACT!J:J, historical_events_FACT!G:G, B36,historical_events_FACT!C:C, "10" )</f>
        <v>0</v>
      </c>
      <c r="V36" s="97" t="str">
        <f t="array" ref="V36">ROUND(AVERAGEIF({ IFERROR(XLOOKUP(B36, 'Surfer Stats - Event 7'!B:B, 'Surfer Stats - Event 7'!Z:Z), ""), IFERROR(XLOOKUP(B36, 'Surfer Stats - Event 8'!B:B, 'Surfer Stats - Event 8'!Y:Y), ""), IFERROR(XLOOKUP(B36, 'Surfer Stats - Event 9'!B:B, 'Surfer Stats - Event 9'!Y:Y), "") }, "&lt;&gt;"),2)</f>
        <v>#DIV/0!</v>
      </c>
      <c r="W36" s="3" t="str">
        <f t="array" ref="W36">XLOOKUP(B36, 'Surfer Stats - Event 9'!B:B, 'Surfer Stats - Event 9'!Y:Y)</f>
        <v/>
      </c>
      <c r="X36" s="91">
        <f>6500+500</f>
        <v>7000</v>
      </c>
      <c r="Y36" s="3" t="str">
        <f t="array" ref="Y36">XLOOKUP(B36,'Event 10 Assist'!A:A, 'Event 10 Assist'!E:E)</f>
        <v/>
      </c>
    </row>
    <row r="37">
      <c r="A37" s="10">
        <v>1.0</v>
      </c>
      <c r="B37" s="66" t="s">
        <v>45</v>
      </c>
      <c r="C37" s="3" t="str">
        <f t="array" ref="C37">XLOOKUP(B37, 'Surfer Stats - Event 4'!B:B, 'Surfer Stats - Event 4'!D:D)</f>
        <v>Regular</v>
      </c>
      <c r="D37" s="3">
        <f t="shared" si="1"/>
        <v>8</v>
      </c>
      <c r="E37" s="10">
        <v>0.0</v>
      </c>
      <c r="F37" s="10">
        <v>0.0</v>
      </c>
      <c r="G37" s="10">
        <v>5.0</v>
      </c>
      <c r="H37" s="10">
        <v>13.0</v>
      </c>
      <c r="I37" s="10">
        <v>13.0</v>
      </c>
      <c r="J37" s="3">
        <f>COUNTIFS( historical_events_FACT!J:J, "&gt;16", historical_events_FACT!G:G, B37,historical_events_FACT!C:C, "10" )</f>
        <v>0</v>
      </c>
      <c r="K37" s="3">
        <f t="shared" si="2"/>
        <v>13.8</v>
      </c>
      <c r="L37" s="3">
        <f t="shared" si="3"/>
        <v>13.67</v>
      </c>
      <c r="M37" s="3">
        <f>SUMIFS( '2014Data'!I:I, '2014Data'!F:F, B37,'2014Data'!B:B, "10" )</f>
        <v>54.67</v>
      </c>
      <c r="N37" s="3">
        <f>COUNTIFS('2014Data'!F:F, B37,'2014Data'!B:B, "10" )</f>
        <v>4</v>
      </c>
      <c r="O37" s="3">
        <f t="shared" si="4"/>
        <v>14.54</v>
      </c>
      <c r="P37" s="3">
        <f>SUMIFS( historical_events_FACT!J:J, historical_events_FACT!G:G, B37,historical_events_FACT!B:B, "2015",historical_events_FACT!C:C, "10" )</f>
        <v>29.07</v>
      </c>
      <c r="Q37" s="3">
        <f>COUNTIFS(historical_events_FACT!G:G, B37,historical_events_FACT!B:B, "2015",historical_events_FACT!C:C, "10" )</f>
        <v>2</v>
      </c>
      <c r="R37" s="3">
        <f t="shared" si="5"/>
        <v>13.33</v>
      </c>
      <c r="S37" s="3">
        <f>SUMIFS( historical_events_FACT!J:J, historical_events_FACT!G:G, B37,historical_events_FACT!B:B, "2016",historical_events_FACT!C:C, "10" )</f>
        <v>26.66</v>
      </c>
      <c r="T37" s="3">
        <f>COUNTIFS(historical_events_FACT!G:G, B37,historical_events_FACT!B:B, "2016",historical_events_FACT!C:C, "10" )</f>
        <v>2</v>
      </c>
      <c r="U37" s="3">
        <f>MAXIFS( historical_events_FACT!J:J, historical_events_FACT!G:G, B37,historical_events_FACT!C:C, "10" )</f>
        <v>15.97</v>
      </c>
      <c r="V37" s="97">
        <f t="array" ref="V37">ROUND(AVERAGEIF({ IFERROR(XLOOKUP(B37, 'Surfer Stats - Event 7'!B:B, 'Surfer Stats - Event 7'!Z:Z), ""), IFERROR(XLOOKUP(B37, 'Surfer Stats - Event 8'!B:B, 'Surfer Stats - Event 8'!Y:Y), ""), IFERROR(XLOOKUP(B37, 'Surfer Stats - Event 9'!B:B, 'Surfer Stats - Event 9'!Y:Y), "") }, "&lt;&gt;"),2)</f>
        <v>26.4</v>
      </c>
      <c r="W37" s="3">
        <f t="array" ref="W37">XLOOKUP(B37, 'Surfer Stats - Event 9'!B:B, 'Surfer Stats - Event 9'!Y:Y)</f>
        <v>23.76</v>
      </c>
      <c r="X37" s="75">
        <f>1500+1750+500+500+500+1750+500</f>
        <v>7000</v>
      </c>
      <c r="Y37" s="3">
        <f t="array" ref="Y37">XLOOKUP(B37,'Event 10 Assist'!A:A, 'Event 10 Assist'!E:E)</f>
        <v>47.61</v>
      </c>
    </row>
    <row r="38">
      <c r="A38" s="10">
        <v>0.0</v>
      </c>
      <c r="B38" s="82" t="s">
        <v>298</v>
      </c>
      <c r="C38" s="10" t="s">
        <v>247</v>
      </c>
      <c r="D38" s="3">
        <f t="shared" si="1"/>
        <v>0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"10" )</f>
        <v>0</v>
      </c>
      <c r="K38" s="3">
        <f t="shared" si="2"/>
        <v>0</v>
      </c>
      <c r="L38" s="3">
        <f t="shared" si="3"/>
        <v>0</v>
      </c>
      <c r="M38" s="3">
        <f>SUMIFS( '2014Data'!I:I, '2014Data'!F:F, B38,'2014Data'!B:B, "10" )</f>
        <v>0</v>
      </c>
      <c r="N38" s="3">
        <f>COUNTIFS('2014Data'!F:F, B38,'2014Data'!B:B, "10" )</f>
        <v>0</v>
      </c>
      <c r="O38" s="3">
        <f t="shared" si="4"/>
        <v>0</v>
      </c>
      <c r="P38" s="3">
        <f>SUMIFS( historical_events_FACT!J:J, historical_events_FACT!G:G, B38,historical_events_FACT!B:B, "2015",historical_events_FACT!C:C, "10" )</f>
        <v>0</v>
      </c>
      <c r="Q38" s="3">
        <f>COUNTIFS(historical_events_FACT!G:G, B38,historical_events_FACT!B:B, "2015",historical_events_FACT!C:C, "10" )</f>
        <v>0</v>
      </c>
      <c r="R38" s="3">
        <f t="shared" si="5"/>
        <v>0</v>
      </c>
      <c r="S38" s="3">
        <f>SUMIFS( historical_events_FACT!J:J, historical_events_FACT!G:G, B38,historical_events_FACT!B:B, "2016",historical_events_FACT!C:C, "10" )</f>
        <v>0</v>
      </c>
      <c r="T38" s="3">
        <f>COUNTIFS(historical_events_FACT!G:G, B38,historical_events_FACT!B:B, "2016",historical_events_FACT!C:C, "10" )</f>
        <v>0</v>
      </c>
      <c r="U38" s="3">
        <f>MAXIFS( historical_events_FACT!J:J, historical_events_FACT!G:G, B38,historical_events_FACT!C:C, "10" )</f>
        <v>0</v>
      </c>
      <c r="V38" s="97">
        <f t="array" ref="V38">ROUND(AVERAGEIF({ IFERROR(XLOOKUP(B38, 'Surfer Stats - Event 7'!B:B, 'Surfer Stats - Event 7'!Z:Z), ""), IFERROR(XLOOKUP(B38, 'Surfer Stats - Event 8'!B:B, 'Surfer Stats - Event 8'!Y:Y), ""), IFERROR(XLOOKUP(B38, 'Surfer Stats - Event 9'!B:B, 'Surfer Stats - Event 9'!Y:Y), "") }, "&lt;&gt;"),2)</f>
        <v>61.6</v>
      </c>
      <c r="W38" s="3">
        <f t="array" ref="W38">XLOOKUP(B38, 'Surfer Stats - Event 9'!B:B, 'Surfer Stats - Event 9'!Y:Y)</f>
        <v>61.6</v>
      </c>
      <c r="X38" s="91">
        <v>5200.0</v>
      </c>
      <c r="Y38" s="3" t="str">
        <f t="array" ref="Y38">XLOOKUP(B38,'Event 10 Assist'!A:A, 'Event 10 Assist'!E:E)</f>
        <v/>
      </c>
    </row>
    <row r="39">
      <c r="A39" s="10">
        <v>0.0</v>
      </c>
      <c r="B39" s="82" t="s">
        <v>142</v>
      </c>
      <c r="C39" s="3" t="str">
        <f t="array" ref="C39">XLOOKUP(B39, 'Surfer Stats - Event 4'!B:B, 'Surfer Stats - Event 4'!D:D)</f>
        <v>Goofy</v>
      </c>
      <c r="D39" s="3">
        <f t="shared" si="1"/>
        <v>0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"10" )</f>
        <v>0</v>
      </c>
      <c r="K39" s="3">
        <f t="shared" si="2"/>
        <v>0</v>
      </c>
      <c r="L39" s="3">
        <f t="shared" si="3"/>
        <v>0</v>
      </c>
      <c r="M39" s="3">
        <f>SUMIFS( '2014Data'!I:I, '2014Data'!F:F, B39,'2014Data'!B:B, "10" )</f>
        <v>0</v>
      </c>
      <c r="N39" s="3">
        <f>COUNTIFS('2014Data'!F:F, B39,'2014Data'!B:B, "10" )</f>
        <v>0</v>
      </c>
      <c r="O39" s="3">
        <f t="shared" si="4"/>
        <v>0</v>
      </c>
      <c r="P39" s="3">
        <f>SUMIFS( historical_events_FACT!J:J, historical_events_FACT!G:G, B39,historical_events_FACT!B:B, "2015",historical_events_FACT!C:C, "10" )</f>
        <v>0</v>
      </c>
      <c r="Q39" s="3">
        <f>COUNTIFS(historical_events_FACT!G:G, B39,historical_events_FACT!B:B, "2015",historical_events_FACT!C:C, "10" )</f>
        <v>0</v>
      </c>
      <c r="R39" s="3">
        <f t="shared" si="5"/>
        <v>0</v>
      </c>
      <c r="S39" s="3">
        <f>SUMIFS( historical_events_FACT!J:J, historical_events_FACT!G:G, B39,historical_events_FACT!B:B, "2016",historical_events_FACT!C:C, "10" )</f>
        <v>0</v>
      </c>
      <c r="T39" s="3">
        <f>COUNTIFS(historical_events_FACT!G:G, B39,historical_events_FACT!B:B, "2016",historical_events_FACT!C:C, "10" )</f>
        <v>0</v>
      </c>
      <c r="U39" s="3">
        <f>MAXIFS( historical_events_FACT!J:J, historical_events_FACT!G:G, B39,historical_events_FACT!C:C, "10" )</f>
        <v>0</v>
      </c>
      <c r="V39" s="97" t="str">
        <f t="array" ref="V39">ROUND(AVERAGEIF({ IFERROR(XLOOKUP(B39, 'Surfer Stats - Event 7'!B:B, 'Surfer Stats - Event 7'!Z:Z), ""), IFERROR(XLOOKUP(B39, 'Surfer Stats - Event 8'!B:B, 'Surfer Stats - Event 8'!Y:Y), ""), IFERROR(XLOOKUP(B39, 'Surfer Stats - Event 9'!B:B, 'Surfer Stats - Event 9'!Y:Y), "") }, "&lt;&gt;"),2)</f>
        <v>#DIV/0!</v>
      </c>
      <c r="W39" s="3" t="str">
        <f t="array" ref="W39">XLOOKUP(B39, 'Surfer Stats - Event 9'!B:B, 'Surfer Stats - Event 9'!Y:Y)</f>
        <v/>
      </c>
      <c r="X39" s="83">
        <f>1750+500</f>
        <v>2250</v>
      </c>
      <c r="Y39" s="3" t="str">
        <f t="array" ref="Y39">XLOOKUP(B39,'Event 10 Assist'!A:A, 'Event 10 Assist'!E:E)</f>
        <v/>
      </c>
    </row>
    <row r="40">
      <c r="A40" s="10">
        <v>0.0</v>
      </c>
      <c r="B40" s="93" t="s">
        <v>262</v>
      </c>
      <c r="C40" s="3" t="str">
        <f t="array" ref="C40">XLOOKUP(B40, 'Surfer Stats - Event 4'!B:B, 'Surfer Stats - Event 4'!D:D)</f>
        <v>Goofy</v>
      </c>
      <c r="D40" s="3">
        <f t="shared" si="1"/>
        <v>0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"10" )</f>
        <v>0</v>
      </c>
      <c r="K40" s="3">
        <f t="shared" si="2"/>
        <v>0</v>
      </c>
      <c r="L40" s="3">
        <f t="shared" si="3"/>
        <v>0</v>
      </c>
      <c r="M40" s="3">
        <f>SUMIFS( '2014Data'!I:I, '2014Data'!F:F, B40,'2014Data'!B:B, "10" )</f>
        <v>0</v>
      </c>
      <c r="N40" s="3">
        <f>COUNTIFS('2014Data'!F:F, B40,'2014Data'!B:B, "10" )</f>
        <v>0</v>
      </c>
      <c r="O40" s="3">
        <f t="shared" si="4"/>
        <v>0</v>
      </c>
      <c r="P40" s="3">
        <f>SUMIFS( historical_events_FACT!J:J, historical_events_FACT!G:G, B40,historical_events_FACT!B:B, "2015",historical_events_FACT!C:C, "10" )</f>
        <v>0</v>
      </c>
      <c r="Q40" s="3">
        <f>COUNTIFS(historical_events_FACT!G:G, B40,historical_events_FACT!B:B, "2015",historical_events_FACT!C:C, "10" )</f>
        <v>0</v>
      </c>
      <c r="R40" s="3">
        <f t="shared" si="5"/>
        <v>0</v>
      </c>
      <c r="S40" s="3">
        <f>SUMIFS( historical_events_FACT!J:J, historical_events_FACT!G:G, B40,historical_events_FACT!B:B, "2016",historical_events_FACT!C:C, "10" )</f>
        <v>0</v>
      </c>
      <c r="T40" s="3">
        <f>COUNTIFS(historical_events_FACT!G:G, B40,historical_events_FACT!B:B, "2016",historical_events_FACT!C:C, "10" )</f>
        <v>0</v>
      </c>
      <c r="U40" s="3">
        <f>MAXIFS( historical_events_FACT!J:J, historical_events_FACT!G:G, B40,historical_events_FACT!C:C, "10" )</f>
        <v>0</v>
      </c>
      <c r="V40" s="97" t="str">
        <f t="array" ref="V40">ROUND(AVERAGEIF({ IFERROR(XLOOKUP(B40, 'Surfer Stats - Event 7'!B:B, 'Surfer Stats - Event 7'!Z:Z), ""), IFERROR(XLOOKUP(B40, 'Surfer Stats - Event 8'!B:B, 'Surfer Stats - Event 8'!Y:Y), ""), IFERROR(XLOOKUP(B40, 'Surfer Stats - Event 9'!B:B, 'Surfer Stats - Event 9'!Y:Y), "") }, "&lt;&gt;"),2)</f>
        <v>#DIV/0!</v>
      </c>
      <c r="W40" s="3" t="str">
        <f t="array" ref="W40">XLOOKUP(B40, 'Surfer Stats - Event 9'!B:B, 'Surfer Stats - Event 9'!Y:Y)</f>
        <v/>
      </c>
      <c r="X40" s="83">
        <v>1750.0</v>
      </c>
      <c r="Y40" s="3" t="str">
        <f t="array" ref="Y40">XLOOKUP(B40,'Event 10 Assist'!A:A, 'Event 10 Assist'!E:E)</f>
        <v/>
      </c>
    </row>
    <row r="41">
      <c r="A41" s="10">
        <v>0.0</v>
      </c>
      <c r="B41" s="93" t="s">
        <v>46</v>
      </c>
      <c r="C41" s="3" t="str">
        <f t="array" ref="C41">XLOOKUP(B41, 'Surfer Stats - Event 4'!B:B, 'Surfer Stats - Event 4'!D:D)</f>
        <v>Regular</v>
      </c>
      <c r="D41" s="3">
        <f t="shared" si="1"/>
        <v>0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"10" )</f>
        <v>0</v>
      </c>
      <c r="K41" s="3">
        <f t="shared" si="2"/>
        <v>0</v>
      </c>
      <c r="L41" s="3">
        <f t="shared" si="3"/>
        <v>0</v>
      </c>
      <c r="M41" s="3">
        <f>SUMIFS( '2014Data'!I:I, '2014Data'!F:F, B41,'2014Data'!B:B, "10" )</f>
        <v>0</v>
      </c>
      <c r="N41" s="3">
        <f>COUNTIFS('2014Data'!F:F, B41,'2014Data'!B:B, "10" )</f>
        <v>0</v>
      </c>
      <c r="O41" s="3">
        <f t="shared" si="4"/>
        <v>0</v>
      </c>
      <c r="P41" s="3">
        <f>SUMIFS( historical_events_FACT!J:J, historical_events_FACT!G:G, B41,historical_events_FACT!B:B, "2015",historical_events_FACT!C:C, "10" )</f>
        <v>0</v>
      </c>
      <c r="Q41" s="3">
        <f>COUNTIFS(historical_events_FACT!G:G, B41,historical_events_FACT!B:B, "2015",historical_events_FACT!C:C, "10" )</f>
        <v>0</v>
      </c>
      <c r="R41" s="3">
        <f t="shared" si="5"/>
        <v>0</v>
      </c>
      <c r="S41" s="3">
        <f>SUMIFS( historical_events_FACT!J:J, historical_events_FACT!G:G, B41,historical_events_FACT!B:B, "2016",historical_events_FACT!C:C, "10" )</f>
        <v>0</v>
      </c>
      <c r="T41" s="3">
        <f>COUNTIFS(historical_events_FACT!G:G, B41,historical_events_FACT!B:B, "2016",historical_events_FACT!C:C, "10" )</f>
        <v>0</v>
      </c>
      <c r="U41" s="3">
        <f>MAXIFS( historical_events_FACT!J:J, historical_events_FACT!G:G, B41,historical_events_FACT!C:C, "10" )</f>
        <v>0</v>
      </c>
      <c r="V41" s="97" t="str">
        <f t="array" ref="V41">ROUND(AVERAGEIF({ IFERROR(XLOOKUP(B41, 'Surfer Stats - Event 7'!B:B, 'Surfer Stats - Event 7'!Z:Z), ""), IFERROR(XLOOKUP(B41, 'Surfer Stats - Event 8'!B:B, 'Surfer Stats - Event 8'!Y:Y), ""), IFERROR(XLOOKUP(B41, 'Surfer Stats - Event 9'!B:B, 'Surfer Stats - Event 9'!Y:Y), "") }, "&lt;&gt;"),2)</f>
        <v>#DIV/0!</v>
      </c>
      <c r="W41" s="3" t="str">
        <f t="array" ref="W41">XLOOKUP(B41, 'Surfer Stats - Event 9'!B:B, 'Surfer Stats - Event 9'!Y:Y)</f>
        <v/>
      </c>
      <c r="X41" s="83">
        <v>1750.0</v>
      </c>
      <c r="Y41" s="3" t="str">
        <f t="array" ref="Y41">XLOOKUP(B41,'Event 10 Assist'!A:A, 'Event 10 Assist'!E:E)</f>
        <v/>
      </c>
    </row>
    <row r="42">
      <c r="A42" s="10">
        <v>0.0</v>
      </c>
      <c r="B42" s="82" t="s">
        <v>173</v>
      </c>
      <c r="C42" s="10" t="s">
        <v>247</v>
      </c>
      <c r="D42" s="3">
        <f t="shared" si="1"/>
        <v>0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"10" )</f>
        <v>0</v>
      </c>
      <c r="K42" s="3">
        <f t="shared" si="2"/>
        <v>0</v>
      </c>
      <c r="L42" s="3">
        <f t="shared" si="3"/>
        <v>0</v>
      </c>
      <c r="M42" s="3">
        <f>SUMIFS( '2014Data'!I:I, '2014Data'!F:F, B42,'2014Data'!B:B, "10" )</f>
        <v>0</v>
      </c>
      <c r="N42" s="3">
        <f>COUNTIFS('2014Data'!F:F, B42,'2014Data'!B:B, "10" )</f>
        <v>0</v>
      </c>
      <c r="O42" s="3">
        <f t="shared" si="4"/>
        <v>0</v>
      </c>
      <c r="P42" s="3">
        <f>SUMIFS( historical_events_FACT!J:J, historical_events_FACT!G:G, B42,historical_events_FACT!B:B, "2015",historical_events_FACT!C:C, "10" )</f>
        <v>0</v>
      </c>
      <c r="Q42" s="3">
        <f>COUNTIFS(historical_events_FACT!G:G, B42,historical_events_FACT!B:B, "2015",historical_events_FACT!C:C, "10" )</f>
        <v>0</v>
      </c>
      <c r="R42" s="3">
        <f t="shared" si="5"/>
        <v>0</v>
      </c>
      <c r="S42" s="3">
        <f>SUMIFS( historical_events_FACT!J:J, historical_events_FACT!G:G, B42,historical_events_FACT!B:B, "2016",historical_events_FACT!C:C, "10" )</f>
        <v>0</v>
      </c>
      <c r="T42" s="3">
        <f>COUNTIFS(historical_events_FACT!G:G, B42,historical_events_FACT!B:B, "2016",historical_events_FACT!C:C, "10" )</f>
        <v>0</v>
      </c>
      <c r="U42" s="3">
        <f>MAXIFS( historical_events_FACT!J:J, historical_events_FACT!G:G, B42,historical_events_FACT!C:C, "10" )</f>
        <v>0</v>
      </c>
      <c r="V42" s="97">
        <f t="array" ref="V42">ROUND(AVERAGEIF({ IFERROR(XLOOKUP(B42, 'Surfer Stats - Event 7'!B:B, 'Surfer Stats - Event 7'!Z:Z), ""), IFERROR(XLOOKUP(B42, 'Surfer Stats - Event 8'!B:B, 'Surfer Stats - Event 8'!Y:Y), ""), IFERROR(XLOOKUP(B42, 'Surfer Stats - Event 9'!B:B, 'Surfer Stats - Event 9'!Y:Y), "") }, "&lt;&gt;"),2)</f>
        <v>40.09</v>
      </c>
      <c r="W42" s="3" t="str">
        <f t="array" ref="W42">XLOOKUP(B42, 'Surfer Stats - Event 9'!B:B, 'Surfer Stats - Event 9'!Y:Y)</f>
        <v/>
      </c>
      <c r="X42" s="91">
        <v>1750.0</v>
      </c>
      <c r="Y42" s="3" t="str">
        <f t="array" ref="Y42">XLOOKUP(B42,'Event 10 Assist'!A:A, 'Event 10 Assist'!E:E)</f>
        <v/>
      </c>
    </row>
    <row r="43">
      <c r="A43" s="10">
        <v>0.0</v>
      </c>
      <c r="B43" s="82" t="s">
        <v>116</v>
      </c>
      <c r="C43" s="10" t="s">
        <v>244</v>
      </c>
      <c r="D43" s="3">
        <f t="shared" si="1"/>
        <v>0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"10" )</f>
        <v>0</v>
      </c>
      <c r="K43" s="3">
        <f t="shared" si="2"/>
        <v>0</v>
      </c>
      <c r="L43" s="3">
        <f t="shared" si="3"/>
        <v>0</v>
      </c>
      <c r="M43" s="3">
        <f>SUMIFS( '2014Data'!I:I, '2014Data'!F:F, B43,'2014Data'!B:B, "10" )</f>
        <v>0</v>
      </c>
      <c r="N43" s="3">
        <f>COUNTIFS('2014Data'!F:F, B43,'2014Data'!B:B, "10" )</f>
        <v>0</v>
      </c>
      <c r="O43" s="3">
        <f t="shared" si="4"/>
        <v>0</v>
      </c>
      <c r="P43" s="3">
        <f>SUMIFS( historical_events_FACT!J:J, historical_events_FACT!G:G, B43,historical_events_FACT!B:B, "2015",historical_events_FACT!C:C, "10" )</f>
        <v>0</v>
      </c>
      <c r="Q43" s="3">
        <f>COUNTIFS(historical_events_FACT!G:G, B43,historical_events_FACT!B:B, "2015",historical_events_FACT!C:C, "10" )</f>
        <v>0</v>
      </c>
      <c r="R43" s="3">
        <f t="shared" si="5"/>
        <v>0</v>
      </c>
      <c r="S43" s="3">
        <f>SUMIFS( historical_events_FACT!J:J, historical_events_FACT!G:G, B43,historical_events_FACT!B:B, "2016",historical_events_FACT!C:C, "10" )</f>
        <v>0</v>
      </c>
      <c r="T43" s="3">
        <f>COUNTIFS(historical_events_FACT!G:G, B43,historical_events_FACT!B:B, "2016",historical_events_FACT!C:C, "10" )</f>
        <v>0</v>
      </c>
      <c r="U43" s="3">
        <f>MAXIFS( historical_events_FACT!J:J, historical_events_FACT!G:G, B43,historical_events_FACT!C:C, "10" )</f>
        <v>0</v>
      </c>
      <c r="V43" s="97">
        <f t="array" ref="V43">ROUND(AVERAGEIF({ IFERROR(XLOOKUP(B43, 'Surfer Stats - Event 7'!B:B, 'Surfer Stats - Event 7'!Z:Z), ""), IFERROR(XLOOKUP(B43, 'Surfer Stats - Event 8'!B:B, 'Surfer Stats - Event 8'!Y:Y), ""), IFERROR(XLOOKUP(B43, 'Surfer Stats - Event 9'!B:B, 'Surfer Stats - Event 9'!Y:Y), "") }, "&lt;&gt;"),2)</f>
        <v>41.46</v>
      </c>
      <c r="W43" s="3" t="str">
        <f t="array" ref="W43">XLOOKUP(B43, 'Surfer Stats - Event 9'!B:B, 'Surfer Stats - Event 9'!Y:Y)</f>
        <v/>
      </c>
      <c r="X43" s="91">
        <v>1750.0</v>
      </c>
      <c r="Y43" s="3" t="str">
        <f t="array" ref="Y43">XLOOKUP(B43,'Event 10 Assist'!A:A, 'Event 10 Assist'!E:E)</f>
        <v/>
      </c>
    </row>
    <row r="44">
      <c r="A44" s="10">
        <v>0.0</v>
      </c>
      <c r="B44" s="82" t="s">
        <v>168</v>
      </c>
      <c r="C44" s="3" t="str">
        <f t="array" ref="C44">XLOOKUP(B44, 'Surfer Stats - Event 4'!B:B, 'Surfer Stats - Event 4'!D:D)</f>
        <v>Regular</v>
      </c>
      <c r="D44" s="3">
        <f t="shared" si="1"/>
        <v>0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"10" )</f>
        <v>0</v>
      </c>
      <c r="K44" s="3">
        <f t="shared" si="2"/>
        <v>0</v>
      </c>
      <c r="L44" s="3">
        <f t="shared" si="3"/>
        <v>0</v>
      </c>
      <c r="M44" s="3">
        <f>SUMIFS( '2014Data'!I:I, '2014Data'!F:F, B44,'2014Data'!B:B, "10" )</f>
        <v>0</v>
      </c>
      <c r="N44" s="3">
        <f>COUNTIFS('2014Data'!F:F, B44,'2014Data'!B:B, "10" )</f>
        <v>0</v>
      </c>
      <c r="O44" s="3">
        <f t="shared" si="4"/>
        <v>0</v>
      </c>
      <c r="P44" s="3">
        <f>SUMIFS( historical_events_FACT!J:J, historical_events_FACT!G:G, B44,historical_events_FACT!B:B, "2015",historical_events_FACT!C:C, "10" )</f>
        <v>0</v>
      </c>
      <c r="Q44" s="3">
        <f>COUNTIFS(historical_events_FACT!G:G, B44,historical_events_FACT!B:B, "2015",historical_events_FACT!C:C, "10" )</f>
        <v>0</v>
      </c>
      <c r="R44" s="3">
        <f t="shared" si="5"/>
        <v>0</v>
      </c>
      <c r="S44" s="3">
        <f>SUMIFS( historical_events_FACT!J:J, historical_events_FACT!G:G, B44,historical_events_FACT!B:B, "2016",historical_events_FACT!C:C, "10" )</f>
        <v>0</v>
      </c>
      <c r="T44" s="3">
        <f>COUNTIFS(historical_events_FACT!G:G, B44,historical_events_FACT!B:B, "2016",historical_events_FACT!C:C, "10" )</f>
        <v>0</v>
      </c>
      <c r="U44" s="3">
        <f>MAXIFS( historical_events_FACT!J:J, historical_events_FACT!G:G, B44,historical_events_FACT!C:C, "10" )</f>
        <v>0</v>
      </c>
      <c r="V44" s="97" t="str">
        <f t="array" ref="V44">ROUND(AVERAGEIF({ IFERROR(XLOOKUP(B44, 'Surfer Stats - Event 7'!B:B, 'Surfer Stats - Event 7'!Z:Z), ""), IFERROR(XLOOKUP(B44, 'Surfer Stats - Event 8'!B:B, 'Surfer Stats - Event 8'!Y:Y), ""), IFERROR(XLOOKUP(B44, 'Surfer Stats - Event 9'!B:B, 'Surfer Stats - Event 9'!Y:Y), "") }, "&lt;&gt;"),2)</f>
        <v>#DIV/0!</v>
      </c>
      <c r="W44" s="3" t="str">
        <f t="array" ref="W44">XLOOKUP(B44, 'Surfer Stats - Event 9'!B:B, 'Surfer Stats - Event 9'!Y:Y)</f>
        <v/>
      </c>
      <c r="X44" s="91">
        <f>0+500+500</f>
        <v>1000</v>
      </c>
      <c r="Y44" s="3" t="str">
        <f t="array" ref="Y44">XLOOKUP(B44,'Event 10 Assist'!A:A, 'Event 10 Assist'!E:E)</f>
        <v/>
      </c>
    </row>
    <row r="45">
      <c r="A45" s="10">
        <v>0.0</v>
      </c>
      <c r="B45" s="82" t="s">
        <v>144</v>
      </c>
      <c r="C45" s="3" t="str">
        <f t="array" ref="C45">XLOOKUP(B45, 'Surfer Stats - Event 4'!B:B, 'Surfer Stats - Event 4'!D:D)</f>
        <v>Regular</v>
      </c>
      <c r="D45" s="3">
        <f t="shared" si="1"/>
        <v>0</v>
      </c>
      <c r="E45" s="10">
        <v>0.0</v>
      </c>
      <c r="F45" s="10">
        <v>0.0</v>
      </c>
      <c r="G45" s="10">
        <v>99.0</v>
      </c>
      <c r="H45" s="10">
        <v>99.0</v>
      </c>
      <c r="I45" s="10">
        <v>99.0</v>
      </c>
      <c r="J45" s="3">
        <f>COUNTIFS( historical_events_FACT!J:J, "&gt;16", historical_events_FACT!G:G, B45,historical_events_FACT!C:C, "10" )</f>
        <v>0</v>
      </c>
      <c r="K45" s="3">
        <f t="shared" si="2"/>
        <v>0</v>
      </c>
      <c r="L45" s="3">
        <f t="shared" si="3"/>
        <v>0</v>
      </c>
      <c r="M45" s="3">
        <f>SUMIFS( '2014Data'!I:I, '2014Data'!F:F, B45,'2014Data'!B:B, "10" )</f>
        <v>0</v>
      </c>
      <c r="N45" s="3">
        <f>COUNTIFS('2014Data'!F:F, B45,'2014Data'!B:B, "10" )</f>
        <v>0</v>
      </c>
      <c r="O45" s="3">
        <f t="shared" si="4"/>
        <v>0</v>
      </c>
      <c r="P45" s="3">
        <f>SUMIFS( historical_events_FACT!J:J, historical_events_FACT!G:G, B45,historical_events_FACT!B:B, "2015",historical_events_FACT!C:C, "10" )</f>
        <v>0</v>
      </c>
      <c r="Q45" s="3">
        <f>COUNTIFS(historical_events_FACT!G:G, B45,historical_events_FACT!B:B, "2015",historical_events_FACT!C:C, "10" )</f>
        <v>0</v>
      </c>
      <c r="R45" s="3">
        <f t="shared" si="5"/>
        <v>0</v>
      </c>
      <c r="S45" s="3">
        <f>SUMIFS( historical_events_FACT!J:J, historical_events_FACT!G:G, B45,historical_events_FACT!B:B, "2016",historical_events_FACT!C:C, "10" )</f>
        <v>0</v>
      </c>
      <c r="T45" s="3">
        <f>COUNTIFS(historical_events_FACT!G:G, B45,historical_events_FACT!B:B, "2016",historical_events_FACT!C:C, "10" )</f>
        <v>0</v>
      </c>
      <c r="U45" s="3">
        <f>MAXIFS( historical_events_FACT!J:J, historical_events_FACT!G:G, B45,historical_events_FACT!C:C, "10" )</f>
        <v>0</v>
      </c>
      <c r="V45" s="97" t="str">
        <f t="array" ref="V45">ROUND(AVERAGEIF({ IFERROR(XLOOKUP(B45, 'Surfer Stats - Event 7'!B:B, 'Surfer Stats - Event 7'!Z:Z), ""), IFERROR(XLOOKUP(B45, 'Surfer Stats - Event 8'!B:B, 'Surfer Stats - Event 8'!Y:Y), ""), IFERROR(XLOOKUP(B45, 'Surfer Stats - Event 9'!B:B, 'Surfer Stats - Event 9'!Y:Y), "") }, "&lt;&gt;"),2)</f>
        <v>#DIV/0!</v>
      </c>
      <c r="W45" s="3" t="str">
        <f t="array" ref="W45">XLOOKUP(B45, 'Surfer Stats - Event 9'!B:B, 'Surfer Stats - Event 9'!Y:Y)</f>
        <v/>
      </c>
      <c r="X45" s="83">
        <v>500.0</v>
      </c>
      <c r="Y45" s="3" t="str">
        <f t="array" ref="Y45">XLOOKUP(B45,'Event 10 Assist'!A:A, 'Event 10 Assist'!E:E)</f>
        <v/>
      </c>
    </row>
    <row r="46">
      <c r="A46" s="10">
        <v>0.0</v>
      </c>
      <c r="B46" s="82" t="s">
        <v>143</v>
      </c>
      <c r="C46" s="3" t="str">
        <f t="array" ref="C46">XLOOKUP(B46, 'Surfer Stats - Event 4'!B:B, 'Surfer Stats - Event 4'!D:D)</f>
        <v>Regular</v>
      </c>
      <c r="D46" s="3">
        <f t="shared" si="1"/>
        <v>0</v>
      </c>
      <c r="E46" s="10">
        <v>0.0</v>
      </c>
      <c r="F46" s="10">
        <v>0.0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"10" )</f>
        <v>0</v>
      </c>
      <c r="K46" s="3">
        <f t="shared" si="2"/>
        <v>0</v>
      </c>
      <c r="L46" s="3">
        <f t="shared" si="3"/>
        <v>0</v>
      </c>
      <c r="M46" s="3">
        <f>SUMIFS( '2014Data'!I:I, '2014Data'!F:F, B46,'2014Data'!B:B, "10" )</f>
        <v>0</v>
      </c>
      <c r="N46" s="3">
        <f>COUNTIFS('2014Data'!F:F, B46,'2014Data'!B:B, "10" )</f>
        <v>0</v>
      </c>
      <c r="O46" s="3">
        <f t="shared" si="4"/>
        <v>0</v>
      </c>
      <c r="P46" s="3">
        <f>SUMIFS( historical_events_FACT!J:J, historical_events_FACT!G:G, B46,historical_events_FACT!B:B, "2015",historical_events_FACT!C:C, "10" )</f>
        <v>0</v>
      </c>
      <c r="Q46" s="3">
        <f>COUNTIFS(historical_events_FACT!G:G, B46,historical_events_FACT!B:B, "2015",historical_events_FACT!C:C, "10" )</f>
        <v>0</v>
      </c>
      <c r="R46" s="3">
        <f t="shared" si="5"/>
        <v>0</v>
      </c>
      <c r="S46" s="3">
        <f>SUMIFS( historical_events_FACT!J:J, historical_events_FACT!G:G, B46,historical_events_FACT!B:B, "2016",historical_events_FACT!C:C, "10" )</f>
        <v>0</v>
      </c>
      <c r="T46" s="3">
        <f>COUNTIFS(historical_events_FACT!G:G, B46,historical_events_FACT!B:B, "2016",historical_events_FACT!C:C, "10" )</f>
        <v>0</v>
      </c>
      <c r="U46" s="3">
        <f>MAXIFS( historical_events_FACT!J:J, historical_events_FACT!G:G, B46,historical_events_FACT!C:C, "10" )</f>
        <v>0</v>
      </c>
      <c r="V46" s="97" t="str">
        <f t="array" ref="V46">ROUND(AVERAGEIF({ IFERROR(XLOOKUP(B46, 'Surfer Stats - Event 7'!B:B, 'Surfer Stats - Event 7'!Z:Z), ""), IFERROR(XLOOKUP(B46, 'Surfer Stats - Event 8'!B:B, 'Surfer Stats - Event 8'!Y:Y), ""), IFERROR(XLOOKUP(B46, 'Surfer Stats - Event 9'!B:B, 'Surfer Stats - Event 9'!Y:Y), "") }, "&lt;&gt;"),2)</f>
        <v>#DIV/0!</v>
      </c>
      <c r="W46" s="3" t="str">
        <f t="array" ref="W46">XLOOKUP(B46, 'Surfer Stats - Event 9'!B:B, 'Surfer Stats - Event 9'!Y:Y)</f>
        <v/>
      </c>
      <c r="X46" s="83">
        <v>500.0</v>
      </c>
      <c r="Y46" s="3" t="str">
        <f t="array" ref="Y46">XLOOKUP(B46,'Event 10 Assist'!A:A, 'Event 10 Assist'!E:E)</f>
        <v/>
      </c>
    </row>
    <row r="47">
      <c r="A47" s="10">
        <v>0.0</v>
      </c>
      <c r="B47" s="82" t="s">
        <v>82</v>
      </c>
      <c r="C47" s="10" t="s">
        <v>247</v>
      </c>
      <c r="D47" s="3">
        <f t="shared" si="1"/>
        <v>0</v>
      </c>
      <c r="E47" s="10">
        <v>0.0</v>
      </c>
      <c r="F47" s="10">
        <v>0.0</v>
      </c>
      <c r="G47" s="10">
        <v>99.0</v>
      </c>
      <c r="H47" s="10">
        <v>99.0</v>
      </c>
      <c r="I47" s="10">
        <v>99.0</v>
      </c>
      <c r="J47" s="3">
        <f>COUNTIFS( historical_events_FACT!J:J, "&gt;16", historical_events_FACT!G:G, B47,historical_events_FACT!C:C, "10" )</f>
        <v>0</v>
      </c>
      <c r="K47" s="3">
        <f t="shared" si="2"/>
        <v>0</v>
      </c>
      <c r="L47" s="3">
        <f t="shared" si="3"/>
        <v>0</v>
      </c>
      <c r="M47" s="3">
        <f>SUMIFS( '2014Data'!I:I, '2014Data'!F:F, B47,'2014Data'!B:B, "10" )</f>
        <v>0</v>
      </c>
      <c r="N47" s="3">
        <f>COUNTIFS('2014Data'!F:F, B47,'2014Data'!B:B, "10" )</f>
        <v>0</v>
      </c>
      <c r="O47" s="3">
        <f t="shared" si="4"/>
        <v>0</v>
      </c>
      <c r="P47" s="3">
        <f>SUMIFS( historical_events_FACT!J:J, historical_events_FACT!G:G, B47,historical_events_FACT!B:B, "2015",historical_events_FACT!C:C, "10" )</f>
        <v>0</v>
      </c>
      <c r="Q47" s="3">
        <f>COUNTIFS(historical_events_FACT!G:G, B47,historical_events_FACT!B:B, "2015",historical_events_FACT!C:C, "10" )</f>
        <v>0</v>
      </c>
      <c r="R47" s="3">
        <f t="shared" si="5"/>
        <v>0</v>
      </c>
      <c r="S47" s="3">
        <f>SUMIFS( historical_events_FACT!J:J, historical_events_FACT!G:G, B47,historical_events_FACT!B:B, "2016",historical_events_FACT!C:C, "10" )</f>
        <v>0</v>
      </c>
      <c r="T47" s="3">
        <f>COUNTIFS(historical_events_FACT!G:G, B47,historical_events_FACT!B:B, "2016",historical_events_FACT!C:C, "10" )</f>
        <v>0</v>
      </c>
      <c r="U47" s="3">
        <f>MAXIFS( historical_events_FACT!J:J, historical_events_FACT!G:G, B47,historical_events_FACT!C:C, "10" )</f>
        <v>0</v>
      </c>
      <c r="V47" s="97" t="str">
        <f t="array" ref="V47">ROUND(AVERAGEIF({ IFERROR(XLOOKUP(B47, 'Surfer Stats - Event 7'!B:B, 'Surfer Stats - Event 7'!Z:Z), ""), IFERROR(XLOOKUP(B47, 'Surfer Stats - Event 8'!B:B, 'Surfer Stats - Event 8'!Y:Y), ""), IFERROR(XLOOKUP(B47, 'Surfer Stats - Event 9'!B:B, 'Surfer Stats - Event 9'!Y:Y), "") }, "&lt;&gt;"),2)</f>
        <v>#DIV/0!</v>
      </c>
      <c r="W47" s="3" t="str">
        <f t="array" ref="W47">XLOOKUP(B47, 'Surfer Stats - Event 9'!B:B, 'Surfer Stats - Event 9'!Y:Y)</f>
        <v/>
      </c>
      <c r="X47" s="91">
        <v>500.0</v>
      </c>
      <c r="Y47" s="3" t="str">
        <f t="array" ref="Y47">XLOOKUP(B47,'Event 10 Assist'!A:A, 'Event 10 Assist'!E:E)</f>
        <v/>
      </c>
    </row>
    <row r="48">
      <c r="A48" s="10">
        <v>0.0</v>
      </c>
      <c r="B48" s="82" t="s">
        <v>110</v>
      </c>
      <c r="C48" s="10" t="s">
        <v>244</v>
      </c>
      <c r="D48" s="3">
        <f t="shared" si="1"/>
        <v>0</v>
      </c>
      <c r="E48" s="10">
        <v>0.0</v>
      </c>
      <c r="F48" s="10">
        <v>0.0</v>
      </c>
      <c r="G48" s="10">
        <v>99.0</v>
      </c>
      <c r="H48" s="10">
        <v>99.0</v>
      </c>
      <c r="I48" s="10">
        <v>99.0</v>
      </c>
      <c r="J48" s="3">
        <f>COUNTIFS( historical_events_FACT!J:J, "&gt;16", historical_events_FACT!G:G, B48,historical_events_FACT!C:C, "10" )</f>
        <v>0</v>
      </c>
      <c r="K48" s="3">
        <f t="shared" si="2"/>
        <v>0</v>
      </c>
      <c r="L48" s="3">
        <f t="shared" si="3"/>
        <v>0</v>
      </c>
      <c r="M48" s="3">
        <f>SUMIFS( '2014Data'!I:I, '2014Data'!F:F, B48,'2014Data'!B:B, "10" )</f>
        <v>0</v>
      </c>
      <c r="N48" s="3">
        <f>COUNTIFS('2014Data'!F:F, B48,'2014Data'!B:B, "10" )</f>
        <v>0</v>
      </c>
      <c r="O48" s="3">
        <f t="shared" si="4"/>
        <v>0</v>
      </c>
      <c r="P48" s="3">
        <f>SUMIFS( historical_events_FACT!J:J, historical_events_FACT!G:G, B48,historical_events_FACT!B:B, "2015",historical_events_FACT!C:C, "10" )</f>
        <v>0</v>
      </c>
      <c r="Q48" s="3">
        <f>COUNTIFS(historical_events_FACT!G:G, B48,historical_events_FACT!B:B, "2015",historical_events_FACT!C:C, "10" )</f>
        <v>0</v>
      </c>
      <c r="R48" s="3">
        <f t="shared" si="5"/>
        <v>0</v>
      </c>
      <c r="S48" s="3">
        <f>SUMIFS( historical_events_FACT!J:J, historical_events_FACT!G:G, B48,historical_events_FACT!B:B, "2016",historical_events_FACT!C:C, "10" )</f>
        <v>0</v>
      </c>
      <c r="T48" s="3">
        <f>COUNTIFS(historical_events_FACT!G:G, B48,historical_events_FACT!B:B, "2016",historical_events_FACT!C:C, "10" )</f>
        <v>0</v>
      </c>
      <c r="U48" s="3">
        <f>MAXIFS( historical_events_FACT!J:J, historical_events_FACT!G:G, B48,historical_events_FACT!C:C, "10" )</f>
        <v>0</v>
      </c>
      <c r="V48" s="97" t="str">
        <f t="array" ref="V48">ROUND(AVERAGEIF({ IFERROR(XLOOKUP(B48, 'Surfer Stats - Event 7'!B:B, 'Surfer Stats - Event 7'!Z:Z), ""), IFERROR(XLOOKUP(B48, 'Surfer Stats - Event 8'!B:B, 'Surfer Stats - Event 8'!Y:Y), ""), IFERROR(XLOOKUP(B48, 'Surfer Stats - Event 9'!B:B, 'Surfer Stats - Event 9'!Y:Y), "") }, "&lt;&gt;"),2)</f>
        <v>#DIV/0!</v>
      </c>
      <c r="W48" s="3" t="str">
        <f t="array" ref="W48">XLOOKUP(B48, 'Surfer Stats - Event 9'!B:B, 'Surfer Stats - Event 9'!Y:Y)</f>
        <v/>
      </c>
      <c r="X48" s="91">
        <v>500.0</v>
      </c>
      <c r="Y48" s="3" t="str">
        <f t="array" ref="Y48">XLOOKUP(B48,'Event 10 Assist'!A:A, 'Event 10 Assist'!E:E)</f>
        <v/>
      </c>
    </row>
    <row r="49">
      <c r="A49" s="10">
        <v>0.0</v>
      </c>
      <c r="B49" s="82" t="s">
        <v>286</v>
      </c>
      <c r="C49" s="10" t="s">
        <v>244</v>
      </c>
      <c r="D49" s="3">
        <f t="shared" si="1"/>
        <v>0</v>
      </c>
      <c r="E49" s="10">
        <v>0.0</v>
      </c>
      <c r="F49" s="10">
        <v>0.0</v>
      </c>
      <c r="G49" s="10">
        <v>99.0</v>
      </c>
      <c r="H49" s="10">
        <v>99.0</v>
      </c>
      <c r="I49" s="10">
        <v>99.0</v>
      </c>
      <c r="J49" s="3">
        <f>COUNTIFS( historical_events_FACT!J:J, "&gt;16", historical_events_FACT!G:G, B49,historical_events_FACT!C:C, "10" )</f>
        <v>0</v>
      </c>
      <c r="K49" s="3">
        <f t="shared" si="2"/>
        <v>0</v>
      </c>
      <c r="L49" s="3">
        <f t="shared" si="3"/>
        <v>0</v>
      </c>
      <c r="M49" s="3">
        <f>SUMIFS( '2014Data'!I:I, '2014Data'!F:F, B49,'2014Data'!B:B, "10" )</f>
        <v>0</v>
      </c>
      <c r="N49" s="3">
        <f>COUNTIFS('2014Data'!F:F, B49,'2014Data'!B:B, "10" )</f>
        <v>0</v>
      </c>
      <c r="O49" s="3">
        <f t="shared" si="4"/>
        <v>0</v>
      </c>
      <c r="P49" s="3">
        <f>SUMIFS( historical_events_FACT!J:J, historical_events_FACT!G:G, B49,historical_events_FACT!B:B, "2015",historical_events_FACT!C:C, "10" )</f>
        <v>0</v>
      </c>
      <c r="Q49" s="3">
        <f>COUNTIFS(historical_events_FACT!G:G, B49,historical_events_FACT!B:B, "2015",historical_events_FACT!C:C, "10" )</f>
        <v>0</v>
      </c>
      <c r="R49" s="3">
        <f t="shared" si="5"/>
        <v>0</v>
      </c>
      <c r="S49" s="3">
        <f>SUMIFS( historical_events_FACT!J:J, historical_events_FACT!G:G, B49,historical_events_FACT!B:B, "2016",historical_events_FACT!C:C, "10" )</f>
        <v>0</v>
      </c>
      <c r="T49" s="3">
        <f>COUNTIFS(historical_events_FACT!G:G, B49,historical_events_FACT!B:B, "2016",historical_events_FACT!C:C, "10" )</f>
        <v>0</v>
      </c>
      <c r="U49" s="3">
        <f>MAXIFS( historical_events_FACT!J:J, historical_events_FACT!G:G, B49,historical_events_FACT!C:C, "10" )</f>
        <v>0</v>
      </c>
      <c r="V49" s="97" t="str">
        <f t="array" ref="V49">ROUND(AVERAGEIF({ IFERROR(XLOOKUP(B49, 'Surfer Stats - Event 7'!B:B, 'Surfer Stats - Event 7'!Z:Z), ""), IFERROR(XLOOKUP(B49, 'Surfer Stats - Event 8'!B:B, 'Surfer Stats - Event 8'!Y:Y), ""), IFERROR(XLOOKUP(B49, 'Surfer Stats - Event 9'!B:B, 'Surfer Stats - Event 9'!Y:Y), "") }, "&lt;&gt;"),2)</f>
        <v>#DIV/0!</v>
      </c>
      <c r="W49" s="3" t="str">
        <f t="array" ref="W49">XLOOKUP(B49, 'Surfer Stats - Event 9'!B:B, 'Surfer Stats - Event 9'!Y:Y)</f>
        <v/>
      </c>
      <c r="X49" s="91">
        <v>500.0</v>
      </c>
      <c r="Y49" s="3" t="str">
        <f t="array" ref="Y49">XLOOKUP(B49,'Event 10 Assist'!A:A, 'Event 10 Assist'!E:E)</f>
        <v/>
      </c>
    </row>
    <row r="50">
      <c r="A50" s="10">
        <v>0.0</v>
      </c>
      <c r="B50" s="82" t="s">
        <v>107</v>
      </c>
      <c r="C50" s="10" t="s">
        <v>244</v>
      </c>
      <c r="D50" s="3">
        <f t="shared" si="1"/>
        <v>7</v>
      </c>
      <c r="E50" s="10">
        <v>0.0</v>
      </c>
      <c r="F50" s="10">
        <v>0.0</v>
      </c>
      <c r="G50" s="10">
        <v>99.0</v>
      </c>
      <c r="H50" s="10">
        <v>99.0</v>
      </c>
      <c r="I50" s="10">
        <v>99.0</v>
      </c>
      <c r="J50" s="3">
        <f>COUNTIFS( historical_events_FACT!J:J, "&gt;16", historical_events_FACT!G:G, B50,historical_events_FACT!C:C, "10" )</f>
        <v>0</v>
      </c>
      <c r="K50" s="3">
        <f t="shared" si="2"/>
        <v>9.82</v>
      </c>
      <c r="L50" s="3">
        <f t="shared" si="3"/>
        <v>8.98</v>
      </c>
      <c r="M50" s="3">
        <f>SUMIFS( '2014Data'!I:I, '2014Data'!F:F, B50,'2014Data'!B:B, "10" )</f>
        <v>44.89</v>
      </c>
      <c r="N50" s="3">
        <f>COUNTIFS('2014Data'!F:F, B50,'2014Data'!B:B, "10" )</f>
        <v>5</v>
      </c>
      <c r="O50" s="3">
        <f t="shared" si="4"/>
        <v>11.93</v>
      </c>
      <c r="P50" s="3">
        <f>SUMIFS( historical_events_FACT!J:J, historical_events_FACT!G:G, B50,historical_events_FACT!B:B, "2015",historical_events_FACT!C:C, "10" )</f>
        <v>23.86</v>
      </c>
      <c r="Q50" s="3">
        <f>COUNTIFS(historical_events_FACT!G:G, B50,historical_events_FACT!B:B, "2015",historical_events_FACT!C:C, "10" )</f>
        <v>2</v>
      </c>
      <c r="R50" s="3">
        <f t="shared" si="5"/>
        <v>0</v>
      </c>
      <c r="S50" s="3">
        <f>SUMIFS( historical_events_FACT!J:J, historical_events_FACT!G:G, B50,historical_events_FACT!B:B, "2016",historical_events_FACT!C:C, "10" )</f>
        <v>0</v>
      </c>
      <c r="T50" s="3">
        <f>COUNTIFS(historical_events_FACT!G:G, B50,historical_events_FACT!B:B, "2016",historical_events_FACT!C:C, "10" )</f>
        <v>0</v>
      </c>
      <c r="U50" s="3">
        <f>MAXIFS( historical_events_FACT!J:J, historical_events_FACT!G:G, B50,historical_events_FACT!C:C, "10" )</f>
        <v>12</v>
      </c>
      <c r="V50" s="97">
        <f t="array" ref="V50">ROUND(AVERAGEIF({ IFERROR(XLOOKUP(B50, 'Surfer Stats - Event 7'!B:B, 'Surfer Stats - Event 7'!Z:Z), ""), IFERROR(XLOOKUP(B50, 'Surfer Stats - Event 8'!B:B, 'Surfer Stats - Event 8'!Y:Y), ""), IFERROR(XLOOKUP(B50, 'Surfer Stats - Event 9'!B:B, 'Surfer Stats - Event 9'!Y:Y), "") }, "&lt;&gt;"),2)</f>
        <v>21.47</v>
      </c>
      <c r="W50" s="3" t="str">
        <f t="array" ref="W50">XLOOKUP(B50, 'Surfer Stats - Event 9'!B:B, 'Surfer Stats - Event 9'!Y:Y)</f>
        <v/>
      </c>
      <c r="X50" s="91">
        <v>500.0</v>
      </c>
      <c r="Y50" s="3" t="str">
        <f t="array" ref="Y50">XLOOKUP(B50,'Event 10 Assist'!A:A, 'Event 10 Assist'!E:E)</f>
        <v/>
      </c>
    </row>
    <row r="51">
      <c r="A51" s="10">
        <v>0.0</v>
      </c>
      <c r="B51" s="82" t="s">
        <v>115</v>
      </c>
      <c r="C51" s="10" t="s">
        <v>247</v>
      </c>
      <c r="D51" s="3">
        <f t="shared" si="1"/>
        <v>0</v>
      </c>
      <c r="E51" s="10">
        <v>0.0</v>
      </c>
      <c r="F51" s="10">
        <v>0.0</v>
      </c>
      <c r="G51" s="10">
        <v>99.0</v>
      </c>
      <c r="H51" s="10">
        <v>99.0</v>
      </c>
      <c r="I51" s="10">
        <v>99.0</v>
      </c>
      <c r="J51" s="3">
        <f>COUNTIFS( historical_events_FACT!J:J, "&gt;16", historical_events_FACT!G:G, B51,historical_events_FACT!C:C, "10" )</f>
        <v>0</v>
      </c>
      <c r="K51" s="3">
        <f t="shared" si="2"/>
        <v>0</v>
      </c>
      <c r="L51" s="3">
        <f t="shared" si="3"/>
        <v>0</v>
      </c>
      <c r="M51" s="3">
        <f>SUMIFS( '2014Data'!I:I, '2014Data'!F:F, B51,'2014Data'!B:B, "10" )</f>
        <v>0</v>
      </c>
      <c r="N51" s="3">
        <f>COUNTIFS('2014Data'!F:F, B51,'2014Data'!B:B, "10" )</f>
        <v>0</v>
      </c>
      <c r="O51" s="3">
        <f t="shared" si="4"/>
        <v>0</v>
      </c>
      <c r="P51" s="3">
        <f>SUMIFS( historical_events_FACT!J:J, historical_events_FACT!G:G, B51,historical_events_FACT!B:B, "2015",historical_events_FACT!C:C, "10" )</f>
        <v>0</v>
      </c>
      <c r="Q51" s="3">
        <f>COUNTIFS(historical_events_FACT!G:G, B51,historical_events_FACT!B:B, "2015",historical_events_FACT!C:C, "10" )</f>
        <v>0</v>
      </c>
      <c r="R51" s="3">
        <f t="shared" si="5"/>
        <v>0</v>
      </c>
      <c r="S51" s="3">
        <f>SUMIFS( historical_events_FACT!J:J, historical_events_FACT!G:G, B51,historical_events_FACT!B:B, "2016",historical_events_FACT!C:C, "10" )</f>
        <v>0</v>
      </c>
      <c r="T51" s="3">
        <f>COUNTIFS(historical_events_FACT!G:G, B51,historical_events_FACT!B:B, "2016",historical_events_FACT!C:C, "10" )</f>
        <v>0</v>
      </c>
      <c r="U51" s="3">
        <f>MAXIFS( historical_events_FACT!J:J, historical_events_FACT!G:G, B51,historical_events_FACT!C:C, "10" )</f>
        <v>0</v>
      </c>
      <c r="V51" s="97">
        <f t="array" ref="V51">ROUND(AVERAGEIF({ IFERROR(XLOOKUP(B51, 'Surfer Stats - Event 7'!B:B, 'Surfer Stats - Event 7'!Z:Z), ""), IFERROR(XLOOKUP(B51, 'Surfer Stats - Event 8'!B:B, 'Surfer Stats - Event 8'!Y:Y), ""), IFERROR(XLOOKUP(B51, 'Surfer Stats - Event 9'!B:B, 'Surfer Stats - Event 9'!Y:Y), "") }, "&lt;&gt;"),2)</f>
        <v>16.73</v>
      </c>
      <c r="W51" s="3" t="str">
        <f t="array" ref="W51">XLOOKUP(B51, 'Surfer Stats - Event 9'!B:B, 'Surfer Stats - Event 9'!Y:Y)</f>
        <v/>
      </c>
      <c r="X51" s="91">
        <v>500.0</v>
      </c>
      <c r="Y51" s="3" t="str">
        <f t="array" ref="Y51">XLOOKUP(B51,'Event 10 Assist'!A:A, 'Event 10 Assist'!E:E)</f>
        <v/>
      </c>
    </row>
    <row r="52">
      <c r="A52" s="10">
        <v>0.0</v>
      </c>
      <c r="B52" s="82" t="s">
        <v>25</v>
      </c>
      <c r="C52" s="10" t="s">
        <v>244</v>
      </c>
      <c r="D52" s="3">
        <f t="shared" si="1"/>
        <v>7</v>
      </c>
      <c r="E52" s="10">
        <v>0.0</v>
      </c>
      <c r="F52" s="10">
        <v>0.0</v>
      </c>
      <c r="G52" s="10">
        <v>99.0</v>
      </c>
      <c r="H52" s="10">
        <v>99.0</v>
      </c>
      <c r="I52" s="10">
        <v>99.0</v>
      </c>
      <c r="J52" s="3">
        <f>COUNTIFS( historical_events_FACT!J:J, "&gt;16", historical_events_FACT!G:G, B52,historical_events_FACT!C:C, "10" )</f>
        <v>0</v>
      </c>
      <c r="K52" s="3">
        <f t="shared" si="2"/>
        <v>10.86</v>
      </c>
      <c r="L52" s="3">
        <f t="shared" si="3"/>
        <v>0</v>
      </c>
      <c r="M52" s="3">
        <f>SUMIFS( '2014Data'!I:I, '2014Data'!F:F, B52,'2014Data'!B:B, "10" )</f>
        <v>0</v>
      </c>
      <c r="N52" s="3">
        <f>COUNTIFS('2014Data'!F:F, B52,'2014Data'!B:B, "10" )</f>
        <v>0</v>
      </c>
      <c r="O52" s="3">
        <f t="shared" si="4"/>
        <v>9.85</v>
      </c>
      <c r="P52" s="3">
        <f>SUMIFS( historical_events_FACT!J:J, historical_events_FACT!G:G, B52,historical_events_FACT!B:B, "2015",historical_events_FACT!C:C, "10" )</f>
        <v>39.39</v>
      </c>
      <c r="Q52" s="3">
        <f>COUNTIFS(historical_events_FACT!G:G, B52,historical_events_FACT!B:B, "2015",historical_events_FACT!C:C, "10" )</f>
        <v>4</v>
      </c>
      <c r="R52" s="3">
        <f t="shared" si="5"/>
        <v>12.2</v>
      </c>
      <c r="S52" s="3">
        <f>SUMIFS( historical_events_FACT!J:J, historical_events_FACT!G:G, B52,historical_events_FACT!B:B, "2016",historical_events_FACT!C:C, "10" )</f>
        <v>36.6</v>
      </c>
      <c r="T52" s="3">
        <f>COUNTIFS(historical_events_FACT!G:G, B52,historical_events_FACT!B:B, "2016",historical_events_FACT!C:C, "10" )</f>
        <v>3</v>
      </c>
      <c r="U52" s="3">
        <f>MAXIFS( historical_events_FACT!J:J, historical_events_FACT!G:G, B52,historical_events_FACT!C:C, "10" )</f>
        <v>15.83</v>
      </c>
      <c r="V52" s="97">
        <f t="array" ref="V52">ROUND(AVERAGEIF({ IFERROR(XLOOKUP(B52, 'Surfer Stats - Event 7'!B:B, 'Surfer Stats - Event 7'!Z:Z), ""), IFERROR(XLOOKUP(B52, 'Surfer Stats - Event 8'!B:B, 'Surfer Stats - Event 8'!Y:Y), ""), IFERROR(XLOOKUP(B52, 'Surfer Stats - Event 9'!B:B, 'Surfer Stats - Event 9'!Y:Y), "") }, "&lt;&gt;"),2)</f>
        <v>16.27</v>
      </c>
      <c r="W52" s="3">
        <f t="array" ref="W52">XLOOKUP(B52, 'Surfer Stats - Event 9'!B:B, 'Surfer Stats - Event 9'!Y:Y)</f>
        <v>16.27</v>
      </c>
      <c r="X52" s="91">
        <v>500.0</v>
      </c>
      <c r="Y52" s="3" t="str">
        <f t="array" ref="Y52">XLOOKUP(B52,'Event 10 Assist'!A:A, 'Event 10 Assist'!E:E)</f>
        <v/>
      </c>
    </row>
    <row r="53">
      <c r="A53" s="10">
        <v>1.0</v>
      </c>
      <c r="B53" s="66" t="s">
        <v>119</v>
      </c>
      <c r="C53" s="10" t="s">
        <v>244</v>
      </c>
      <c r="D53" s="3">
        <f t="shared" si="1"/>
        <v>8</v>
      </c>
      <c r="E53" s="10">
        <v>0.0</v>
      </c>
      <c r="F53" s="10">
        <v>1.0</v>
      </c>
      <c r="G53" s="10">
        <v>99.0</v>
      </c>
      <c r="H53" s="10">
        <v>99.0</v>
      </c>
      <c r="I53" s="10">
        <v>3.0</v>
      </c>
      <c r="J53" s="3">
        <f>COUNTIFS( historical_events_FACT!J:J, "&gt;16", historical_events_FACT!G:G, B53,historical_events_FACT!C:C, "10" )</f>
        <v>0</v>
      </c>
      <c r="K53" s="3">
        <f t="shared" si="2"/>
        <v>11.07</v>
      </c>
      <c r="L53" s="3">
        <f t="shared" si="3"/>
        <v>9.03</v>
      </c>
      <c r="M53" s="10">
        <v>9.03</v>
      </c>
      <c r="N53" s="10">
        <v>1.0</v>
      </c>
      <c r="O53" s="3">
        <f t="shared" si="4"/>
        <v>11.67</v>
      </c>
      <c r="P53" s="3">
        <f>SUMIFS( historical_events_FACT!J:J, historical_events_FACT!G:G, B53,historical_events_FACT!B:B, "2015",historical_events_FACT!C:C, "10" )</f>
        <v>70</v>
      </c>
      <c r="Q53" s="3">
        <f>COUNTIFS(historical_events_FACT!G:G, B53,historical_events_FACT!B:B, "2015",historical_events_FACT!C:C, "10" )</f>
        <v>6</v>
      </c>
      <c r="R53" s="3">
        <f t="shared" si="5"/>
        <v>9.5</v>
      </c>
      <c r="S53" s="10">
        <v>9.5</v>
      </c>
      <c r="T53" s="10">
        <v>1.0</v>
      </c>
      <c r="U53" s="3">
        <f>MAXIFS( historical_events_FACT!J:J, historical_events_FACT!G:G, B53,historical_events_FACT!C:C, "10" )</f>
        <v>14.36</v>
      </c>
      <c r="V53" s="99">
        <v>32.93</v>
      </c>
      <c r="W53" s="10">
        <v>38.94</v>
      </c>
      <c r="X53" s="51">
        <v>0.0</v>
      </c>
      <c r="Y53" s="3">
        <f t="array" ref="Y53">XLOOKUP(B53,'Event 10 Assist'!A:A, 'Event 10 Assist'!E:E)</f>
        <v>28.57</v>
      </c>
    </row>
    <row r="54">
      <c r="A54" s="10">
        <v>1.0</v>
      </c>
      <c r="B54" s="66" t="s">
        <v>72</v>
      </c>
      <c r="C54" s="10" t="s">
        <v>244</v>
      </c>
      <c r="D54" s="3">
        <f t="shared" si="1"/>
        <v>4</v>
      </c>
      <c r="E54" s="10">
        <v>0.0</v>
      </c>
      <c r="F54" s="10">
        <v>0.0</v>
      </c>
      <c r="G54" s="10">
        <v>99.0</v>
      </c>
      <c r="H54" s="10">
        <v>99.0</v>
      </c>
      <c r="I54" s="10">
        <v>99.0</v>
      </c>
      <c r="J54" s="3">
        <f>COUNTIFS( historical_events_FACT!J:J, "&gt;16", historical_events_FACT!G:G, B54,historical_events_FACT!C:C, "10" )</f>
        <v>0</v>
      </c>
      <c r="K54" s="3">
        <f t="shared" si="2"/>
        <v>8.15</v>
      </c>
      <c r="L54" s="3">
        <f t="shared" si="3"/>
        <v>5.03</v>
      </c>
      <c r="M54" s="10">
        <v>5.03</v>
      </c>
      <c r="N54" s="10">
        <v>1.0</v>
      </c>
      <c r="O54" s="3">
        <f t="shared" si="4"/>
        <v>9.18</v>
      </c>
      <c r="P54" s="3">
        <f>SUMIFS( historical_events_FACT!J:J, historical_events_FACT!G:G, B54,historical_events_FACT!B:B, "2015",historical_events_FACT!C:C, "10" )</f>
        <v>27.55</v>
      </c>
      <c r="Q54" s="3">
        <f>COUNTIFS(historical_events_FACT!G:G, B54,historical_events_FACT!B:B, "2015",historical_events_FACT!C:C, "10" )</f>
        <v>3</v>
      </c>
      <c r="R54" s="3">
        <f t="shared" si="5"/>
        <v>0</v>
      </c>
      <c r="S54" s="3">
        <f>SUMIFS( historical_events_FACT!J:J, historical_events_FACT!G:G, B54,historical_events_FACT!B:B, "2016",historical_events_FACT!C:C, "10" )</f>
        <v>0</v>
      </c>
      <c r="T54" s="3">
        <f>COUNTIFS(historical_events_FACT!G:G, B54,historical_events_FACT!B:B, "2016",historical_events_FACT!C:C, "10" )</f>
        <v>0</v>
      </c>
      <c r="U54" s="3">
        <f>MAXIFS( historical_events_FACT!J:J, historical_events_FACT!G:G, B54,historical_events_FACT!C:C, "10" )</f>
        <v>13.93</v>
      </c>
      <c r="V54" s="99">
        <v>32.93</v>
      </c>
      <c r="W54" s="10">
        <v>38.94</v>
      </c>
      <c r="X54" s="51">
        <v>0.0</v>
      </c>
      <c r="Y54" s="3">
        <f t="array" ref="Y54">XLOOKUP(B54,'Event 10 Assist'!A:A, 'Event 10 Assist'!E:E)</f>
        <v>10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26</v>
      </c>
      <c r="B1" s="75">
        <f>23000+1750+1750+5200+5200+6500+6500+5200</f>
        <v>55100</v>
      </c>
      <c r="C1" s="78">
        <v>1.0</v>
      </c>
      <c r="D1" s="75">
        <v>0.0</v>
      </c>
      <c r="E1" s="103">
        <v>47.21</v>
      </c>
    </row>
    <row r="2">
      <c r="A2" s="66" t="s">
        <v>30</v>
      </c>
      <c r="B2" s="75">
        <f>8750+4000+1750+6500+8000+1750+10000+10000</f>
        <v>50750</v>
      </c>
      <c r="C2" s="78">
        <v>1.0</v>
      </c>
      <c r="D2" s="75">
        <v>0.0</v>
      </c>
      <c r="E2" s="103">
        <v>90.03</v>
      </c>
    </row>
    <row r="3">
      <c r="A3" s="66" t="s">
        <v>28</v>
      </c>
      <c r="B3" s="75">
        <f>19200+5200+1750+5200+6500+8000+1750+1750</f>
        <v>49350</v>
      </c>
      <c r="C3" s="78">
        <v>1.0</v>
      </c>
      <c r="D3" s="75">
        <v>0.0</v>
      </c>
      <c r="E3" s="103">
        <v>17.47</v>
      </c>
    </row>
    <row r="4">
      <c r="A4" s="66" t="s">
        <v>31</v>
      </c>
      <c r="B4" s="75">
        <f>7500+4000+5200+6500+10000+4000+500+8000</f>
        <v>45700</v>
      </c>
      <c r="C4" s="78">
        <v>1.0</v>
      </c>
      <c r="D4" s="75">
        <v>0.0</v>
      </c>
      <c r="E4" s="103">
        <v>65.34</v>
      </c>
    </row>
    <row r="5">
      <c r="A5" s="66" t="s">
        <v>57</v>
      </c>
      <c r="B5" s="75">
        <f>19200++5200+1750+4000+5200+500+4000+500</f>
        <v>40350</v>
      </c>
      <c r="C5" s="78">
        <v>1.0</v>
      </c>
      <c r="D5" s="75">
        <v>0.0</v>
      </c>
      <c r="E5" s="103">
        <v>19.5</v>
      </c>
    </row>
    <row r="6">
      <c r="A6" s="66" t="s">
        <v>34</v>
      </c>
      <c r="B6" s="75">
        <f>10250+6500+10000+5200+4000+500+1750+1750</f>
        <v>39950</v>
      </c>
      <c r="C6" s="78">
        <v>1.0</v>
      </c>
      <c r="D6" s="75">
        <v>0.0</v>
      </c>
      <c r="E6" s="103">
        <v>15.47</v>
      </c>
    </row>
    <row r="7">
      <c r="A7" s="66" t="s">
        <v>42</v>
      </c>
      <c r="B7" s="75">
        <f>14400+10000+1750+1750+1750+5200+1750+1750</f>
        <v>38350</v>
      </c>
      <c r="C7" s="78">
        <v>1.0</v>
      </c>
      <c r="D7" s="75">
        <v>0.0</v>
      </c>
      <c r="E7" s="103">
        <v>38.18</v>
      </c>
    </row>
    <row r="8">
      <c r="A8" s="66" t="s">
        <v>32</v>
      </c>
      <c r="B8" s="75">
        <f>13750+500+1750+500+6500+500+6500+6500</f>
        <v>36500</v>
      </c>
      <c r="C8" s="78">
        <v>1.0</v>
      </c>
      <c r="D8" s="78">
        <v>0.0</v>
      </c>
      <c r="E8" s="104">
        <v>95.52</v>
      </c>
    </row>
    <row r="9">
      <c r="A9" s="66" t="s">
        <v>33</v>
      </c>
      <c r="B9" s="75">
        <f>12200+1750+500+10000+500+10000+500+500</f>
        <v>35950</v>
      </c>
      <c r="C9" s="78">
        <v>1.0</v>
      </c>
      <c r="D9" s="78">
        <v>0.0</v>
      </c>
      <c r="E9" s="103">
        <v>16.14</v>
      </c>
    </row>
    <row r="10">
      <c r="A10" s="66" t="s">
        <v>38</v>
      </c>
      <c r="B10" s="75">
        <f>9750+1750+4000+500+1750+4000+8000+5200</f>
        <v>34950</v>
      </c>
      <c r="C10" s="78">
        <v>1.0</v>
      </c>
      <c r="D10" s="75">
        <v>0.0</v>
      </c>
      <c r="E10" s="104">
        <v>49.47</v>
      </c>
    </row>
    <row r="11">
      <c r="A11" s="66" t="s">
        <v>39</v>
      </c>
      <c r="B11" s="75">
        <f>10950+5200+6500+1750+1750+500+5200+1750</f>
        <v>33600</v>
      </c>
      <c r="C11" s="78">
        <v>1.0</v>
      </c>
      <c r="D11" s="78">
        <v>0.0</v>
      </c>
      <c r="E11" s="104">
        <v>18.77</v>
      </c>
    </row>
    <row r="12">
      <c r="A12" s="66" t="s">
        <v>41</v>
      </c>
      <c r="B12" s="75">
        <f>7450+5200+1750+5200+1750+1750+5200+5200</f>
        <v>33500</v>
      </c>
      <c r="C12" s="78">
        <v>1.0</v>
      </c>
      <c r="D12" s="78">
        <v>0.0</v>
      </c>
      <c r="E12" s="104">
        <v>54.41</v>
      </c>
    </row>
    <row r="13">
      <c r="A13" s="66" t="s">
        <v>64</v>
      </c>
      <c r="B13" s="75">
        <f>7450+1750+1750+8000+500+5200+1750+4000</f>
        <v>30400</v>
      </c>
      <c r="C13" s="78">
        <v>1.0</v>
      </c>
      <c r="D13" s="75">
        <v>0.0</v>
      </c>
      <c r="E13" s="104">
        <v>46.47</v>
      </c>
    </row>
    <row r="14">
      <c r="A14" s="66" t="s">
        <v>61</v>
      </c>
      <c r="B14" s="75">
        <f>8700+1750+8000+1750+4000+500+500+4000</f>
        <v>29200</v>
      </c>
      <c r="C14" s="78">
        <v>1.0</v>
      </c>
      <c r="D14" s="75">
        <v>0.0</v>
      </c>
      <c r="E14" s="104">
        <v>57.17</v>
      </c>
    </row>
    <row r="15">
      <c r="A15" s="66" t="s">
        <v>47</v>
      </c>
      <c r="B15" s="75">
        <f>4000+8000+500+500+4000+6500+1750+1750</f>
        <v>27000</v>
      </c>
      <c r="C15" s="78">
        <v>1.0</v>
      </c>
      <c r="D15" s="78">
        <v>0.0</v>
      </c>
      <c r="E15" s="104">
        <v>34.34</v>
      </c>
    </row>
    <row r="16">
      <c r="A16" s="66" t="s">
        <v>27</v>
      </c>
      <c r="B16" s="75">
        <f>7450+500+6500+4000+1750+500+1750+1750</f>
        <v>24200</v>
      </c>
      <c r="C16" s="78">
        <v>1.0</v>
      </c>
      <c r="D16" s="75">
        <v>0.0</v>
      </c>
      <c r="E16" s="104">
        <v>20.74</v>
      </c>
    </row>
    <row r="17">
      <c r="A17" s="66" t="s">
        <v>65</v>
      </c>
      <c r="B17" s="75">
        <f>2750+500+5200+4000+5200+1750+4000+500</f>
        <v>23900</v>
      </c>
      <c r="C17" s="78">
        <v>1.0</v>
      </c>
      <c r="D17" s="75">
        <v>0.0</v>
      </c>
      <c r="E17" s="104">
        <v>13.96</v>
      </c>
    </row>
    <row r="18">
      <c r="A18" s="66" t="s">
        <v>40</v>
      </c>
      <c r="B18" s="75">
        <f>11500+1750+500+1750+500+500+4000+1750</f>
        <v>22250</v>
      </c>
      <c r="C18" s="78">
        <v>1.0</v>
      </c>
      <c r="D18" s="75">
        <v>0.0</v>
      </c>
      <c r="E18" s="104">
        <v>24.76</v>
      </c>
    </row>
    <row r="19">
      <c r="A19" s="66" t="s">
        <v>50</v>
      </c>
      <c r="B19" s="75">
        <f>7500+1750+1750+1750+1750+5200+1750+500</f>
        <v>21950</v>
      </c>
      <c r="C19" s="78">
        <v>1.0</v>
      </c>
      <c r="D19" s="75">
        <v>0.0</v>
      </c>
      <c r="E19" s="104">
        <v>12.1</v>
      </c>
    </row>
    <row r="20">
      <c r="A20" s="66" t="s">
        <v>53</v>
      </c>
      <c r="B20" s="75">
        <f>2750+4000+500+500+1750+5200+500+6500</f>
        <v>21700</v>
      </c>
      <c r="C20" s="78">
        <v>1.0</v>
      </c>
      <c r="D20" s="78">
        <v>0.0</v>
      </c>
      <c r="E20" s="104">
        <v>63.76</v>
      </c>
    </row>
    <row r="21">
      <c r="A21" s="66" t="s">
        <v>52</v>
      </c>
      <c r="B21" s="75">
        <f>+500+8500+500+4000+4000+1750+500+1750</f>
        <v>21500</v>
      </c>
      <c r="C21" s="78">
        <v>1.0</v>
      </c>
      <c r="D21" s="75">
        <v>0.0</v>
      </c>
      <c r="E21" s="104">
        <v>25.21</v>
      </c>
    </row>
    <row r="22">
      <c r="A22" s="66" t="s">
        <v>59</v>
      </c>
      <c r="B22" s="75">
        <f>4000+1750+5200+1750+1750+4000+1750+500</f>
        <v>20700</v>
      </c>
      <c r="C22" s="78">
        <v>1.0</v>
      </c>
      <c r="D22" s="78">
        <v>0.0</v>
      </c>
      <c r="E22" s="104">
        <v>16.04</v>
      </c>
    </row>
    <row r="23">
      <c r="A23" s="66" t="s">
        <v>54</v>
      </c>
      <c r="B23" s="75">
        <f>5000+4000+1750+500+5200+1750+500+500+500</f>
        <v>19700</v>
      </c>
      <c r="C23" s="78">
        <v>1.0</v>
      </c>
      <c r="D23" s="75">
        <v>0.0</v>
      </c>
      <c r="E23" s="104">
        <v>6.77</v>
      </c>
    </row>
    <row r="24">
      <c r="A24" s="66" t="s">
        <v>55</v>
      </c>
      <c r="B24" s="75">
        <f>500+4000+1750+500+500+1750+5200+5200</f>
        <v>19400</v>
      </c>
      <c r="C24" s="78">
        <v>1.0</v>
      </c>
      <c r="D24" s="78">
        <v>0.0</v>
      </c>
      <c r="E24" s="105">
        <v>50.75</v>
      </c>
    </row>
    <row r="25">
      <c r="A25" s="66" t="s">
        <v>17</v>
      </c>
      <c r="B25" s="75">
        <f>6200+500+4000+1750+1750+1750+500+1750</f>
        <v>18200</v>
      </c>
      <c r="C25" s="78">
        <v>1.0</v>
      </c>
      <c r="D25" s="75">
        <v>0.0</v>
      </c>
      <c r="E25" s="104">
        <v>26.13</v>
      </c>
    </row>
    <row r="26">
      <c r="A26" s="51" t="s">
        <v>66</v>
      </c>
      <c r="B26" s="75">
        <f>1500+500+5200+1750+500+500+1750+4000</f>
        <v>15700</v>
      </c>
      <c r="C26" s="78">
        <v>1.0</v>
      </c>
      <c r="D26" s="75">
        <v>0.0</v>
      </c>
      <c r="E26" s="105">
        <v>47.9</v>
      </c>
    </row>
    <row r="27">
      <c r="A27" s="66" t="s">
        <v>69</v>
      </c>
      <c r="B27" s="75">
        <f>8750+500+500+1750+500+1750+500+500</f>
        <v>14750</v>
      </c>
      <c r="C27" s="78">
        <v>1.0</v>
      </c>
      <c r="D27" s="78">
        <v>0.0</v>
      </c>
      <c r="E27" s="104">
        <v>10.87</v>
      </c>
    </row>
    <row r="28">
      <c r="A28" s="66" t="s">
        <v>67</v>
      </c>
      <c r="B28" s="75">
        <f>4000+1750+4000+500+1750+500+1750+500</f>
        <v>14750</v>
      </c>
      <c r="C28" s="78">
        <v>1.0</v>
      </c>
      <c r="D28" s="75">
        <v>0.0</v>
      </c>
      <c r="E28" s="105">
        <v>10.47</v>
      </c>
    </row>
    <row r="29">
      <c r="A29" s="82" t="s">
        <v>37</v>
      </c>
      <c r="B29" s="83">
        <f>8700+500+1750+1750+500+500+500+500</f>
        <v>14700</v>
      </c>
      <c r="C29" s="91">
        <v>0.0</v>
      </c>
      <c r="D29" s="91">
        <v>1.0</v>
      </c>
      <c r="E29" s="93"/>
    </row>
    <row r="30">
      <c r="A30" s="66" t="s">
        <v>68</v>
      </c>
      <c r="B30" s="75">
        <f>7500+500+500+1750+500+500+500+1750</f>
        <v>13500</v>
      </c>
      <c r="C30" s="78">
        <v>1.0</v>
      </c>
      <c r="D30" s="75">
        <v>0.0</v>
      </c>
      <c r="E30" s="105">
        <v>21.9</v>
      </c>
    </row>
    <row r="31">
      <c r="A31" s="66" t="s">
        <v>56</v>
      </c>
      <c r="B31" s="75">
        <f>4000+1750+500+1750+500+4000+500</f>
        <v>13000</v>
      </c>
      <c r="C31" s="78">
        <v>1.0</v>
      </c>
      <c r="D31" s="75">
        <v>0.0</v>
      </c>
      <c r="E31" s="105">
        <v>12.14</v>
      </c>
    </row>
    <row r="32">
      <c r="A32" s="66" t="s">
        <v>35</v>
      </c>
      <c r="B32" s="75">
        <f>2750+1750+500+1750+500+4000+500+500</f>
        <v>12250</v>
      </c>
      <c r="C32" s="78">
        <v>1.0</v>
      </c>
      <c r="D32" s="75">
        <v>0.0</v>
      </c>
      <c r="E32" s="105">
        <v>12.73</v>
      </c>
    </row>
    <row r="33">
      <c r="A33" s="66" t="s">
        <v>36</v>
      </c>
      <c r="B33" s="75">
        <f>2750+500+4000+500+500+500+1750+500</f>
        <v>11000</v>
      </c>
      <c r="C33" s="78">
        <v>1.0</v>
      </c>
      <c r="D33" s="75">
        <v>0.0</v>
      </c>
      <c r="E33" s="105">
        <v>12.83</v>
      </c>
    </row>
    <row r="34">
      <c r="A34" s="66" t="s">
        <v>63</v>
      </c>
      <c r="B34" s="75">
        <f>1500+500+500+500+1750+1750+1750+1750</f>
        <v>10000</v>
      </c>
      <c r="C34" s="78">
        <v>1.0</v>
      </c>
      <c r="D34" s="75">
        <v>0.0</v>
      </c>
      <c r="E34" s="105">
        <v>20.77</v>
      </c>
    </row>
    <row r="35">
      <c r="A35" s="66" t="s">
        <v>45</v>
      </c>
      <c r="B35" s="75">
        <f>1500+1750+500+500+500+1750+500+4000</f>
        <v>11000</v>
      </c>
      <c r="C35" s="78">
        <v>1.0</v>
      </c>
      <c r="D35" s="75">
        <v>0.0</v>
      </c>
      <c r="E35" s="105">
        <v>47.61</v>
      </c>
    </row>
    <row r="36">
      <c r="A36" s="82" t="s">
        <v>169</v>
      </c>
      <c r="B36" s="91">
        <f>6500+500</f>
        <v>7000</v>
      </c>
      <c r="C36" s="91">
        <v>0.0</v>
      </c>
      <c r="D36" s="83">
        <v>0.0</v>
      </c>
      <c r="E36" s="93"/>
    </row>
    <row r="37">
      <c r="A37" s="82" t="s">
        <v>298</v>
      </c>
      <c r="B37" s="91">
        <v>5200.0</v>
      </c>
      <c r="C37" s="91">
        <v>0.0</v>
      </c>
      <c r="D37" s="83">
        <v>0.0</v>
      </c>
      <c r="E37" s="93"/>
    </row>
    <row r="38">
      <c r="A38" s="82" t="s">
        <v>142</v>
      </c>
      <c r="B38" s="83">
        <f>1750+500</f>
        <v>2250</v>
      </c>
      <c r="C38" s="91">
        <v>0.0</v>
      </c>
      <c r="D38" s="83">
        <v>0.0</v>
      </c>
      <c r="E38" s="93"/>
    </row>
    <row r="39">
      <c r="A39" s="93" t="s">
        <v>262</v>
      </c>
      <c r="B39" s="83">
        <v>1750.0</v>
      </c>
      <c r="C39" s="91">
        <v>0.0</v>
      </c>
      <c r="D39" s="83">
        <v>0.0</v>
      </c>
      <c r="E39" s="93"/>
    </row>
    <row r="40">
      <c r="A40" s="93" t="s">
        <v>46</v>
      </c>
      <c r="B40" s="83">
        <v>1750.0</v>
      </c>
      <c r="C40" s="91">
        <v>0.0</v>
      </c>
      <c r="D40" s="83">
        <v>0.0</v>
      </c>
      <c r="E40" s="93"/>
    </row>
    <row r="41">
      <c r="A41" s="82" t="s">
        <v>173</v>
      </c>
      <c r="B41" s="91">
        <v>1750.0</v>
      </c>
      <c r="C41" s="91">
        <v>0.0</v>
      </c>
      <c r="D41" s="91">
        <v>0.0</v>
      </c>
      <c r="E41" s="93"/>
    </row>
    <row r="42">
      <c r="A42" s="82" t="s">
        <v>116</v>
      </c>
      <c r="B42" s="91">
        <v>1750.0</v>
      </c>
      <c r="C42" s="91">
        <v>0.0</v>
      </c>
      <c r="D42" s="91">
        <v>0.0</v>
      </c>
      <c r="E42" s="93"/>
    </row>
    <row r="43">
      <c r="A43" s="66" t="s">
        <v>119</v>
      </c>
      <c r="B43" s="75">
        <f>+1750</f>
        <v>1750</v>
      </c>
      <c r="C43" s="78">
        <v>1.0</v>
      </c>
      <c r="D43" s="78">
        <v>0.0</v>
      </c>
      <c r="E43" s="105">
        <v>28.57</v>
      </c>
    </row>
    <row r="44">
      <c r="A44" s="82" t="s">
        <v>168</v>
      </c>
      <c r="B44" s="91">
        <f>0+500+500</f>
        <v>1000</v>
      </c>
      <c r="C44" s="91">
        <v>0.0</v>
      </c>
      <c r="D44" s="91">
        <v>0.0</v>
      </c>
      <c r="E44" s="93"/>
    </row>
    <row r="45">
      <c r="A45" s="82" t="s">
        <v>144</v>
      </c>
      <c r="B45" s="83">
        <v>500.0</v>
      </c>
      <c r="C45" s="91">
        <v>0.0</v>
      </c>
      <c r="D45" s="91">
        <v>0.0</v>
      </c>
      <c r="E45" s="93"/>
    </row>
    <row r="46">
      <c r="A46" s="82" t="s">
        <v>143</v>
      </c>
      <c r="B46" s="83">
        <v>500.0</v>
      </c>
      <c r="C46" s="91">
        <v>0.0</v>
      </c>
      <c r="D46" s="91">
        <v>0.0</v>
      </c>
      <c r="E46" s="93"/>
    </row>
    <row r="47">
      <c r="A47" s="82" t="s">
        <v>82</v>
      </c>
      <c r="B47" s="91">
        <v>500.0</v>
      </c>
      <c r="C47" s="91">
        <v>0.0</v>
      </c>
      <c r="D47" s="91">
        <v>0.0</v>
      </c>
      <c r="E47" s="93"/>
    </row>
    <row r="48">
      <c r="A48" s="82" t="s">
        <v>110</v>
      </c>
      <c r="B48" s="91">
        <v>500.0</v>
      </c>
      <c r="C48" s="91">
        <v>0.0</v>
      </c>
      <c r="D48" s="91">
        <v>0.0</v>
      </c>
      <c r="E48" s="93"/>
    </row>
    <row r="49">
      <c r="A49" s="82" t="s">
        <v>286</v>
      </c>
      <c r="B49" s="91">
        <v>500.0</v>
      </c>
      <c r="C49" s="91">
        <v>0.0</v>
      </c>
      <c r="D49" s="91">
        <v>0.0</v>
      </c>
      <c r="E49" s="93"/>
    </row>
    <row r="50">
      <c r="A50" s="82" t="s">
        <v>107</v>
      </c>
      <c r="B50" s="91">
        <v>500.0</v>
      </c>
      <c r="C50" s="91">
        <v>0.0</v>
      </c>
      <c r="D50" s="91">
        <v>0.0</v>
      </c>
      <c r="E50" s="93"/>
    </row>
    <row r="51">
      <c r="A51" s="82" t="s">
        <v>115</v>
      </c>
      <c r="B51" s="91">
        <v>500.0</v>
      </c>
      <c r="C51" s="91">
        <v>0.0</v>
      </c>
      <c r="D51" s="91">
        <v>0.0</v>
      </c>
      <c r="E51" s="93"/>
    </row>
    <row r="52">
      <c r="A52" s="82" t="s">
        <v>25</v>
      </c>
      <c r="B52" s="91">
        <v>500.0</v>
      </c>
      <c r="C52" s="91">
        <v>0.0</v>
      </c>
      <c r="D52" s="91">
        <v>0.0</v>
      </c>
      <c r="E52" s="93"/>
    </row>
    <row r="53">
      <c r="A53" s="66" t="s">
        <v>72</v>
      </c>
      <c r="B53" s="78">
        <v>500.0</v>
      </c>
      <c r="C53" s="78">
        <v>1.0</v>
      </c>
      <c r="D53" s="78">
        <v>0.0</v>
      </c>
      <c r="E53" s="105">
        <v>10.0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9" t="s">
        <v>252</v>
      </c>
      <c r="B1" s="69" t="s">
        <v>6</v>
      </c>
      <c r="C1" s="77" t="s">
        <v>271</v>
      </c>
      <c r="D1" s="69" t="s">
        <v>287</v>
      </c>
      <c r="E1" s="69" t="s">
        <v>203</v>
      </c>
      <c r="F1" s="69" t="s">
        <v>283</v>
      </c>
      <c r="G1" s="32" t="s">
        <v>208</v>
      </c>
      <c r="H1" s="32" t="s">
        <v>206</v>
      </c>
      <c r="I1" s="32" t="s">
        <v>207</v>
      </c>
      <c r="J1" s="69" t="s">
        <v>301</v>
      </c>
      <c r="K1" s="32" t="s">
        <v>225</v>
      </c>
      <c r="L1" s="32" t="s">
        <v>227</v>
      </c>
      <c r="M1" s="32" t="s">
        <v>228</v>
      </c>
      <c r="N1" s="32" t="s">
        <v>229</v>
      </c>
      <c r="O1" s="32" t="s">
        <v>230</v>
      </c>
      <c r="P1" s="32" t="s">
        <v>231</v>
      </c>
      <c r="Q1" s="32" t="s">
        <v>232</v>
      </c>
      <c r="R1" s="32" t="s">
        <v>233</v>
      </c>
      <c r="S1" s="32" t="s">
        <v>234</v>
      </c>
      <c r="T1" s="32" t="s">
        <v>235</v>
      </c>
      <c r="U1" s="32" t="s">
        <v>236</v>
      </c>
      <c r="V1" s="70" t="s">
        <v>239</v>
      </c>
      <c r="W1" s="69" t="s">
        <v>273</v>
      </c>
      <c r="X1" s="106" t="s">
        <v>240</v>
      </c>
      <c r="Y1" s="77" t="s">
        <v>243</v>
      </c>
    </row>
    <row r="2">
      <c r="A2" s="10">
        <v>1.0</v>
      </c>
      <c r="B2" s="66" t="s">
        <v>26</v>
      </c>
      <c r="C2" s="3" t="str">
        <f t="array" ref="C2">XLOOKUP(B2, 'Surfer Stats - Event 4'!B:B, 'Surfer Stats - Event 4'!D:D)</f>
        <v>Regular</v>
      </c>
      <c r="D2" s="3">
        <f t="shared" ref="D2:D56" si="1">SUM(N2,Q2,T2)</f>
        <v>12</v>
      </c>
      <c r="E2" s="10">
        <v>1.0</v>
      </c>
      <c r="F2" s="10">
        <v>1.0</v>
      </c>
      <c r="G2" s="10">
        <v>5.0</v>
      </c>
      <c r="H2" s="10">
        <v>5.0</v>
      </c>
      <c r="I2" s="10">
        <v>9.0</v>
      </c>
      <c r="J2" s="3">
        <f>COUNTIFS( historical_events_FACT!J:J, "&gt;16", historical_events_FACT!G:G, B2,historical_events_FACT!C:C, "11" )</f>
        <v>4</v>
      </c>
      <c r="K2" s="3">
        <f t="shared" ref="K2:K56" si="2">IF(D2=0,0, ROUND(SUM(P2,S2,M2)/D2,2))</f>
        <v>13.31</v>
      </c>
      <c r="L2" s="3">
        <f t="shared" ref="L2:L56" si="3">IF(M2=0,0,ROUND(M2/N2,2))</f>
        <v>11.32</v>
      </c>
      <c r="M2" s="3">
        <f>SUMIFS( '2014Data'!I:I, '2014Data'!F:F, B2,'2014Data'!B:B, "11" )</f>
        <v>45.27</v>
      </c>
      <c r="N2" s="3">
        <f>COUNTIFS('2014Data'!F:F, B2,'2014Data'!B:B, "11" )</f>
        <v>4</v>
      </c>
      <c r="O2" s="3">
        <f t="shared" ref="O2:O56" si="4">IF(P2=0,0,ROUND(P2/Q2,2))</f>
        <v>14.38</v>
      </c>
      <c r="P2" s="3">
        <f>SUMIFS( historical_events_FACT!J:J, historical_events_FACT!G:G, B2,historical_events_FACT!B:B, "2015",historical_events_FACT!C:C, "11" )</f>
        <v>57.51</v>
      </c>
      <c r="Q2" s="3">
        <f>COUNTIFS(historical_events_FACT!G:G, B2,historical_events_FACT!B:B, "2015",historical_events_FACT!C:C, "11" )</f>
        <v>4</v>
      </c>
      <c r="R2" s="3">
        <f t="shared" ref="R2:R56" si="5">IF(T2=0,0,ROUND(S2/T2,2))</f>
        <v>14.23</v>
      </c>
      <c r="S2" s="3">
        <f>SUMIFS( historical_events_FACT!J:J, historical_events_FACT!G:G, B2,historical_events_FACT!B:B, "2016",historical_events_FACT!C:C, "11" )</f>
        <v>56.93</v>
      </c>
      <c r="T2" s="3">
        <f>COUNTIFS(historical_events_FACT!G:G, B2,historical_events_FACT!B:B, "2016",historical_events_FACT!C:C, "11" )</f>
        <v>4</v>
      </c>
      <c r="U2" s="3">
        <f>MAXIFS( historical_events_FACT!J:J, historical_events_FACT!G:G, B2,historical_events_FACT!C:C, "11" )</f>
        <v>19.26</v>
      </c>
      <c r="V2" s="97">
        <f t="array" ref="V2">ROUND(AVERAGEIF({ IFERROR(XLOOKUP(B2, 'Surfer Stats - Event 10'!B:B, 'Surfer Stats - Event 10'!Y:Y), ""), IFERROR(XLOOKUP(B2, 'Surfer Stats - Event 8'!B:B, 'Surfer Stats - Event 8'!Y:Y), ""), IFERROR(XLOOKUP(B2, 'Surfer Stats - Event 9'!B:B, 'Surfer Stats - Event 9'!Y:Y), "") }, "&lt;&gt;"),2)</f>
        <v>77.51</v>
      </c>
      <c r="W2" s="3">
        <f t="array" ref="W2">XLOOKUP(B2, 'Surfer Stats - Event 10'!B:B, 'Surfer Stats - Event 10'!Y:Y)</f>
        <v>47.21</v>
      </c>
      <c r="X2" s="75">
        <f>23000+1750+1750+5200+5200+6500+6500+5200</f>
        <v>55100</v>
      </c>
      <c r="Y2" s="3">
        <f t="array" ref="Y2">XLOOKUP(B2,'Event 11 Assist'!A:A, 'Event 11 Assist'!E:E)</f>
        <v>83.86</v>
      </c>
    </row>
    <row r="3">
      <c r="A3" s="10">
        <v>1.0</v>
      </c>
      <c r="B3" s="66" t="s">
        <v>30</v>
      </c>
      <c r="C3" s="3" t="str">
        <f t="array" ref="C3">XLOOKUP(B3, 'Surfer Stats - Event 4'!B:B, 'Surfer Stats - Event 4'!D:D)</f>
        <v>Goofy</v>
      </c>
      <c r="D3" s="3">
        <f t="shared" si="1"/>
        <v>14</v>
      </c>
      <c r="E3" s="10">
        <v>0.0</v>
      </c>
      <c r="F3" s="10">
        <v>0.0</v>
      </c>
      <c r="G3" s="10">
        <v>2.0</v>
      </c>
      <c r="H3" s="10">
        <v>13.0</v>
      </c>
      <c r="I3" s="10">
        <v>2.0</v>
      </c>
      <c r="J3" s="3">
        <f>COUNTIFS( historical_events_FACT!J:J, "&gt;16", historical_events_FACT!G:G, B3,historical_events_FACT!C:C, "11" )</f>
        <v>2</v>
      </c>
      <c r="K3" s="3">
        <f t="shared" si="2"/>
        <v>12.93</v>
      </c>
      <c r="L3" s="3">
        <f t="shared" si="3"/>
        <v>13.21</v>
      </c>
      <c r="M3" s="3">
        <f>SUMIFS( '2014Data'!I:I, '2014Data'!F:F, B3,'2014Data'!B:B, "11" )</f>
        <v>79.26</v>
      </c>
      <c r="N3" s="3">
        <f>COUNTIFS('2014Data'!F:F, B3,'2014Data'!B:B, "11" )</f>
        <v>6</v>
      </c>
      <c r="O3" s="3">
        <f t="shared" si="4"/>
        <v>12.54</v>
      </c>
      <c r="P3" s="3">
        <f>SUMIFS( historical_events_FACT!J:J, historical_events_FACT!G:G, B3,historical_events_FACT!B:B, "2015",historical_events_FACT!C:C, "11" )</f>
        <v>75.24</v>
      </c>
      <c r="Q3" s="3">
        <f>COUNTIFS(historical_events_FACT!G:G, B3,historical_events_FACT!B:B, "2015",historical_events_FACT!C:C, "11" )</f>
        <v>6</v>
      </c>
      <c r="R3" s="3">
        <f t="shared" si="5"/>
        <v>13.27</v>
      </c>
      <c r="S3" s="3">
        <f>SUMIFS( historical_events_FACT!J:J, historical_events_FACT!G:G, B3,historical_events_FACT!B:B, "2016",historical_events_FACT!C:C, "11" )</f>
        <v>26.53</v>
      </c>
      <c r="T3" s="3">
        <f>COUNTIFS(historical_events_FACT!G:G, B3,historical_events_FACT!B:B, "2016",historical_events_FACT!C:C, "11" )</f>
        <v>2</v>
      </c>
      <c r="U3" s="3">
        <f>MAXIFS( historical_events_FACT!J:J, historical_events_FACT!G:G, B3,historical_events_FACT!C:C, "11" )</f>
        <v>19.2</v>
      </c>
      <c r="V3" s="97">
        <f t="array" ref="V3">ROUND(AVERAGEIF({ IFERROR(XLOOKUP(B3, 'Surfer Stats - Event 10'!B:B, 'Surfer Stats - Event 10'!Y:Y), ""), IFERROR(XLOOKUP(B3, 'Surfer Stats - Event 8'!B:B, 'Surfer Stats - Event 8'!Y:Y), ""), IFERROR(XLOOKUP(B3, 'Surfer Stats - Event 9'!B:B, 'Surfer Stats - Event 9'!Y:Y), "") }, "&lt;&gt;"),2)</f>
        <v>70.76</v>
      </c>
      <c r="W3" s="3">
        <f t="array" ref="W3">XLOOKUP(B3, 'Surfer Stats - Event 10'!B:B, 'Surfer Stats - Event 10'!Y:Y)</f>
        <v>90.03</v>
      </c>
      <c r="X3" s="75">
        <f>8750+4000+1750+6500+8000+1750+10000+10000</f>
        <v>50750</v>
      </c>
      <c r="Y3" s="3">
        <f t="array" ref="Y3">XLOOKUP(B3,'Event 11 Assist'!A:A, 'Event 11 Assist'!E:E)</f>
        <v>73.87</v>
      </c>
    </row>
    <row r="4">
      <c r="A4" s="10">
        <v>1.0</v>
      </c>
      <c r="B4" s="66" t="s">
        <v>28</v>
      </c>
      <c r="C4" s="3" t="str">
        <f t="array" ref="C4">XLOOKUP(B4, 'Surfer Stats - Event 4'!B:B, 'Surfer Stats - Event 4'!D:D)</f>
        <v>Regular</v>
      </c>
      <c r="D4" s="3">
        <f t="shared" si="1"/>
        <v>10</v>
      </c>
      <c r="E4" s="10">
        <v>0.0</v>
      </c>
      <c r="F4" s="10">
        <v>0.0</v>
      </c>
      <c r="G4" s="10">
        <v>25.0</v>
      </c>
      <c r="H4" s="10">
        <v>5.0</v>
      </c>
      <c r="I4" s="10">
        <v>13.0</v>
      </c>
      <c r="J4" s="3">
        <f>COUNTIFS( historical_events_FACT!J:J, "&gt;16", historical_events_FACT!G:G, B4,historical_events_FACT!C:C, "11" )</f>
        <v>1</v>
      </c>
      <c r="K4" s="3">
        <f t="shared" si="2"/>
        <v>10.72</v>
      </c>
      <c r="L4" s="3">
        <f t="shared" si="3"/>
        <v>3.19</v>
      </c>
      <c r="M4" s="3">
        <f>SUMIFS( '2014Data'!I:I, '2014Data'!F:F, B4,'2014Data'!B:B, "11" )</f>
        <v>6.37</v>
      </c>
      <c r="N4" s="3">
        <f>COUNTIFS('2014Data'!F:F, B4,'2014Data'!B:B, "11" )</f>
        <v>2</v>
      </c>
      <c r="O4" s="3">
        <f t="shared" si="4"/>
        <v>9.22</v>
      </c>
      <c r="P4" s="3">
        <f>SUMIFS( historical_events_FACT!J:J, historical_events_FACT!G:G, B4,historical_events_FACT!B:B, "2015",historical_events_FACT!C:C, "11" )</f>
        <v>27.67</v>
      </c>
      <c r="Q4" s="3">
        <f>COUNTIFS(historical_events_FACT!G:G, B4,historical_events_FACT!B:B, "2015",historical_events_FACT!C:C, "11" )</f>
        <v>3</v>
      </c>
      <c r="R4" s="3">
        <f t="shared" si="5"/>
        <v>14.62</v>
      </c>
      <c r="S4" s="3">
        <f>SUMIFS( historical_events_FACT!J:J, historical_events_FACT!G:G, B4,historical_events_FACT!B:B, "2016",historical_events_FACT!C:C, "11" )</f>
        <v>73.12</v>
      </c>
      <c r="T4" s="3">
        <f>COUNTIFS(historical_events_FACT!G:G, B4,historical_events_FACT!B:B, "2016",historical_events_FACT!C:C, "11" )</f>
        <v>5</v>
      </c>
      <c r="U4" s="3">
        <f>MAXIFS( historical_events_FACT!J:J, historical_events_FACT!G:G, B4,historical_events_FACT!C:C, "11" )</f>
        <v>18.1</v>
      </c>
      <c r="V4" s="97">
        <f t="array" ref="V4">ROUND(AVERAGEIF({ IFERROR(XLOOKUP(B4, 'Surfer Stats - Event 10'!B:B, 'Surfer Stats - Event 10'!Y:Y), ""), IFERROR(XLOOKUP(B4, 'Surfer Stats - Event 8'!B:B, 'Surfer Stats - Event 8'!Y:Y), ""), IFERROR(XLOOKUP(B4, 'Surfer Stats - Event 9'!B:B, 'Surfer Stats - Event 9'!Y:Y), "") }, "&lt;&gt;"),2)</f>
        <v>50.12</v>
      </c>
      <c r="W4" s="3">
        <f t="array" ref="W4">XLOOKUP(B4, 'Surfer Stats - Event 10'!B:B, 'Surfer Stats - Event 10'!Y:Y)</f>
        <v>17.47</v>
      </c>
      <c r="X4" s="75">
        <f>19200+5200+1750+5200+6500+8000+1750+1750</f>
        <v>49350</v>
      </c>
      <c r="Y4" s="3">
        <f t="array" ref="Y4">XLOOKUP(B4,'Event 11 Assist'!A:A, 'Event 11 Assist'!E:E)</f>
        <v>24.44</v>
      </c>
    </row>
    <row r="5">
      <c r="A5" s="10">
        <v>1.0</v>
      </c>
      <c r="B5" s="66" t="s">
        <v>31</v>
      </c>
      <c r="C5" s="3" t="str">
        <f t="array" ref="C5">XLOOKUP(B5, 'Surfer Stats - Event 4'!B:B, 'Surfer Stats - Event 4'!D:D)</f>
        <v>Regular</v>
      </c>
      <c r="D5" s="3">
        <f t="shared" si="1"/>
        <v>13</v>
      </c>
      <c r="E5" s="10">
        <v>0.0</v>
      </c>
      <c r="F5" s="10">
        <v>0.0</v>
      </c>
      <c r="G5" s="10">
        <v>1.0</v>
      </c>
      <c r="H5" s="10">
        <v>13.0</v>
      </c>
      <c r="I5" s="10">
        <v>13.0</v>
      </c>
      <c r="J5" s="3">
        <f>COUNTIFS( historical_events_FACT!J:J, "&gt;16", historical_events_FACT!G:G, B5,historical_events_FACT!C:C, "11" )</f>
        <v>3</v>
      </c>
      <c r="K5" s="3">
        <f t="shared" si="2"/>
        <v>10.78</v>
      </c>
      <c r="L5" s="3">
        <f t="shared" si="3"/>
        <v>11.21</v>
      </c>
      <c r="M5" s="3">
        <f>SUMIFS( '2014Data'!I:I, '2014Data'!F:F, B5,'2014Data'!B:B, "11" )</f>
        <v>89.64</v>
      </c>
      <c r="N5" s="3">
        <f>COUNTIFS('2014Data'!F:F, B5,'2014Data'!B:B, "11" )</f>
        <v>8</v>
      </c>
      <c r="O5" s="3">
        <f t="shared" si="4"/>
        <v>10.61</v>
      </c>
      <c r="P5" s="3">
        <f>SUMIFS( historical_events_FACT!J:J, historical_events_FACT!G:G, B5,historical_events_FACT!B:B, "2015",historical_events_FACT!C:C, "11" )</f>
        <v>31.83</v>
      </c>
      <c r="Q5" s="3">
        <f>COUNTIFS(historical_events_FACT!G:G, B5,historical_events_FACT!B:B, "2015",historical_events_FACT!C:C, "11" )</f>
        <v>3</v>
      </c>
      <c r="R5" s="3">
        <f t="shared" si="5"/>
        <v>9.34</v>
      </c>
      <c r="S5" s="3">
        <f>SUMIFS( historical_events_FACT!J:J, historical_events_FACT!G:G, B5,historical_events_FACT!B:B, "2016",historical_events_FACT!C:C, "11" )</f>
        <v>18.67</v>
      </c>
      <c r="T5" s="3">
        <f>COUNTIFS(historical_events_FACT!G:G, B5,historical_events_FACT!B:B, "2016",historical_events_FACT!C:C, "11" )</f>
        <v>2</v>
      </c>
      <c r="U5" s="3">
        <f>MAXIFS( historical_events_FACT!J:J, historical_events_FACT!G:G, B5,historical_events_FACT!C:C, "11" )</f>
        <v>19.63</v>
      </c>
      <c r="V5" s="97">
        <f t="array" ref="V5">ROUND(AVERAGEIF({ IFERROR(XLOOKUP(B5, 'Surfer Stats - Event 10'!B:B, 'Surfer Stats - Event 10'!Y:Y), ""), IFERROR(XLOOKUP(B5, 'Surfer Stats - Event 8'!B:B, 'Surfer Stats - Event 8'!Y:Y), ""), IFERROR(XLOOKUP(B5, 'Surfer Stats - Event 9'!B:B, 'Surfer Stats - Event 9'!Y:Y), "") }, "&lt;&gt;"),2)</f>
        <v>49.1</v>
      </c>
      <c r="W5" s="3">
        <f t="array" ref="W5">XLOOKUP(B5, 'Surfer Stats - Event 10'!B:B, 'Surfer Stats - Event 10'!Y:Y)</f>
        <v>65.34</v>
      </c>
      <c r="X5" s="75">
        <f>7500+4000+5200+6500+10000+4000+500+8000</f>
        <v>45700</v>
      </c>
      <c r="Y5" s="3">
        <f t="array" ref="Y5">XLOOKUP(B5,'Event 11 Assist'!A:A, 'Event 11 Assist'!E:E)</f>
        <v>47.39</v>
      </c>
    </row>
    <row r="6">
      <c r="A6" s="10">
        <v>1.0</v>
      </c>
      <c r="B6" s="66" t="s">
        <v>57</v>
      </c>
      <c r="C6" s="3" t="str">
        <f t="array" ref="C6">XLOOKUP(B6, 'Surfer Stats - Event 4'!B:B, 'Surfer Stats - Event 4'!D:D)</f>
        <v>Goofy</v>
      </c>
      <c r="D6" s="3">
        <f t="shared" si="1"/>
        <v>4</v>
      </c>
      <c r="E6" s="10">
        <v>0.0</v>
      </c>
      <c r="F6" s="10">
        <v>0.0</v>
      </c>
      <c r="G6" s="10">
        <v>9.0</v>
      </c>
      <c r="H6" s="10">
        <v>99.0</v>
      </c>
      <c r="I6" s="10">
        <v>99.0</v>
      </c>
      <c r="J6" s="3">
        <f>COUNTIFS( historical_events_FACT!J:J, "&gt;16", historical_events_FACT!G:G, B6,historical_events_FACT!C:C, "11" )</f>
        <v>1</v>
      </c>
      <c r="K6" s="3">
        <f t="shared" si="2"/>
        <v>9.87</v>
      </c>
      <c r="L6" s="3">
        <f t="shared" si="3"/>
        <v>9.87</v>
      </c>
      <c r="M6" s="3">
        <f>SUMIFS( '2014Data'!I:I, '2014Data'!F:F, B6,'2014Data'!B:B, "11" )</f>
        <v>39.47</v>
      </c>
      <c r="N6" s="3">
        <f>COUNTIFS('2014Data'!F:F, B6,'2014Data'!B:B, "11" )</f>
        <v>4</v>
      </c>
      <c r="O6" s="3">
        <f t="shared" si="4"/>
        <v>0</v>
      </c>
      <c r="P6" s="3">
        <f>SUMIFS( historical_events_FACT!J:J, historical_events_FACT!G:G, B6,historical_events_FACT!B:B, "2015",historical_events_FACT!C:C, "11" )</f>
        <v>0</v>
      </c>
      <c r="Q6" s="3">
        <f>COUNTIFS(historical_events_FACT!G:G, B6,historical_events_FACT!B:B, "2015",historical_events_FACT!C:C, "11" )</f>
        <v>0</v>
      </c>
      <c r="R6" s="3">
        <f t="shared" si="5"/>
        <v>0</v>
      </c>
      <c r="S6" s="3">
        <f>SUMIFS( historical_events_FACT!J:J, historical_events_FACT!G:G, B6,historical_events_FACT!B:B, "2016",historical_events_FACT!C:C, "11" )</f>
        <v>0</v>
      </c>
      <c r="T6" s="3">
        <f>COUNTIFS(historical_events_FACT!G:G, B6,historical_events_FACT!B:B, "2016",historical_events_FACT!C:C, "11" )</f>
        <v>0</v>
      </c>
      <c r="U6" s="3">
        <f>MAXIFS( historical_events_FACT!J:J, historical_events_FACT!G:G, B6,historical_events_FACT!C:C, "11" )</f>
        <v>17.5</v>
      </c>
      <c r="V6" s="97">
        <f t="array" ref="V6">ROUND(AVERAGEIF({ IFERROR(XLOOKUP(B6, 'Surfer Stats - Event 10'!B:B, 'Surfer Stats - Event 10'!Y:Y), ""), IFERROR(XLOOKUP(B6, 'Surfer Stats - Event 8'!B:B, 'Surfer Stats - Event 8'!Y:Y), ""), IFERROR(XLOOKUP(B6, 'Surfer Stats - Event 9'!B:B, 'Surfer Stats - Event 9'!Y:Y), "") }, "&lt;&gt;"),2)</f>
        <v>35.31</v>
      </c>
      <c r="W6" s="3">
        <f t="array" ref="W6">XLOOKUP(B6, 'Surfer Stats - Event 10'!B:B, 'Surfer Stats - Event 10'!Y:Y)</f>
        <v>19.5</v>
      </c>
      <c r="X6" s="75">
        <f>19200++5200+1750+4000+5200+500+4000+500</f>
        <v>40350</v>
      </c>
      <c r="Y6" s="3">
        <f t="array" ref="Y6">XLOOKUP(B6,'Event 11 Assist'!A:A, 'Event 11 Assist'!E:E)</f>
        <v>14.14</v>
      </c>
    </row>
    <row r="7">
      <c r="A7" s="10">
        <v>1.0</v>
      </c>
      <c r="B7" s="66" t="s">
        <v>34</v>
      </c>
      <c r="C7" s="3" t="str">
        <f t="array" ref="C7">XLOOKUP(B7, 'Surfer Stats - Event 4'!B:B, 'Surfer Stats - Event 4'!D:D)</f>
        <v>Goofy</v>
      </c>
      <c r="D7" s="3">
        <f t="shared" si="1"/>
        <v>7</v>
      </c>
      <c r="E7" s="10">
        <v>0.0</v>
      </c>
      <c r="F7" s="10">
        <v>0.0</v>
      </c>
      <c r="G7" s="10">
        <v>13.0</v>
      </c>
      <c r="H7" s="10">
        <v>13.0</v>
      </c>
      <c r="I7" s="10">
        <v>25.0</v>
      </c>
      <c r="J7" s="3">
        <f>COUNTIFS( historical_events_FACT!J:J, "&gt;16", historical_events_FACT!G:G, B7,historical_events_FACT!C:C, "11" )</f>
        <v>0</v>
      </c>
      <c r="K7" s="3">
        <f t="shared" si="2"/>
        <v>6.08</v>
      </c>
      <c r="L7" s="3">
        <f t="shared" si="3"/>
        <v>4.45</v>
      </c>
      <c r="M7" s="3">
        <f>SUMIFS( '2014Data'!I:I, '2014Data'!F:F, B7,'2014Data'!B:B, "11" )</f>
        <v>13.36</v>
      </c>
      <c r="N7" s="3">
        <f>COUNTIFS('2014Data'!F:F, B7,'2014Data'!B:B, "11" )</f>
        <v>3</v>
      </c>
      <c r="O7" s="3">
        <f t="shared" si="4"/>
        <v>4.2</v>
      </c>
      <c r="P7" s="3">
        <f>SUMIFS( historical_events_FACT!J:J, historical_events_FACT!G:G, B7,historical_events_FACT!B:B, "2015",historical_events_FACT!C:C, "11" )</f>
        <v>8.4</v>
      </c>
      <c r="Q7" s="3">
        <f>COUNTIFS(historical_events_FACT!G:G, B7,historical_events_FACT!B:B, "2015",historical_events_FACT!C:C, "11" )</f>
        <v>2</v>
      </c>
      <c r="R7" s="3">
        <f t="shared" si="5"/>
        <v>10.39</v>
      </c>
      <c r="S7" s="3">
        <f>SUMIFS( historical_events_FACT!J:J, historical_events_FACT!G:G, B7,historical_events_FACT!B:B, "2016",historical_events_FACT!C:C, "11" )</f>
        <v>20.77</v>
      </c>
      <c r="T7" s="3">
        <f>COUNTIFS(historical_events_FACT!G:G, B7,historical_events_FACT!B:B, "2016",historical_events_FACT!C:C, "11" )</f>
        <v>2</v>
      </c>
      <c r="U7" s="3">
        <f>MAXIFS( historical_events_FACT!J:J, historical_events_FACT!G:G, B7,historical_events_FACT!C:C, "11" )</f>
        <v>13.34</v>
      </c>
      <c r="V7" s="97">
        <f t="array" ref="V7">ROUND(AVERAGEIF({ IFERROR(XLOOKUP(B7, 'Surfer Stats - Event 10'!B:B, 'Surfer Stats - Event 10'!Y:Y), ""), IFERROR(XLOOKUP(B7, 'Surfer Stats - Event 8'!B:B, 'Surfer Stats - Event 8'!Y:Y), ""), IFERROR(XLOOKUP(B7, 'Surfer Stats - Event 9'!B:B, 'Surfer Stats - Event 9'!Y:Y), "") }, "&lt;&gt;"),2)</f>
        <v>22.28</v>
      </c>
      <c r="W7" s="3">
        <f t="array" ref="W7">XLOOKUP(B7, 'Surfer Stats - Event 10'!B:B, 'Surfer Stats - Event 10'!Y:Y)</f>
        <v>15.47</v>
      </c>
      <c r="X7" s="75">
        <f>10250+6500+10000+5200+4000+500+1750+1750</f>
        <v>39950</v>
      </c>
      <c r="Y7" s="3">
        <f t="array" ref="Y7">XLOOKUP(B7,'Event 11 Assist'!A:A, 'Event 11 Assist'!E:E)</f>
        <v>11.5</v>
      </c>
    </row>
    <row r="8">
      <c r="A8" s="10">
        <v>1.0</v>
      </c>
      <c r="B8" s="66" t="s">
        <v>42</v>
      </c>
      <c r="C8" s="3" t="str">
        <f t="array" ref="C8">XLOOKUP(B8, 'Surfer Stats - Event 4'!B:B, 'Surfer Stats - Event 4'!D:D)</f>
        <v>Regular</v>
      </c>
      <c r="D8" s="3">
        <f t="shared" si="1"/>
        <v>10</v>
      </c>
      <c r="E8" s="10">
        <v>0.0</v>
      </c>
      <c r="F8" s="10">
        <v>0.0</v>
      </c>
      <c r="G8" s="10">
        <v>25.0</v>
      </c>
      <c r="H8" s="10">
        <v>13.0</v>
      </c>
      <c r="I8" s="10">
        <v>1.0</v>
      </c>
      <c r="J8" s="3">
        <f>COUNTIFS( historical_events_FACT!J:J, "&gt;16", historical_events_FACT!G:G, B8,historical_events_FACT!C:C, "11" )</f>
        <v>0</v>
      </c>
      <c r="K8" s="3">
        <f t="shared" si="2"/>
        <v>9.9</v>
      </c>
      <c r="L8" s="3">
        <f t="shared" si="3"/>
        <v>0</v>
      </c>
      <c r="M8" s="3">
        <f>SUMIFS( '2014Data'!I:I, '2014Data'!F:F, B8,'2014Data'!B:B, "11" )</f>
        <v>0</v>
      </c>
      <c r="N8" s="3">
        <f>COUNTIFS('2014Data'!F:F, B8,'2014Data'!B:B, "11" )</f>
        <v>0</v>
      </c>
      <c r="O8" s="3">
        <f t="shared" si="4"/>
        <v>10.06</v>
      </c>
      <c r="P8" s="3">
        <f>SUMIFS( historical_events_FACT!J:J, historical_events_FACT!G:G, B8,historical_events_FACT!B:B, "2015",historical_events_FACT!C:C, "11" )</f>
        <v>70.4</v>
      </c>
      <c r="Q8" s="3">
        <f>COUNTIFS(historical_events_FACT!G:G, B8,historical_events_FACT!B:B, "2015",historical_events_FACT!C:C, "11" )</f>
        <v>7</v>
      </c>
      <c r="R8" s="3">
        <f t="shared" si="5"/>
        <v>9.52</v>
      </c>
      <c r="S8" s="3">
        <f>SUMIFS( historical_events_FACT!J:J, historical_events_FACT!G:G, B8,historical_events_FACT!B:B, "2016",historical_events_FACT!C:C, "11" )</f>
        <v>28.55</v>
      </c>
      <c r="T8" s="3">
        <f>COUNTIFS(historical_events_FACT!G:G, B8,historical_events_FACT!B:B, "2016",historical_events_FACT!C:C, "11" )</f>
        <v>3</v>
      </c>
      <c r="U8" s="3">
        <f>MAXIFS( historical_events_FACT!J:J, historical_events_FACT!G:G, B8,historical_events_FACT!C:C, "11" )</f>
        <v>14.67</v>
      </c>
      <c r="V8" s="97">
        <f t="array" ref="V8">ROUND(AVERAGEIF({ IFERROR(XLOOKUP(B8, 'Surfer Stats - Event 10'!B:B, 'Surfer Stats - Event 10'!Y:Y), ""), IFERROR(XLOOKUP(B8, 'Surfer Stats - Event 8'!B:B, 'Surfer Stats - Event 8'!Y:Y), ""), IFERROR(XLOOKUP(B8, 'Surfer Stats - Event 9'!B:B, 'Surfer Stats - Event 9'!Y:Y), "") }, "&lt;&gt;"),2)</f>
        <v>44.82</v>
      </c>
      <c r="W8" s="3">
        <f t="array" ref="W8">XLOOKUP(B8, 'Surfer Stats - Event 10'!B:B, 'Surfer Stats - Event 10'!Y:Y)</f>
        <v>38.18</v>
      </c>
      <c r="X8" s="75">
        <f>14400+10000+1750+1750+1750+5200+1750+1750</f>
        <v>38350</v>
      </c>
      <c r="Y8" s="3">
        <f t="array" ref="Y8">XLOOKUP(B8,'Event 11 Assist'!A:A, 'Event 11 Assist'!E:E)</f>
        <v>29.33</v>
      </c>
    </row>
    <row r="9">
      <c r="A9" s="10">
        <v>1.0</v>
      </c>
      <c r="B9" s="66" t="s">
        <v>32</v>
      </c>
      <c r="C9" s="3" t="str">
        <f t="array" ref="C9">XLOOKUP(B9, 'Surfer Stats - Event 4'!B:B, 'Surfer Stats - Event 4'!D:D)</f>
        <v>Regular</v>
      </c>
      <c r="D9" s="3">
        <f t="shared" si="1"/>
        <v>10</v>
      </c>
      <c r="E9" s="10">
        <v>0.0</v>
      </c>
      <c r="F9" s="10">
        <v>0.0</v>
      </c>
      <c r="G9" s="10">
        <v>13.0</v>
      </c>
      <c r="H9" s="10">
        <v>3.0</v>
      </c>
      <c r="I9" s="10">
        <v>25.0</v>
      </c>
      <c r="J9" s="3">
        <f>COUNTIFS( historical_events_FACT!J:J, "&gt;16", historical_events_FACT!G:G, B9,historical_events_FACT!C:C, "11" )</f>
        <v>0</v>
      </c>
      <c r="K9" s="3">
        <f t="shared" si="2"/>
        <v>9.87</v>
      </c>
      <c r="L9" s="3">
        <f t="shared" si="3"/>
        <v>6.09</v>
      </c>
      <c r="M9" s="3">
        <f>SUMIFS( '2014Data'!I:I, '2014Data'!F:F, B9,'2014Data'!B:B, "11" )</f>
        <v>12.17</v>
      </c>
      <c r="N9" s="3">
        <f>COUNTIFS('2014Data'!F:F, B9,'2014Data'!B:B, "11" )</f>
        <v>2</v>
      </c>
      <c r="O9" s="3">
        <f t="shared" si="4"/>
        <v>5.7</v>
      </c>
      <c r="P9" s="3">
        <f>SUMIFS( historical_events_FACT!J:J, historical_events_FACT!G:G, B9,historical_events_FACT!B:B, "2015",historical_events_FACT!C:C, "11" )</f>
        <v>11.4</v>
      </c>
      <c r="Q9" s="3">
        <f>COUNTIFS(historical_events_FACT!G:G, B9,historical_events_FACT!B:B, "2015",historical_events_FACT!C:C, "11" )</f>
        <v>2</v>
      </c>
      <c r="R9" s="3">
        <f t="shared" si="5"/>
        <v>12.52</v>
      </c>
      <c r="S9" s="3">
        <f>SUMIFS( historical_events_FACT!J:J, historical_events_FACT!G:G, B9,historical_events_FACT!B:B, "2016",historical_events_FACT!C:C, "11" )</f>
        <v>75.12</v>
      </c>
      <c r="T9" s="3">
        <f>COUNTIFS(historical_events_FACT!G:G, B9,historical_events_FACT!B:B, "2016",historical_events_FACT!C:C, "11" )</f>
        <v>6</v>
      </c>
      <c r="U9" s="3">
        <f>MAXIFS( historical_events_FACT!J:J, historical_events_FACT!G:G, B9,historical_events_FACT!C:C, "11" )</f>
        <v>14.87</v>
      </c>
      <c r="V9" s="97">
        <f t="array" ref="V9">ROUND(AVERAGEIF({ IFERROR(XLOOKUP(B9, 'Surfer Stats - Event 10'!B:B, 'Surfer Stats - Event 10'!Y:Y), ""), IFERROR(XLOOKUP(B9, 'Surfer Stats - Event 8'!B:B, 'Surfer Stats - Event 8'!Y:Y), ""), IFERROR(XLOOKUP(B9, 'Surfer Stats - Event 9'!B:B, 'Surfer Stats - Event 9'!Y:Y), "") }, "&lt;&gt;"),2)</f>
        <v>68.07</v>
      </c>
      <c r="W9" s="3">
        <f t="array" ref="W9">XLOOKUP(B9, 'Surfer Stats - Event 10'!B:B, 'Surfer Stats - Event 10'!Y:Y)</f>
        <v>95.52</v>
      </c>
      <c r="X9" s="75">
        <f>13750+500+1750+500+6500+500+6500+6500</f>
        <v>36500</v>
      </c>
      <c r="Y9" s="3">
        <f t="array" ref="Y9">XLOOKUP(B9,'Event 11 Assist'!A:A, 'Event 11 Assist'!E:E)</f>
        <v>28.87</v>
      </c>
    </row>
    <row r="10">
      <c r="A10" s="10">
        <v>1.0</v>
      </c>
      <c r="B10" s="66" t="s">
        <v>33</v>
      </c>
      <c r="C10" s="3" t="str">
        <f t="array" ref="C10">XLOOKUP(B10, 'Surfer Stats - Event 4'!B:B, 'Surfer Stats - Event 4'!D:D)</f>
        <v>Regular</v>
      </c>
      <c r="D10" s="3">
        <f t="shared" si="1"/>
        <v>13</v>
      </c>
      <c r="E10" s="10">
        <v>0.0</v>
      </c>
      <c r="F10" s="10">
        <v>0.0</v>
      </c>
      <c r="G10" s="10">
        <v>5.0</v>
      </c>
      <c r="H10" s="10">
        <v>9.0</v>
      </c>
      <c r="I10" s="10">
        <v>13.0</v>
      </c>
      <c r="J10" s="3">
        <f>COUNTIFS( historical_events_FACT!J:J, "&gt;16", historical_events_FACT!G:G, B10,historical_events_FACT!C:C, "11" )</f>
        <v>0</v>
      </c>
      <c r="K10" s="3">
        <f t="shared" si="2"/>
        <v>10.61</v>
      </c>
      <c r="L10" s="3">
        <f t="shared" si="3"/>
        <v>10.98</v>
      </c>
      <c r="M10" s="3">
        <f>SUMIFS( '2014Data'!I:I, '2014Data'!F:F, B10,'2014Data'!B:B, "11" )</f>
        <v>65.87</v>
      </c>
      <c r="N10" s="3">
        <f>COUNTIFS('2014Data'!F:F, B10,'2014Data'!B:B, "11" )</f>
        <v>6</v>
      </c>
      <c r="O10" s="3">
        <f t="shared" si="4"/>
        <v>9.58</v>
      </c>
      <c r="P10" s="3">
        <f>SUMIFS( historical_events_FACT!J:J, historical_events_FACT!G:G, B10,historical_events_FACT!B:B, "2015",historical_events_FACT!C:C, "11" )</f>
        <v>28.74</v>
      </c>
      <c r="Q10" s="3">
        <f>COUNTIFS(historical_events_FACT!G:G, B10,historical_events_FACT!B:B, "2015",historical_events_FACT!C:C, "11" )</f>
        <v>3</v>
      </c>
      <c r="R10" s="3">
        <f t="shared" si="5"/>
        <v>10.82</v>
      </c>
      <c r="S10" s="3">
        <f>SUMIFS( historical_events_FACT!J:J, historical_events_FACT!G:G, B10,historical_events_FACT!B:B, "2016",historical_events_FACT!C:C, "11" )</f>
        <v>43.28</v>
      </c>
      <c r="T10" s="3">
        <f>COUNTIFS(historical_events_FACT!G:G, B10,historical_events_FACT!B:B, "2016",historical_events_FACT!C:C, "11" )</f>
        <v>4</v>
      </c>
      <c r="U10" s="3">
        <f>MAXIFS( historical_events_FACT!J:J, historical_events_FACT!G:G, B10,historical_events_FACT!C:C, "11" )</f>
        <v>15.5</v>
      </c>
      <c r="V10" s="97">
        <f t="array" ref="V10">ROUND(AVERAGEIF({ IFERROR(XLOOKUP(B10, 'Surfer Stats - Event 10'!B:B, 'Surfer Stats - Event 10'!Y:Y), ""), IFERROR(XLOOKUP(B10, 'Surfer Stats - Event 8'!B:B, 'Surfer Stats - Event 8'!Y:Y), ""), IFERROR(XLOOKUP(B10, 'Surfer Stats - Event 9'!B:B, 'Surfer Stats - Event 9'!Y:Y), "") }, "&lt;&gt;"),2)</f>
        <v>44.19</v>
      </c>
      <c r="W10" s="3">
        <f t="array" ref="W10">XLOOKUP(B10, 'Surfer Stats - Event 10'!B:B, 'Surfer Stats - Event 10'!Y:Y)</f>
        <v>16.14</v>
      </c>
      <c r="X10" s="75">
        <f>12200+1750+500+10000+500+10000+500+500</f>
        <v>35950</v>
      </c>
      <c r="Y10" s="3">
        <f t="array" ref="Y10">XLOOKUP(B10,'Event 11 Assist'!A:A, 'Event 11 Assist'!E:E)</f>
        <v>13.3</v>
      </c>
    </row>
    <row r="11">
      <c r="A11" s="10">
        <v>1.0</v>
      </c>
      <c r="B11" s="66" t="s">
        <v>38</v>
      </c>
      <c r="C11" s="3" t="str">
        <f t="array" ref="C11">XLOOKUP(B11, 'Surfer Stats - Event 4'!B:B, 'Surfer Stats - Event 4'!D:D)</f>
        <v>Regular</v>
      </c>
      <c r="D11" s="3">
        <f t="shared" si="1"/>
        <v>10</v>
      </c>
      <c r="E11" s="10">
        <v>0.0</v>
      </c>
      <c r="F11" s="10">
        <v>0.0</v>
      </c>
      <c r="G11" s="10">
        <v>9.0</v>
      </c>
      <c r="H11" s="10">
        <v>13.0</v>
      </c>
      <c r="I11" s="10">
        <v>13.0</v>
      </c>
      <c r="J11" s="3">
        <f>COUNTIFS( historical_events_FACT!J:J, "&gt;16", historical_events_FACT!G:G, B11,historical_events_FACT!C:C, "11" )</f>
        <v>0</v>
      </c>
      <c r="K11" s="3">
        <f t="shared" si="2"/>
        <v>9.29</v>
      </c>
      <c r="L11" s="3">
        <f t="shared" si="3"/>
        <v>9.49</v>
      </c>
      <c r="M11" s="3">
        <f>SUMIFS( '2014Data'!I:I, '2014Data'!F:F, B11,'2014Data'!B:B, "11" )</f>
        <v>37.94</v>
      </c>
      <c r="N11" s="3">
        <f>COUNTIFS('2014Data'!F:F, B11,'2014Data'!B:B, "11" )</f>
        <v>4</v>
      </c>
      <c r="O11" s="3">
        <f t="shared" si="4"/>
        <v>9.7</v>
      </c>
      <c r="P11" s="3">
        <f>SUMIFS( historical_events_FACT!J:J, historical_events_FACT!G:G, B11,historical_events_FACT!B:B, "2015",historical_events_FACT!C:C, "11" )</f>
        <v>29.1</v>
      </c>
      <c r="Q11" s="3">
        <f>COUNTIFS(historical_events_FACT!G:G, B11,historical_events_FACT!B:B, "2015",historical_events_FACT!C:C, "11" )</f>
        <v>3</v>
      </c>
      <c r="R11" s="3">
        <f t="shared" si="5"/>
        <v>8.63</v>
      </c>
      <c r="S11" s="3">
        <f>SUMIFS( historical_events_FACT!J:J, historical_events_FACT!G:G, B11,historical_events_FACT!B:B, "2016",historical_events_FACT!C:C, "11" )</f>
        <v>25.9</v>
      </c>
      <c r="T11" s="3">
        <f>COUNTIFS(historical_events_FACT!G:G, B11,historical_events_FACT!B:B, "2016",historical_events_FACT!C:C, "11" )</f>
        <v>3</v>
      </c>
      <c r="U11" s="3">
        <f>MAXIFS( historical_events_FACT!J:J, historical_events_FACT!G:G, B11,historical_events_FACT!C:C, "11" )</f>
        <v>14.23</v>
      </c>
      <c r="V11" s="97">
        <f t="array" ref="V11">ROUND(AVERAGEIF({ IFERROR(XLOOKUP(B11, 'Surfer Stats - Event 10'!B:B, 'Surfer Stats - Event 10'!Y:Y), ""), IFERROR(XLOOKUP(B11, 'Surfer Stats - Event 8'!B:B, 'Surfer Stats - Event 8'!Y:Y), ""), IFERROR(XLOOKUP(B11, 'Surfer Stats - Event 9'!B:B, 'Surfer Stats - Event 9'!Y:Y), "") }, "&lt;&gt;"),2)</f>
        <v>64.43</v>
      </c>
      <c r="W11" s="3">
        <f t="array" ref="W11">XLOOKUP(B11, 'Surfer Stats - Event 10'!B:B, 'Surfer Stats - Event 10'!Y:Y)</f>
        <v>49.47</v>
      </c>
      <c r="X11" s="75">
        <f>9750+1750+4000+500+1750+4000+8000+5200</f>
        <v>34950</v>
      </c>
      <c r="Y11" s="3">
        <f t="array" ref="Y11">XLOOKUP(B11,'Event 11 Assist'!A:A, 'Event 11 Assist'!E:E)</f>
        <v>20.6</v>
      </c>
    </row>
    <row r="12">
      <c r="A12" s="10">
        <v>1.0</v>
      </c>
      <c r="B12" s="66" t="s">
        <v>39</v>
      </c>
      <c r="C12" s="3" t="str">
        <f t="array" ref="C12">XLOOKUP(B12, 'Surfer Stats - Event 4'!B:B, 'Surfer Stats - Event 4'!D:D)</f>
        <v>Regular</v>
      </c>
      <c r="D12" s="3">
        <f t="shared" si="1"/>
        <v>12</v>
      </c>
      <c r="E12" s="10">
        <v>0.0</v>
      </c>
      <c r="F12" s="10">
        <v>0.0</v>
      </c>
      <c r="G12" s="10">
        <v>13.0</v>
      </c>
      <c r="H12" s="10">
        <v>9.0</v>
      </c>
      <c r="I12" s="10">
        <v>9.0</v>
      </c>
      <c r="J12" s="3">
        <f>COUNTIFS( historical_events_FACT!J:J, "&gt;16", historical_events_FACT!G:G, B12,historical_events_FACT!C:C, "11" )</f>
        <v>0</v>
      </c>
      <c r="K12" s="3">
        <f t="shared" si="2"/>
        <v>9.9</v>
      </c>
      <c r="L12" s="3">
        <f t="shared" si="3"/>
        <v>10.3</v>
      </c>
      <c r="M12" s="3">
        <f>SUMIFS( '2014Data'!I:I, '2014Data'!F:F, B12,'2014Data'!B:B, "11" )</f>
        <v>20.59</v>
      </c>
      <c r="N12" s="3">
        <f>COUNTIFS('2014Data'!F:F, B12,'2014Data'!B:B, "11" )</f>
        <v>2</v>
      </c>
      <c r="O12" s="3">
        <f t="shared" si="4"/>
        <v>10.44</v>
      </c>
      <c r="P12" s="3">
        <f>SUMIFS( historical_events_FACT!J:J, historical_events_FACT!G:G, B12,historical_events_FACT!B:B, "2015",historical_events_FACT!C:C, "11" )</f>
        <v>52.19</v>
      </c>
      <c r="Q12" s="3">
        <f>COUNTIFS(historical_events_FACT!G:G, B12,historical_events_FACT!B:B, "2015",historical_events_FACT!C:C, "11" )</f>
        <v>5</v>
      </c>
      <c r="R12" s="3">
        <f t="shared" si="5"/>
        <v>9.19</v>
      </c>
      <c r="S12" s="3">
        <f>SUMIFS( historical_events_FACT!J:J, historical_events_FACT!G:G, B12,historical_events_FACT!B:B, "2016",historical_events_FACT!C:C, "11" )</f>
        <v>45.97</v>
      </c>
      <c r="T12" s="3">
        <f>COUNTIFS(historical_events_FACT!G:G, B12,historical_events_FACT!B:B, "2016",historical_events_FACT!C:C, "11" )</f>
        <v>5</v>
      </c>
      <c r="U12" s="3">
        <f>MAXIFS( historical_events_FACT!J:J, historical_events_FACT!G:G, B12,historical_events_FACT!C:C, "11" )</f>
        <v>15.03</v>
      </c>
      <c r="V12" s="97">
        <f t="array" ref="V12">ROUND(AVERAGEIF({ IFERROR(XLOOKUP(B12, 'Surfer Stats - Event 10'!B:B, 'Surfer Stats - Event 10'!Y:Y), ""), IFERROR(XLOOKUP(B12, 'Surfer Stats - Event 8'!B:B, 'Surfer Stats - Event 8'!Y:Y), ""), IFERROR(XLOOKUP(B12, 'Surfer Stats - Event 9'!B:B, 'Surfer Stats - Event 9'!Y:Y), "") }, "&lt;&gt;"),2)</f>
        <v>29.36</v>
      </c>
      <c r="W12" s="3">
        <f t="array" ref="W12">XLOOKUP(B12, 'Surfer Stats - Event 10'!B:B, 'Surfer Stats - Event 10'!Y:Y)</f>
        <v>18.77</v>
      </c>
      <c r="X12" s="75">
        <f>10950+5200+6500+1750+1750+500+5200+1750</f>
        <v>33600</v>
      </c>
      <c r="Y12" s="3">
        <f t="array" ref="Y12">XLOOKUP(B12,'Event 11 Assist'!A:A, 'Event 11 Assist'!E:E)</f>
        <v>53.89</v>
      </c>
    </row>
    <row r="13">
      <c r="A13" s="10">
        <v>1.0</v>
      </c>
      <c r="B13" s="66" t="s">
        <v>41</v>
      </c>
      <c r="C13" s="3" t="str">
        <f t="array" ref="C13">XLOOKUP(B13, 'Surfer Stats - Event 4'!B:B, 'Surfer Stats - Event 4'!D:D)</f>
        <v>Regular</v>
      </c>
      <c r="D13" s="3">
        <f t="shared" si="1"/>
        <v>9</v>
      </c>
      <c r="E13" s="10">
        <v>0.0</v>
      </c>
      <c r="F13" s="10">
        <v>0.0</v>
      </c>
      <c r="G13" s="10">
        <v>9.0</v>
      </c>
      <c r="H13" s="10">
        <v>99.0</v>
      </c>
      <c r="I13" s="10">
        <v>3.0</v>
      </c>
      <c r="J13" s="3">
        <f>COUNTIFS( historical_events_FACT!J:J, "&gt;16", historical_events_FACT!G:G, B13,historical_events_FACT!C:C, "11" )</f>
        <v>1</v>
      </c>
      <c r="K13" s="3">
        <f t="shared" si="2"/>
        <v>10.69</v>
      </c>
      <c r="L13" s="3">
        <f t="shared" si="3"/>
        <v>8.08</v>
      </c>
      <c r="M13" s="3">
        <f>SUMIFS( '2014Data'!I:I, '2014Data'!F:F, B13,'2014Data'!B:B, "11" )</f>
        <v>32.31</v>
      </c>
      <c r="N13" s="3">
        <f>COUNTIFS('2014Data'!F:F, B13,'2014Data'!B:B, "11" )</f>
        <v>4</v>
      </c>
      <c r="O13" s="3">
        <f t="shared" si="4"/>
        <v>12.78</v>
      </c>
      <c r="P13" s="3">
        <f>SUMIFS( historical_events_FACT!J:J, historical_events_FACT!G:G, B13,historical_events_FACT!B:B, "2015",historical_events_FACT!C:C, "11" )</f>
        <v>63.9</v>
      </c>
      <c r="Q13" s="3">
        <f>COUNTIFS(historical_events_FACT!G:G, B13,historical_events_FACT!B:B, "2015",historical_events_FACT!C:C, "11" )</f>
        <v>5</v>
      </c>
      <c r="R13" s="3">
        <f t="shared" si="5"/>
        <v>0</v>
      </c>
      <c r="S13" s="3">
        <f>SUMIFS( historical_events_FACT!J:J, historical_events_FACT!G:G, B13,historical_events_FACT!B:B, "2016",historical_events_FACT!C:C, "11" )</f>
        <v>0</v>
      </c>
      <c r="T13" s="3">
        <f>COUNTIFS(historical_events_FACT!G:G, B13,historical_events_FACT!B:B, "2016",historical_events_FACT!C:C, "11" )</f>
        <v>0</v>
      </c>
      <c r="U13" s="3">
        <f>MAXIFS( historical_events_FACT!J:J, historical_events_FACT!G:G, B13,historical_events_FACT!C:C, "11" )</f>
        <v>17.3</v>
      </c>
      <c r="V13" s="97">
        <f t="array" ref="V13">ROUND(AVERAGEIF({ IFERROR(XLOOKUP(B13, 'Surfer Stats - Event 10'!B:B, 'Surfer Stats - Event 10'!Y:Y), ""), IFERROR(XLOOKUP(B13, 'Surfer Stats - Event 8'!B:B, 'Surfer Stats - Event 8'!Y:Y), ""), IFERROR(XLOOKUP(B13, 'Surfer Stats - Event 9'!B:B, 'Surfer Stats - Event 9'!Y:Y), "") }, "&lt;&gt;"),2)</f>
        <v>54.45</v>
      </c>
      <c r="W13" s="3">
        <f t="array" ref="W13">XLOOKUP(B13, 'Surfer Stats - Event 10'!B:B, 'Surfer Stats - Event 10'!Y:Y)</f>
        <v>54.41</v>
      </c>
      <c r="X13" s="75">
        <f>7450+5200+1750+5200+1750+1750+5200+5200</f>
        <v>33500</v>
      </c>
      <c r="Y13" s="3">
        <f t="array" ref="Y13">XLOOKUP(B13,'Event 11 Assist'!A:A, 'Event 11 Assist'!E:E)</f>
        <v>32.3</v>
      </c>
    </row>
    <row r="14">
      <c r="A14" s="10">
        <v>1.0</v>
      </c>
      <c r="B14" s="66" t="s">
        <v>64</v>
      </c>
      <c r="C14" s="3" t="str">
        <f t="array" ref="C14">XLOOKUP(B14, 'Surfer Stats - Event 4'!B:B, 'Surfer Stats - Event 4'!D:D)</f>
        <v>Regular</v>
      </c>
      <c r="D14" s="3">
        <f t="shared" si="1"/>
        <v>7</v>
      </c>
      <c r="E14" s="10">
        <v>0.0</v>
      </c>
      <c r="F14" s="10">
        <v>0.0</v>
      </c>
      <c r="G14" s="10">
        <v>99.0</v>
      </c>
      <c r="H14" s="10">
        <v>25.0</v>
      </c>
      <c r="I14" s="10">
        <v>99.0</v>
      </c>
      <c r="J14" s="3">
        <f>COUNTIFS( historical_events_FACT!J:J, "&gt;16", historical_events_FACT!G:G, B14,historical_events_FACT!C:C, "11" )</f>
        <v>0</v>
      </c>
      <c r="K14" s="3">
        <f t="shared" si="2"/>
        <v>10.65</v>
      </c>
      <c r="L14" s="3">
        <f t="shared" si="3"/>
        <v>7.83</v>
      </c>
      <c r="M14" s="10">
        <v>7.83</v>
      </c>
      <c r="N14" s="10">
        <v>1.0</v>
      </c>
      <c r="O14" s="3">
        <f t="shared" si="4"/>
        <v>11.33</v>
      </c>
      <c r="P14" s="10">
        <v>45.3</v>
      </c>
      <c r="Q14" s="10">
        <v>4.0</v>
      </c>
      <c r="R14" s="3">
        <f t="shared" si="5"/>
        <v>10.72</v>
      </c>
      <c r="S14" s="3">
        <f>SUMIFS( historical_events_FACT!J:J, historical_events_FACT!G:G, B14,historical_events_FACT!B:B, "2016",historical_events_FACT!C:C, "11" )</f>
        <v>21.44</v>
      </c>
      <c r="T14" s="3">
        <f>COUNTIFS(historical_events_FACT!G:G, B14,historical_events_FACT!B:B, "2016",historical_events_FACT!C:C, "11" )</f>
        <v>2</v>
      </c>
      <c r="U14" s="3">
        <f>MAXIFS( historical_events_FACT!J:J, historical_events_FACT!G:G, B14,historical_events_FACT!C:C, "11" )</f>
        <v>13.27</v>
      </c>
      <c r="V14" s="97">
        <f t="array" ref="V14">ROUND(AVERAGEIF({ IFERROR(XLOOKUP(B14, 'Surfer Stats - Event 10'!B:B, 'Surfer Stats - Event 10'!Y:Y), ""), IFERROR(XLOOKUP(B14, 'Surfer Stats - Event 8'!B:B, 'Surfer Stats - Event 8'!Y:Y), ""), IFERROR(XLOOKUP(B14, 'Surfer Stats - Event 9'!B:B, 'Surfer Stats - Event 9'!Y:Y), "") }, "&lt;&gt;"),2)</f>
        <v>49.64</v>
      </c>
      <c r="W14" s="3">
        <f t="array" ref="W14">XLOOKUP(B14, 'Surfer Stats - Event 10'!B:B, 'Surfer Stats - Event 10'!Y:Y)</f>
        <v>46.47</v>
      </c>
      <c r="X14" s="75">
        <f>7450+1750+1750+8000+500+5200+1750+4000</f>
        <v>30400</v>
      </c>
      <c r="Y14" s="3">
        <f t="array" ref="Y14">XLOOKUP(B14,'Event 11 Assist'!A:A, 'Event 11 Assist'!E:E)</f>
        <v>15.27</v>
      </c>
    </row>
    <row r="15">
      <c r="A15" s="10">
        <v>1.0</v>
      </c>
      <c r="B15" s="66" t="s">
        <v>61</v>
      </c>
      <c r="C15" s="3" t="str">
        <f t="array" ref="C15">XLOOKUP(B15, 'Surfer Stats - Event 4'!B:B, 'Surfer Stats - Event 4'!D:D)</f>
        <v>Goofy</v>
      </c>
      <c r="D15" s="3">
        <f t="shared" si="1"/>
        <v>6</v>
      </c>
      <c r="E15" s="10">
        <v>0.0</v>
      </c>
      <c r="F15" s="10">
        <v>0.0</v>
      </c>
      <c r="G15" s="10">
        <v>99.0</v>
      </c>
      <c r="H15" s="10">
        <v>99.0</v>
      </c>
      <c r="I15" s="10">
        <v>99.0</v>
      </c>
      <c r="J15" s="3">
        <f>COUNTIFS( historical_events_FACT!J:J, "&gt;16", historical_events_FACT!G:G, B15,historical_events_FACT!C:C, "11" )</f>
        <v>0</v>
      </c>
      <c r="K15" s="3">
        <f t="shared" si="2"/>
        <v>13.52</v>
      </c>
      <c r="L15" s="3">
        <f t="shared" si="3"/>
        <v>11.65</v>
      </c>
      <c r="M15" s="10">
        <v>34.94</v>
      </c>
      <c r="N15" s="10">
        <v>3.0</v>
      </c>
      <c r="O15" s="3">
        <f t="shared" si="4"/>
        <v>16.67</v>
      </c>
      <c r="P15" s="10">
        <v>33.33</v>
      </c>
      <c r="Q15" s="10">
        <v>2.0</v>
      </c>
      <c r="R15" s="3">
        <f t="shared" si="5"/>
        <v>12.87</v>
      </c>
      <c r="S15" s="10">
        <v>12.87</v>
      </c>
      <c r="T15" s="10">
        <v>1.0</v>
      </c>
      <c r="U15" s="3">
        <f>MAXIFS( historical_events_FACT!J:J, historical_events_FACT!G:G, B15,historical_events_FACT!C:C, "11" )</f>
        <v>0</v>
      </c>
      <c r="V15" s="97">
        <f t="array" ref="V15">ROUND(AVERAGEIF({ IFERROR(XLOOKUP(B15, 'Surfer Stats - Event 10'!B:B, 'Surfer Stats - Event 10'!Y:Y), ""), IFERROR(XLOOKUP(B15, 'Surfer Stats - Event 8'!B:B, 'Surfer Stats - Event 8'!Y:Y), ""), IFERROR(XLOOKUP(B15, 'Surfer Stats - Event 9'!B:B, 'Surfer Stats - Event 9'!Y:Y), "") }, "&lt;&gt;"),2)</f>
        <v>33.96</v>
      </c>
      <c r="W15" s="3">
        <f t="array" ref="W15">XLOOKUP(B15, 'Surfer Stats - Event 10'!B:B, 'Surfer Stats - Event 10'!Y:Y)</f>
        <v>57.17</v>
      </c>
      <c r="X15" s="75">
        <f>8700+1750+8000+1750+4000+500+500+4000</f>
        <v>29200</v>
      </c>
      <c r="Y15" s="3">
        <f t="array" ref="Y15">XLOOKUP(B15,'Event 11 Assist'!A:A, 'Event 11 Assist'!E:E)</f>
        <v>21.77</v>
      </c>
    </row>
    <row r="16">
      <c r="A16" s="10">
        <v>1.0</v>
      </c>
      <c r="B16" s="66" t="s">
        <v>47</v>
      </c>
      <c r="C16" s="3" t="str">
        <f t="array" ref="C16">XLOOKUP(B16, 'Surfer Stats - Event 4'!B:B, 'Surfer Stats - Event 4'!D:D)</f>
        <v>Goofy</v>
      </c>
      <c r="D16" s="3">
        <f t="shared" si="1"/>
        <v>11</v>
      </c>
      <c r="E16" s="10">
        <v>0.0</v>
      </c>
      <c r="F16" s="10">
        <v>0.0</v>
      </c>
      <c r="G16" s="10">
        <v>3.0</v>
      </c>
      <c r="H16" s="10">
        <v>25.0</v>
      </c>
      <c r="I16" s="10">
        <v>13.0</v>
      </c>
      <c r="J16" s="3">
        <f>COUNTIFS( historical_events_FACT!J:J, "&gt;16", historical_events_FACT!G:G, B16,historical_events_FACT!C:C, "11" )</f>
        <v>0</v>
      </c>
      <c r="K16" s="3">
        <f t="shared" si="2"/>
        <v>8.85</v>
      </c>
      <c r="L16" s="3">
        <f t="shared" si="3"/>
        <v>8.71</v>
      </c>
      <c r="M16" s="3">
        <f>SUMIFS( '2014Data'!I:I, '2014Data'!F:F, B16,'2014Data'!B:B, "11" )</f>
        <v>52.27</v>
      </c>
      <c r="N16" s="3">
        <f>COUNTIFS('2014Data'!F:F, B16,'2014Data'!B:B, "11" )</f>
        <v>6</v>
      </c>
      <c r="O16" s="3">
        <f t="shared" si="4"/>
        <v>8.57</v>
      </c>
      <c r="P16" s="3">
        <f>SUMIFS( historical_events_FACT!J:J, historical_events_FACT!G:G, B16,historical_events_FACT!B:B, "2015",historical_events_FACT!C:C, "11" )</f>
        <v>25.7</v>
      </c>
      <c r="Q16" s="3">
        <f>COUNTIFS(historical_events_FACT!G:G, B16,historical_events_FACT!B:B, "2015",historical_events_FACT!C:C, "11" )</f>
        <v>3</v>
      </c>
      <c r="R16" s="3">
        <f t="shared" si="5"/>
        <v>9.7</v>
      </c>
      <c r="S16" s="3">
        <f>SUMIFS( historical_events_FACT!J:J, historical_events_FACT!G:G, B16,historical_events_FACT!B:B, "2016",historical_events_FACT!C:C, "11" )</f>
        <v>19.4</v>
      </c>
      <c r="T16" s="3">
        <f>COUNTIFS(historical_events_FACT!G:G, B16,historical_events_FACT!B:B, "2016",historical_events_FACT!C:C, "11" )</f>
        <v>2</v>
      </c>
      <c r="U16" s="3">
        <f>MAXIFS( historical_events_FACT!J:J, historical_events_FACT!G:G, B16,historical_events_FACT!C:C, "11" )</f>
        <v>15.07</v>
      </c>
      <c r="V16" s="97">
        <f t="array" ref="V16">ROUND(AVERAGEIF({ IFERROR(XLOOKUP(B16, 'Surfer Stats - Event 10'!B:B, 'Surfer Stats - Event 10'!Y:Y), ""), IFERROR(XLOOKUP(B16, 'Surfer Stats - Event 8'!B:B, 'Surfer Stats - Event 8'!Y:Y), ""), IFERROR(XLOOKUP(B16, 'Surfer Stats - Event 9'!B:B, 'Surfer Stats - Event 9'!Y:Y), "") }, "&lt;&gt;"),2)</f>
        <v>53.57</v>
      </c>
      <c r="W16" s="3">
        <f t="array" ref="W16">XLOOKUP(B16, 'Surfer Stats - Event 10'!B:B, 'Surfer Stats - Event 10'!Y:Y)</f>
        <v>34.34</v>
      </c>
      <c r="X16" s="75">
        <f>4000+8000+500+500+4000+6500+1750+1750</f>
        <v>27000</v>
      </c>
      <c r="Y16" s="3">
        <f t="array" ref="Y16">XLOOKUP(B16,'Event 11 Assist'!A:A, 'Event 11 Assist'!E:E)</f>
        <v>13.09</v>
      </c>
    </row>
    <row r="17">
      <c r="A17" s="10">
        <v>1.0</v>
      </c>
      <c r="B17" s="66" t="s">
        <v>27</v>
      </c>
      <c r="C17" s="3" t="str">
        <f t="array" ref="C17">XLOOKUP(B17, 'Surfer Stats - Event 4'!B:B, 'Surfer Stats - Event 4'!D:D)</f>
        <v>Regular</v>
      </c>
      <c r="D17" s="3">
        <f t="shared" si="1"/>
        <v>14</v>
      </c>
      <c r="E17" s="10">
        <v>0.0</v>
      </c>
      <c r="F17" s="10">
        <v>0.0</v>
      </c>
      <c r="G17" s="10">
        <v>9.0</v>
      </c>
      <c r="H17" s="10">
        <v>1.0</v>
      </c>
      <c r="I17" s="10">
        <v>13.0</v>
      </c>
      <c r="J17" s="3">
        <f>COUNTIFS( historical_events_FACT!J:J, "&gt;16", historical_events_FACT!G:G, B17,historical_events_FACT!C:C, "11" )</f>
        <v>2</v>
      </c>
      <c r="K17" s="3">
        <f t="shared" si="2"/>
        <v>10.5</v>
      </c>
      <c r="L17" s="3">
        <f t="shared" si="3"/>
        <v>7.63</v>
      </c>
      <c r="M17" s="3">
        <f>SUMIFS( '2014Data'!I:I, '2014Data'!F:F, B17,'2014Data'!B:B, "11" )</f>
        <v>38.14</v>
      </c>
      <c r="N17" s="3">
        <f>COUNTIFS('2014Data'!F:F, B17,'2014Data'!B:B, "11" )</f>
        <v>5</v>
      </c>
      <c r="O17" s="3">
        <f t="shared" si="4"/>
        <v>8.17</v>
      </c>
      <c r="P17" s="3">
        <f>SUMIFS( historical_events_FACT!J:J, historical_events_FACT!G:G, B17,historical_events_FACT!B:B, "2015",historical_events_FACT!C:C, "11" )</f>
        <v>16.33</v>
      </c>
      <c r="Q17" s="3">
        <f>COUNTIFS(historical_events_FACT!G:G, B17,historical_events_FACT!B:B, "2015",historical_events_FACT!C:C, "11" )</f>
        <v>2</v>
      </c>
      <c r="R17" s="3">
        <f t="shared" si="5"/>
        <v>13.21</v>
      </c>
      <c r="S17" s="3">
        <f>SUMIFS( historical_events_FACT!J:J, historical_events_FACT!G:G, B17,historical_events_FACT!B:B, "2016",historical_events_FACT!C:C, "11" )</f>
        <v>92.47</v>
      </c>
      <c r="T17" s="3">
        <f>COUNTIFS(historical_events_FACT!G:G, B17,historical_events_FACT!B:B, "2016",historical_events_FACT!C:C, "11" )</f>
        <v>7</v>
      </c>
      <c r="U17" s="3">
        <f>MAXIFS( historical_events_FACT!J:J, historical_events_FACT!G:G, B17,historical_events_FACT!C:C, "11" )</f>
        <v>17.2</v>
      </c>
      <c r="V17" s="97">
        <f t="array" ref="V17">ROUND(AVERAGEIF({ IFERROR(XLOOKUP(B17, 'Surfer Stats - Event 10'!B:B, 'Surfer Stats - Event 10'!Y:Y), ""), IFERROR(XLOOKUP(B17, 'Surfer Stats - Event 8'!B:B, 'Surfer Stats - Event 8'!Y:Y), ""), IFERROR(XLOOKUP(B17, 'Surfer Stats - Event 9'!B:B, 'Surfer Stats - Event 9'!Y:Y), "") }, "&lt;&gt;"),2)</f>
        <v>25.44</v>
      </c>
      <c r="W17" s="3">
        <f t="array" ref="W17">XLOOKUP(B17, 'Surfer Stats - Event 10'!B:B, 'Surfer Stats - Event 10'!Y:Y)</f>
        <v>20.74</v>
      </c>
      <c r="X17" s="75">
        <f>7450+500+6500+4000+1750+500+1750+1750</f>
        <v>24200</v>
      </c>
      <c r="Y17" s="3">
        <f t="array" ref="Y17">XLOOKUP(B17,'Event 11 Assist'!A:A, 'Event 11 Assist'!E:E)</f>
        <v>24.97</v>
      </c>
    </row>
    <row r="18">
      <c r="A18" s="10">
        <v>1.0</v>
      </c>
      <c r="B18" s="66" t="s">
        <v>65</v>
      </c>
      <c r="C18" s="3" t="str">
        <f t="array" ref="C18">XLOOKUP(B18, 'Surfer Stats - Event 4'!B:B, 'Surfer Stats - Event 4'!D:D)</f>
        <v>Goofy</v>
      </c>
      <c r="D18" s="3">
        <f t="shared" si="1"/>
        <v>5</v>
      </c>
      <c r="E18" s="10">
        <v>0.0</v>
      </c>
      <c r="F18" s="10">
        <v>0.0</v>
      </c>
      <c r="G18" s="10">
        <v>99.0</v>
      </c>
      <c r="H18" s="10">
        <v>99.0</v>
      </c>
      <c r="I18" s="10">
        <v>99.0</v>
      </c>
      <c r="J18" s="3">
        <f>COUNTIFS( historical_events_FACT!J:J, "&gt;16", historical_events_FACT!G:G, B18,historical_events_FACT!C:C, "11" )</f>
        <v>0</v>
      </c>
      <c r="K18" s="3">
        <f t="shared" si="2"/>
        <v>11.73</v>
      </c>
      <c r="L18" s="3">
        <f t="shared" si="3"/>
        <v>8.75</v>
      </c>
      <c r="M18" s="10">
        <v>17.5</v>
      </c>
      <c r="N18" s="10">
        <v>2.0</v>
      </c>
      <c r="O18" s="3">
        <f t="shared" si="4"/>
        <v>13.52</v>
      </c>
      <c r="P18" s="10">
        <v>27.03</v>
      </c>
      <c r="Q18" s="10">
        <v>2.0</v>
      </c>
      <c r="R18" s="3">
        <f t="shared" si="5"/>
        <v>14.1</v>
      </c>
      <c r="S18" s="10">
        <v>14.1</v>
      </c>
      <c r="T18" s="10">
        <v>1.0</v>
      </c>
      <c r="U18" s="10">
        <v>14.1</v>
      </c>
      <c r="V18" s="97">
        <f t="array" ref="V18">ROUND(AVERAGEIF({ IFERROR(XLOOKUP(B18, 'Surfer Stats - Event 10'!B:B, 'Surfer Stats - Event 10'!Y:Y), ""), IFERROR(XLOOKUP(B18, 'Surfer Stats - Event 8'!B:B, 'Surfer Stats - Event 8'!Y:Y), ""), IFERROR(XLOOKUP(B18, 'Surfer Stats - Event 9'!B:B, 'Surfer Stats - Event 9'!Y:Y), "") }, "&lt;&gt;"),2)</f>
        <v>36.68</v>
      </c>
      <c r="W18" s="3">
        <f t="array" ref="W18">XLOOKUP(B18, 'Surfer Stats - Event 10'!B:B, 'Surfer Stats - Event 10'!Y:Y)</f>
        <v>13.96</v>
      </c>
      <c r="X18" s="75">
        <f>2750+500+5200+4000+5200+1750+4000+500</f>
        <v>23900</v>
      </c>
      <c r="Y18" s="3">
        <f t="array" ref="Y18">XLOOKUP(B18,'Event 11 Assist'!A:A, 'Event 11 Assist'!E:E)</f>
        <v>18.44</v>
      </c>
    </row>
    <row r="19">
      <c r="A19" s="10">
        <v>1.0</v>
      </c>
      <c r="B19" s="66" t="s">
        <v>40</v>
      </c>
      <c r="C19" s="3" t="str">
        <f t="array" ref="C19">XLOOKUP(B19, 'Surfer Stats - Event 4'!B:B, 'Surfer Stats - Event 4'!D:D)</f>
        <v>Regular</v>
      </c>
      <c r="D19" s="3">
        <f t="shared" si="1"/>
        <v>6</v>
      </c>
      <c r="E19" s="10">
        <v>0.0</v>
      </c>
      <c r="F19" s="10">
        <v>0.0</v>
      </c>
      <c r="G19" s="10">
        <v>99.0</v>
      </c>
      <c r="H19" s="10">
        <v>25.0</v>
      </c>
      <c r="I19" s="10">
        <v>99.0</v>
      </c>
      <c r="J19" s="3">
        <f>COUNTIFS( historical_events_FACT!J:J, "&gt;16", historical_events_FACT!G:G, B19,historical_events_FACT!C:C, "11" )</f>
        <v>0</v>
      </c>
      <c r="K19" s="3">
        <f t="shared" si="2"/>
        <v>9.85</v>
      </c>
      <c r="L19" s="3">
        <f t="shared" si="3"/>
        <v>3.6</v>
      </c>
      <c r="M19" s="10">
        <v>3.6</v>
      </c>
      <c r="N19" s="10">
        <v>1.0</v>
      </c>
      <c r="O19" s="3">
        <f t="shared" si="4"/>
        <v>13.19</v>
      </c>
      <c r="P19" s="10">
        <v>39.57</v>
      </c>
      <c r="Q19" s="10">
        <v>3.0</v>
      </c>
      <c r="R19" s="3">
        <f t="shared" si="5"/>
        <v>7.97</v>
      </c>
      <c r="S19" s="3">
        <f>SUMIFS( historical_events_FACT!J:J, historical_events_FACT!G:G, B19,historical_events_FACT!B:B, "2016",historical_events_FACT!C:C, "11" )</f>
        <v>15.93</v>
      </c>
      <c r="T19" s="3">
        <f>COUNTIFS(historical_events_FACT!G:G, B19,historical_events_FACT!B:B, "2016",historical_events_FACT!C:C, "11" )</f>
        <v>2</v>
      </c>
      <c r="U19" s="3">
        <f>MAXIFS( historical_events_FACT!J:J, historical_events_FACT!G:G, B19,historical_events_FACT!C:C, "11" )</f>
        <v>11.5</v>
      </c>
      <c r="V19" s="97">
        <f t="array" ref="V19">ROUND(AVERAGEIF({ IFERROR(XLOOKUP(B19, 'Surfer Stats - Event 10'!B:B, 'Surfer Stats - Event 10'!Y:Y), ""), IFERROR(XLOOKUP(B19, 'Surfer Stats - Event 8'!B:B, 'Surfer Stats - Event 8'!Y:Y), ""), IFERROR(XLOOKUP(B19, 'Surfer Stats - Event 9'!B:B, 'Surfer Stats - Event 9'!Y:Y), "") }, "&lt;&gt;"),2)</f>
        <v>36.04</v>
      </c>
      <c r="W19" s="3">
        <f t="array" ref="W19">XLOOKUP(B19, 'Surfer Stats - Event 10'!B:B, 'Surfer Stats - Event 10'!Y:Y)</f>
        <v>24.76</v>
      </c>
      <c r="X19" s="75">
        <f>11500+1750+500+1750+500+500+4000+1750</f>
        <v>22250</v>
      </c>
      <c r="Y19" s="3">
        <f t="array" ref="Y19">XLOOKUP(B19,'Event 11 Assist'!A:A, 'Event 11 Assist'!E:E)</f>
        <v>43.73</v>
      </c>
    </row>
    <row r="20">
      <c r="A20" s="10">
        <v>1.0</v>
      </c>
      <c r="B20" s="66" t="s">
        <v>50</v>
      </c>
      <c r="C20" s="3" t="str">
        <f t="array" ref="C20">XLOOKUP(B20, 'Surfer Stats - Event 4'!B:B, 'Surfer Stats - Event 4'!D:D)</f>
        <v>Regular</v>
      </c>
      <c r="D20" s="3">
        <f t="shared" si="1"/>
        <v>11</v>
      </c>
      <c r="E20" s="10">
        <v>0.0</v>
      </c>
      <c r="F20" s="10">
        <v>0.0</v>
      </c>
      <c r="G20" s="10">
        <v>13.0</v>
      </c>
      <c r="H20" s="10">
        <v>5.0</v>
      </c>
      <c r="I20" s="10">
        <v>9.0</v>
      </c>
      <c r="J20" s="3">
        <f>COUNTIFS( historical_events_FACT!J:J, "&gt;16", historical_events_FACT!G:G, B20,historical_events_FACT!C:C, "11" )</f>
        <v>0</v>
      </c>
      <c r="K20" s="3">
        <f t="shared" si="2"/>
        <v>11.04</v>
      </c>
      <c r="L20" s="3">
        <f t="shared" si="3"/>
        <v>8.49</v>
      </c>
      <c r="M20" s="3">
        <f>SUMIFS( '2014Data'!I:I, '2014Data'!F:F, B20,'2014Data'!B:B, "11" )</f>
        <v>16.97</v>
      </c>
      <c r="N20" s="3">
        <f>COUNTIFS('2014Data'!F:F, B20,'2014Data'!B:B, "11" )</f>
        <v>2</v>
      </c>
      <c r="O20" s="3">
        <f t="shared" si="4"/>
        <v>10.92</v>
      </c>
      <c r="P20" s="3">
        <f>SUMIFS( historical_events_FACT!J:J, historical_events_FACT!G:G, B20,historical_events_FACT!B:B, "2015",historical_events_FACT!C:C, "11" )</f>
        <v>43.68</v>
      </c>
      <c r="Q20" s="3">
        <f>COUNTIFS(historical_events_FACT!G:G, B20,historical_events_FACT!B:B, "2015",historical_events_FACT!C:C, "11" )</f>
        <v>4</v>
      </c>
      <c r="R20" s="3">
        <f t="shared" si="5"/>
        <v>12.17</v>
      </c>
      <c r="S20" s="3">
        <f>SUMIFS( historical_events_FACT!J:J, historical_events_FACT!G:G, B20,historical_events_FACT!B:B, "2016",historical_events_FACT!C:C, "11" )</f>
        <v>60.84</v>
      </c>
      <c r="T20" s="3">
        <f>COUNTIFS(historical_events_FACT!G:G, B20,historical_events_FACT!B:B, "2016",historical_events_FACT!C:C, "11" )</f>
        <v>5</v>
      </c>
      <c r="U20" s="3">
        <f>MAXIFS( historical_events_FACT!J:J, historical_events_FACT!G:G, B20,historical_events_FACT!C:C, "11" )</f>
        <v>15.17</v>
      </c>
      <c r="V20" s="97">
        <f t="array" ref="V20">ROUND(AVERAGEIF({ IFERROR(XLOOKUP(B20, 'Surfer Stats - Event 10'!B:B, 'Surfer Stats - Event 10'!Y:Y), ""), IFERROR(XLOOKUP(B20, 'Surfer Stats - Event 8'!B:B, 'Surfer Stats - Event 8'!Y:Y), ""), IFERROR(XLOOKUP(B20, 'Surfer Stats - Event 9'!B:B, 'Surfer Stats - Event 9'!Y:Y), "") }, "&lt;&gt;"),2)</f>
        <v>38.1</v>
      </c>
      <c r="W20" s="3">
        <f t="array" ref="W20">XLOOKUP(B20, 'Surfer Stats - Event 10'!B:B, 'Surfer Stats - Event 10'!Y:Y)</f>
        <v>12.1</v>
      </c>
      <c r="X20" s="75">
        <f>7500+1750+1750+1750+1750+5200+1750+500</f>
        <v>21950</v>
      </c>
      <c r="Y20" s="3">
        <f t="array" ref="Y20">XLOOKUP(B20,'Event 11 Assist'!A:A, 'Event 11 Assist'!E:E)</f>
        <v>73.33</v>
      </c>
    </row>
    <row r="21">
      <c r="A21" s="10">
        <v>1.0</v>
      </c>
      <c r="B21" s="66" t="s">
        <v>53</v>
      </c>
      <c r="C21" s="3" t="str">
        <f t="array" ref="C21">XLOOKUP(B21, 'Surfer Stats - Event 4'!B:B, 'Surfer Stats - Event 4'!D:D)</f>
        <v>Regular</v>
      </c>
      <c r="D21" s="3">
        <f t="shared" si="1"/>
        <v>9</v>
      </c>
      <c r="E21" s="10">
        <v>0.0</v>
      </c>
      <c r="F21" s="10">
        <v>0.0</v>
      </c>
      <c r="G21" s="10">
        <v>99.0</v>
      </c>
      <c r="H21" s="10">
        <v>2.0</v>
      </c>
      <c r="I21" s="10">
        <v>99.0</v>
      </c>
      <c r="J21" s="3">
        <f>COUNTIFS( historical_events_FACT!J:J, "&gt;16", historical_events_FACT!G:G, B21,historical_events_FACT!C:C, "11" )</f>
        <v>1</v>
      </c>
      <c r="K21" s="3">
        <f t="shared" si="2"/>
        <v>11.07</v>
      </c>
      <c r="L21" s="3">
        <f t="shared" si="3"/>
        <v>9.34</v>
      </c>
      <c r="M21" s="10">
        <v>9.34</v>
      </c>
      <c r="N21" s="10">
        <v>1.0</v>
      </c>
      <c r="O21" s="3">
        <f t="shared" si="4"/>
        <v>9.37</v>
      </c>
      <c r="P21" s="10">
        <v>9.37</v>
      </c>
      <c r="Q21" s="10">
        <v>1.0</v>
      </c>
      <c r="R21" s="3">
        <f t="shared" si="5"/>
        <v>11.56</v>
      </c>
      <c r="S21" s="3">
        <f>SUMIFS( historical_events_FACT!J:J, historical_events_FACT!G:G, B21,historical_events_FACT!B:B, "2016",historical_events_FACT!C:C, "11" )</f>
        <v>80.94</v>
      </c>
      <c r="T21" s="3">
        <f>COUNTIFS(historical_events_FACT!G:G, B21,historical_events_FACT!B:B, "2016",historical_events_FACT!C:C, "11" )</f>
        <v>7</v>
      </c>
      <c r="U21" s="3">
        <f>MAXIFS( historical_events_FACT!J:J, historical_events_FACT!G:G, B21,historical_events_FACT!C:C, "11" )</f>
        <v>18.03</v>
      </c>
      <c r="V21" s="97">
        <f t="array" ref="V21">ROUND(AVERAGEIF({ IFERROR(XLOOKUP(B21, 'Surfer Stats - Event 10'!B:B, 'Surfer Stats - Event 10'!Y:Y), ""), IFERROR(XLOOKUP(B21, 'Surfer Stats - Event 8'!B:B, 'Surfer Stats - Event 8'!Y:Y), ""), IFERROR(XLOOKUP(B21, 'Surfer Stats - Event 9'!B:B, 'Surfer Stats - Event 9'!Y:Y), "") }, "&lt;&gt;"),2)</f>
        <v>53.29</v>
      </c>
      <c r="W21" s="3">
        <f t="array" ref="W21">XLOOKUP(B21, 'Surfer Stats - Event 10'!B:B, 'Surfer Stats - Event 10'!Y:Y)</f>
        <v>63.76</v>
      </c>
      <c r="X21" s="75">
        <f>2750+4000+500+500+1750+5200+500+6500</f>
        <v>21700</v>
      </c>
      <c r="Y21" s="3">
        <f t="array" ref="Y21">XLOOKUP(B21,'Event 11 Assist'!A:A, 'Event 11 Assist'!E:E)</f>
        <v>65.45</v>
      </c>
    </row>
    <row r="22">
      <c r="A22" s="10">
        <v>1.0</v>
      </c>
      <c r="B22" s="66" t="s">
        <v>52</v>
      </c>
      <c r="C22" s="3" t="str">
        <f t="array" ref="C22">XLOOKUP(B22, 'Surfer Stats - Event 4'!B:B, 'Surfer Stats - Event 4'!D:D)</f>
        <v>Regular</v>
      </c>
      <c r="D22" s="3">
        <f t="shared" si="1"/>
        <v>9</v>
      </c>
      <c r="E22" s="10">
        <v>0.0</v>
      </c>
      <c r="F22" s="10">
        <v>0.0</v>
      </c>
      <c r="G22" s="10">
        <v>99.0</v>
      </c>
      <c r="H22" s="10">
        <v>13.0</v>
      </c>
      <c r="I22" s="10">
        <v>99.0</v>
      </c>
      <c r="J22" s="3">
        <f>COUNTIFS( historical_events_FACT!J:J, "&gt;16", historical_events_FACT!G:G, B22,historical_events_FACT!C:C, "11" )</f>
        <v>0</v>
      </c>
      <c r="K22" s="3">
        <f t="shared" si="2"/>
        <v>11.36</v>
      </c>
      <c r="L22" s="3">
        <f t="shared" si="3"/>
        <v>7.47</v>
      </c>
      <c r="M22" s="10">
        <v>7.47</v>
      </c>
      <c r="N22" s="10">
        <v>1.0</v>
      </c>
      <c r="O22" s="3">
        <f t="shared" si="4"/>
        <v>10.84</v>
      </c>
      <c r="P22" s="10">
        <v>54.22</v>
      </c>
      <c r="Q22" s="10">
        <v>5.0</v>
      </c>
      <c r="R22" s="3">
        <f t="shared" si="5"/>
        <v>13.52</v>
      </c>
      <c r="S22" s="3">
        <f>SUMIFS( historical_events_FACT!J:J, historical_events_FACT!G:G, B22,historical_events_FACT!B:B, "2016",historical_events_FACT!C:C, "11" )</f>
        <v>40.57</v>
      </c>
      <c r="T22" s="3">
        <f>COUNTIFS(historical_events_FACT!G:G, B22,historical_events_FACT!B:B, "2016",historical_events_FACT!C:C, "11" )</f>
        <v>3</v>
      </c>
      <c r="U22" s="3">
        <f>MAXIFS( historical_events_FACT!J:J, historical_events_FACT!G:G, B22,historical_events_FACT!C:C, "11" )</f>
        <v>15.2</v>
      </c>
      <c r="V22" s="97">
        <f t="array" ref="V22">ROUND(AVERAGEIF({ IFERROR(XLOOKUP(B22, 'Surfer Stats - Event 10'!B:B, 'Surfer Stats - Event 10'!Y:Y), ""), IFERROR(XLOOKUP(B22, 'Surfer Stats - Event 8'!B:B, 'Surfer Stats - Event 8'!Y:Y), ""), IFERROR(XLOOKUP(B22, 'Surfer Stats - Event 9'!B:B, 'Surfer Stats - Event 9'!Y:Y), "") }, "&lt;&gt;"),2)</f>
        <v>23.77</v>
      </c>
      <c r="W22" s="3">
        <f t="array" ref="W22">XLOOKUP(B22, 'Surfer Stats - Event 10'!B:B, 'Surfer Stats - Event 10'!Y:Y)</f>
        <v>25.21</v>
      </c>
      <c r="X22" s="75">
        <f>+500+8500+500+4000+4000+1750+500+1750</f>
        <v>21500</v>
      </c>
      <c r="Y22" s="3">
        <f t="array" ref="Y22">XLOOKUP(B22,'Event 11 Assist'!A:A, 'Event 11 Assist'!E:E)</f>
        <v>35.23</v>
      </c>
    </row>
    <row r="23">
      <c r="A23" s="10">
        <v>1.0</v>
      </c>
      <c r="B23" s="66" t="s">
        <v>59</v>
      </c>
      <c r="C23" s="3" t="str">
        <f t="array" ref="C23">XLOOKUP(B23, 'Surfer Stats - Event 4'!B:B, 'Surfer Stats - Event 4'!D:D)</f>
        <v>Regular</v>
      </c>
      <c r="D23" s="3">
        <f t="shared" si="1"/>
        <v>7</v>
      </c>
      <c r="E23" s="10">
        <v>0.0</v>
      </c>
      <c r="F23" s="10">
        <v>0.0</v>
      </c>
      <c r="G23" s="10">
        <v>13.0</v>
      </c>
      <c r="H23" s="10">
        <v>99.0</v>
      </c>
      <c r="I23" s="10">
        <v>13.0</v>
      </c>
      <c r="J23" s="3">
        <f>COUNTIFS( historical_events_FACT!J:J, "&gt;16", historical_events_FACT!G:G, B23,historical_events_FACT!C:C, "11" )</f>
        <v>0</v>
      </c>
      <c r="K23" s="3">
        <f t="shared" si="2"/>
        <v>6.15</v>
      </c>
      <c r="L23" s="3">
        <f t="shared" si="3"/>
        <v>8.27</v>
      </c>
      <c r="M23" s="3">
        <f>SUMIFS( '2014Data'!I:I, '2014Data'!F:F, B23,'2014Data'!B:B, "11" )</f>
        <v>16.53</v>
      </c>
      <c r="N23" s="3">
        <f>COUNTIFS('2014Data'!F:F, B23,'2014Data'!B:B, "11" )</f>
        <v>2</v>
      </c>
      <c r="O23" s="3">
        <f t="shared" si="4"/>
        <v>1.51</v>
      </c>
      <c r="P23" s="3">
        <f>SUMIFS( historical_events_FACT!J:J, historical_events_FACT!G:G, B23,historical_events_FACT!B:B, "2015",historical_events_FACT!C:C, "11" )</f>
        <v>3.01</v>
      </c>
      <c r="Q23" s="3">
        <f>COUNTIFS(historical_events_FACT!G:G, B23,historical_events_FACT!B:B, "2015",historical_events_FACT!C:C, "11" )</f>
        <v>2</v>
      </c>
      <c r="R23" s="3">
        <f t="shared" si="5"/>
        <v>7.85</v>
      </c>
      <c r="S23" s="3">
        <f>SUMIFS( historical_events_FACT!J:J, historical_events_FACT!G:G, B23,historical_events_FACT!B:B, "2016",historical_events_FACT!C:C, "11" )</f>
        <v>23.54</v>
      </c>
      <c r="T23" s="3">
        <f>COUNTIFS(historical_events_FACT!G:G, B23,historical_events_FACT!B:B, "2016",historical_events_FACT!C:C, "11" )</f>
        <v>3</v>
      </c>
      <c r="U23" s="3">
        <f>MAXIFS( historical_events_FACT!J:J, historical_events_FACT!G:G, B23,historical_events_FACT!C:C, "11" )</f>
        <v>15.2</v>
      </c>
      <c r="V23" s="97">
        <f t="array" ref="V23">ROUND(AVERAGEIF({ IFERROR(XLOOKUP(B23, 'Surfer Stats - Event 10'!B:B, 'Surfer Stats - Event 10'!Y:Y), ""), IFERROR(XLOOKUP(B23, 'Surfer Stats - Event 8'!B:B, 'Surfer Stats - Event 8'!Y:Y), ""), IFERROR(XLOOKUP(B23, 'Surfer Stats - Event 9'!B:B, 'Surfer Stats - Event 9'!Y:Y), "") }, "&lt;&gt;"),2)</f>
        <v>36.33</v>
      </c>
      <c r="W23" s="3">
        <f t="array" ref="W23">XLOOKUP(B23, 'Surfer Stats - Event 10'!B:B, 'Surfer Stats - Event 10'!Y:Y)</f>
        <v>16.04</v>
      </c>
      <c r="X23" s="75">
        <f>4000+1750+5200+1750+1750+4000+1750+500</f>
        <v>20700</v>
      </c>
      <c r="Y23" s="3">
        <f t="array" ref="Y23">XLOOKUP(B23,'Event 11 Assist'!A:A, 'Event 11 Assist'!E:E)</f>
        <v>20.3</v>
      </c>
    </row>
    <row r="24">
      <c r="A24" s="10">
        <v>1.0</v>
      </c>
      <c r="B24" s="66" t="s">
        <v>54</v>
      </c>
      <c r="C24" s="3" t="str">
        <f t="array" ref="C24">XLOOKUP(B24, 'Surfer Stats - Event 4'!B:B, 'Surfer Stats - Event 4'!D:D)</f>
        <v>Goofy</v>
      </c>
      <c r="D24" s="3">
        <f t="shared" si="1"/>
        <v>6</v>
      </c>
      <c r="E24" s="10">
        <v>0.0</v>
      </c>
      <c r="F24" s="10">
        <v>0.0</v>
      </c>
      <c r="G24" s="10">
        <v>99.0</v>
      </c>
      <c r="H24" s="10">
        <v>13.0</v>
      </c>
      <c r="I24" s="10">
        <v>25.0</v>
      </c>
      <c r="J24" s="3">
        <f>COUNTIFS( historical_events_FACT!J:J, "&gt;16", historical_events_FACT!G:G, B24,historical_events_FACT!C:C, "11" )</f>
        <v>0</v>
      </c>
      <c r="K24" s="3">
        <f t="shared" si="2"/>
        <v>5.18</v>
      </c>
      <c r="L24" s="3">
        <f t="shared" si="3"/>
        <v>6.47</v>
      </c>
      <c r="M24" s="10">
        <v>6.47</v>
      </c>
      <c r="N24" s="10">
        <v>1.0</v>
      </c>
      <c r="O24" s="3">
        <f t="shared" si="4"/>
        <v>2.99</v>
      </c>
      <c r="P24" s="3">
        <f>SUMIFS( historical_events_FACT!J:J, historical_events_FACT!G:G, B24,historical_events_FACT!B:B, "2015",historical_events_FACT!C:C, "11" )</f>
        <v>5.97</v>
      </c>
      <c r="Q24" s="3">
        <f>COUNTIFS(historical_events_FACT!G:G, B24,historical_events_FACT!B:B, "2015",historical_events_FACT!C:C, "11" )</f>
        <v>2</v>
      </c>
      <c r="R24" s="3">
        <f t="shared" si="5"/>
        <v>6.22</v>
      </c>
      <c r="S24" s="3">
        <f>SUMIFS( historical_events_FACT!J:J, historical_events_FACT!G:G, B24,historical_events_FACT!B:B, "2016",historical_events_FACT!C:C, "11" )</f>
        <v>18.66</v>
      </c>
      <c r="T24" s="3">
        <f>COUNTIFS(historical_events_FACT!G:G, B24,historical_events_FACT!B:B, "2016",historical_events_FACT!C:C, "11" )</f>
        <v>3</v>
      </c>
      <c r="U24" s="3">
        <f>MAXIFS( historical_events_FACT!J:J, historical_events_FACT!G:G, B24,historical_events_FACT!C:C, "11" )</f>
        <v>8.6</v>
      </c>
      <c r="V24" s="97">
        <f t="array" ref="V24">ROUND(AVERAGEIF({ IFERROR(XLOOKUP(B24, 'Surfer Stats - Event 10'!B:B, 'Surfer Stats - Event 10'!Y:Y), ""), IFERROR(XLOOKUP(B24, 'Surfer Stats - Event 8'!B:B, 'Surfer Stats - Event 8'!Y:Y), ""), IFERROR(XLOOKUP(B24, 'Surfer Stats - Event 9'!B:B, 'Surfer Stats - Event 9'!Y:Y), "") }, "&lt;&gt;"),2)</f>
        <v>20.25</v>
      </c>
      <c r="W24" s="3">
        <f t="array" ref="W24">XLOOKUP(B24, 'Surfer Stats - Event 10'!B:B, 'Surfer Stats - Event 10'!Y:Y)</f>
        <v>6.77</v>
      </c>
      <c r="X24" s="75">
        <f>5000+4000+1750+500+5200+1750+500+500+500</f>
        <v>19700</v>
      </c>
      <c r="Y24" s="3">
        <f t="array" ref="Y24">XLOOKUP(B24,'Event 11 Assist'!A:A, 'Event 11 Assist'!E:E)</f>
        <v>10.76</v>
      </c>
    </row>
    <row r="25">
      <c r="A25" s="10">
        <v>1.0</v>
      </c>
      <c r="B25" s="66" t="s">
        <v>55</v>
      </c>
      <c r="C25" s="3" t="str">
        <f t="array" ref="C25">XLOOKUP(B25, 'Surfer Stats - Event 4'!B:B, 'Surfer Stats - Event 4'!D:D)</f>
        <v>Goofy</v>
      </c>
      <c r="D25" s="3">
        <f t="shared" si="1"/>
        <v>7</v>
      </c>
      <c r="E25" s="10">
        <v>0.0</v>
      </c>
      <c r="F25" s="10">
        <v>0.0</v>
      </c>
      <c r="G25" s="10">
        <v>13.0</v>
      </c>
      <c r="H25" s="10">
        <v>13.0</v>
      </c>
      <c r="I25" s="10">
        <v>25.0</v>
      </c>
      <c r="J25" s="3">
        <f>COUNTIFS( historical_events_FACT!J:J, "&gt;16", historical_events_FACT!G:G, B25,historical_events_FACT!C:C, "11" )</f>
        <v>0</v>
      </c>
      <c r="K25" s="3">
        <f t="shared" si="2"/>
        <v>6.52</v>
      </c>
      <c r="L25" s="3">
        <f t="shared" si="3"/>
        <v>5.19</v>
      </c>
      <c r="M25" s="3">
        <f>SUMIFS( '2014Data'!I:I, '2014Data'!F:F, B25,'2014Data'!B:B, "11" )</f>
        <v>15.57</v>
      </c>
      <c r="N25" s="3">
        <f>COUNTIFS('2014Data'!F:F, B25,'2014Data'!B:B, "11" )</f>
        <v>3</v>
      </c>
      <c r="O25" s="3">
        <f t="shared" si="4"/>
        <v>4.97</v>
      </c>
      <c r="P25" s="3">
        <f>SUMIFS( historical_events_FACT!J:J, historical_events_FACT!G:G, B25,historical_events_FACT!B:B, "2015",historical_events_FACT!C:C, "11" )</f>
        <v>9.94</v>
      </c>
      <c r="Q25" s="3">
        <f>COUNTIFS(historical_events_FACT!G:G, B25,historical_events_FACT!B:B, "2015",historical_events_FACT!C:C, "11" )</f>
        <v>2</v>
      </c>
      <c r="R25" s="3">
        <f t="shared" si="5"/>
        <v>10.07</v>
      </c>
      <c r="S25" s="3">
        <f>SUMIFS( historical_events_FACT!J:J, historical_events_FACT!G:G, B25,historical_events_FACT!B:B, "2016",historical_events_FACT!C:C, "11" )</f>
        <v>20.14</v>
      </c>
      <c r="T25" s="3">
        <f>COUNTIFS(historical_events_FACT!G:G, B25,historical_events_FACT!B:B, "2016",historical_events_FACT!C:C, "11" )</f>
        <v>2</v>
      </c>
      <c r="U25" s="3">
        <f>MAXIFS( historical_events_FACT!J:J, historical_events_FACT!G:G, B25,historical_events_FACT!C:C, "11" )</f>
        <v>11.4</v>
      </c>
      <c r="V25" s="97">
        <f t="array" ref="V25">ROUND(AVERAGEIF({ IFERROR(XLOOKUP(B25, 'Surfer Stats - Event 10'!B:B, 'Surfer Stats - Event 10'!Y:Y), ""), IFERROR(XLOOKUP(B25, 'Surfer Stats - Event 8'!B:B, 'Surfer Stats - Event 8'!Y:Y), ""), IFERROR(XLOOKUP(B25, 'Surfer Stats - Event 9'!B:B, 'Surfer Stats - Event 9'!Y:Y), "") }, "&lt;&gt;"),2)</f>
        <v>51.16</v>
      </c>
      <c r="W25" s="3">
        <f t="array" ref="W25">XLOOKUP(B25, 'Surfer Stats - Event 10'!B:B, 'Surfer Stats - Event 10'!Y:Y)</f>
        <v>50.75</v>
      </c>
      <c r="X25" s="75">
        <f>500+4000+1750+500+500+1750+5200+5200</f>
        <v>19400</v>
      </c>
      <c r="Y25" s="3">
        <f t="array" ref="Y25">XLOOKUP(B25,'Event 11 Assist'!A:A, 'Event 11 Assist'!E:E)</f>
        <v>20.3</v>
      </c>
    </row>
    <row r="26">
      <c r="A26" s="10">
        <v>1.0</v>
      </c>
      <c r="B26" s="66" t="s">
        <v>17</v>
      </c>
      <c r="C26" s="3" t="str">
        <f t="array" ref="C26">XLOOKUP(B26, 'Surfer Stats - Event 4'!B:B, 'Surfer Stats - Event 4'!D:D)</f>
        <v>Goofy</v>
      </c>
      <c r="D26" s="3">
        <f t="shared" si="1"/>
        <v>6</v>
      </c>
      <c r="E26" s="10">
        <v>0.0</v>
      </c>
      <c r="F26" s="10">
        <v>0.0</v>
      </c>
      <c r="G26" s="10">
        <v>99.0</v>
      </c>
      <c r="H26" s="10">
        <v>13.0</v>
      </c>
      <c r="I26" s="10">
        <v>13.0</v>
      </c>
      <c r="J26" s="3">
        <f>COUNTIFS( historical_events_FACT!J:J, "&gt;16", historical_events_FACT!G:G, B26,historical_events_FACT!C:C, "11" )</f>
        <v>0</v>
      </c>
      <c r="K26" s="3">
        <f t="shared" si="2"/>
        <v>9.77</v>
      </c>
      <c r="L26" s="3">
        <f t="shared" si="3"/>
        <v>9.47</v>
      </c>
      <c r="M26" s="10">
        <v>18.94</v>
      </c>
      <c r="N26" s="10">
        <v>2.0</v>
      </c>
      <c r="O26" s="3">
        <f t="shared" si="4"/>
        <v>9.42</v>
      </c>
      <c r="P26" s="3">
        <f>SUMIFS( historical_events_FACT!J:J, historical_events_FACT!G:G, B26,historical_events_FACT!B:B, "2015",historical_events_FACT!C:C, "11" )</f>
        <v>18.83</v>
      </c>
      <c r="Q26" s="3">
        <f>COUNTIFS(historical_events_FACT!G:G, B26,historical_events_FACT!B:B, "2015",historical_events_FACT!C:C, "11" )</f>
        <v>2</v>
      </c>
      <c r="R26" s="3">
        <f t="shared" si="5"/>
        <v>10.42</v>
      </c>
      <c r="S26" s="3">
        <f>SUMIFS( historical_events_FACT!J:J, historical_events_FACT!G:G, B26,historical_events_FACT!B:B, "2016",historical_events_FACT!C:C, "11" )</f>
        <v>20.84</v>
      </c>
      <c r="T26" s="3">
        <f>COUNTIFS(historical_events_FACT!G:G, B26,historical_events_FACT!B:B, "2016",historical_events_FACT!C:C, "11" )</f>
        <v>2</v>
      </c>
      <c r="U26" s="3">
        <f>MAXIFS( historical_events_FACT!J:J, historical_events_FACT!G:G, B26,historical_events_FACT!C:C, "11" )</f>
        <v>14.26</v>
      </c>
      <c r="V26" s="97">
        <f t="array" ref="V26">ROUND(AVERAGEIF({ IFERROR(XLOOKUP(B26, 'Surfer Stats - Event 10'!B:B, 'Surfer Stats - Event 10'!Y:Y), ""), IFERROR(XLOOKUP(B26, 'Surfer Stats - Event 8'!B:B, 'Surfer Stats - Event 8'!Y:Y), ""), IFERROR(XLOOKUP(B26, 'Surfer Stats - Event 9'!B:B, 'Surfer Stats - Event 9'!Y:Y), "") }, "&lt;&gt;"),2)</f>
        <v>28.73</v>
      </c>
      <c r="W26" s="3">
        <f t="array" ref="W26">XLOOKUP(B26, 'Surfer Stats - Event 10'!B:B, 'Surfer Stats - Event 10'!Y:Y)</f>
        <v>26.13</v>
      </c>
      <c r="X26" s="75">
        <f>6200+500+4000+1750+1750+1750+500+1750</f>
        <v>18200</v>
      </c>
      <c r="Y26" s="3">
        <f t="array" ref="Y26">XLOOKUP(B26,'Event 11 Assist'!A:A, 'Event 11 Assist'!E:E)</f>
        <v>45.83</v>
      </c>
    </row>
    <row r="27">
      <c r="A27" s="10">
        <v>1.0</v>
      </c>
      <c r="B27" s="51" t="s">
        <v>66</v>
      </c>
      <c r="C27" s="10" t="s">
        <v>244</v>
      </c>
      <c r="D27" s="3">
        <f t="shared" si="1"/>
        <v>5</v>
      </c>
      <c r="E27" s="10">
        <v>0.0</v>
      </c>
      <c r="F27" s="10">
        <v>0.0</v>
      </c>
      <c r="G27" s="10">
        <v>99.0</v>
      </c>
      <c r="H27" s="10">
        <v>99.0</v>
      </c>
      <c r="I27" s="10">
        <v>99.0</v>
      </c>
      <c r="J27" s="3">
        <f>COUNTIFS( historical_events_FACT!J:J, "&gt;16", historical_events_FACT!G:G, B27,historical_events_FACT!C:C, "11" )</f>
        <v>0</v>
      </c>
      <c r="K27" s="3">
        <f t="shared" si="2"/>
        <v>10.31</v>
      </c>
      <c r="L27" s="3">
        <f t="shared" si="3"/>
        <v>11.42</v>
      </c>
      <c r="M27" s="10">
        <v>22.84</v>
      </c>
      <c r="N27" s="10">
        <v>2.0</v>
      </c>
      <c r="O27" s="3">
        <f t="shared" si="4"/>
        <v>9.95</v>
      </c>
      <c r="P27" s="10">
        <v>19.9</v>
      </c>
      <c r="Q27" s="10">
        <v>2.0</v>
      </c>
      <c r="R27" s="3">
        <f t="shared" si="5"/>
        <v>8.8</v>
      </c>
      <c r="S27" s="10">
        <v>8.8</v>
      </c>
      <c r="T27" s="10">
        <v>1.0</v>
      </c>
      <c r="U27" s="3">
        <f>MAXIFS( historical_events_FACT!J:J, historical_events_FACT!G:G, B27,historical_events_FACT!C:C, "11" )</f>
        <v>0</v>
      </c>
      <c r="V27" s="97">
        <f t="array" ref="V27">ROUND(AVERAGEIF({ IFERROR(XLOOKUP(B27, 'Surfer Stats - Event 10'!B:B, 'Surfer Stats - Event 10'!Y:Y), ""), IFERROR(XLOOKUP(B27, 'Surfer Stats - Event 8'!B:B, 'Surfer Stats - Event 8'!Y:Y), ""), IFERROR(XLOOKUP(B27, 'Surfer Stats - Event 9'!B:B, 'Surfer Stats - Event 9'!Y:Y), "") }, "&lt;&gt;"),2)</f>
        <v>35.92</v>
      </c>
      <c r="W27" s="3">
        <f t="array" ref="W27">XLOOKUP(B27, 'Surfer Stats - Event 10'!B:B, 'Surfer Stats - Event 10'!Y:Y)</f>
        <v>47.9</v>
      </c>
      <c r="X27" s="75">
        <f>1500+500+5200+1750+500+500+1750+4000</f>
        <v>15700</v>
      </c>
      <c r="Y27" s="3">
        <f t="array" ref="Y27">XLOOKUP(B27,'Event 11 Assist'!A:A, 'Event 11 Assist'!E:E)</f>
        <v>42.98</v>
      </c>
    </row>
    <row r="28">
      <c r="A28" s="10">
        <v>1.0</v>
      </c>
      <c r="B28" s="66" t="s">
        <v>69</v>
      </c>
      <c r="C28" s="3" t="str">
        <f t="array" ref="C28">XLOOKUP(B28, 'Surfer Stats - Event 4'!B:B, 'Surfer Stats - Event 4'!D:D)</f>
        <v>Regular</v>
      </c>
      <c r="D28" s="3">
        <f t="shared" si="1"/>
        <v>7</v>
      </c>
      <c r="E28" s="10">
        <v>1.0</v>
      </c>
      <c r="F28" s="10">
        <v>1.0</v>
      </c>
      <c r="G28" s="10">
        <v>99.0</v>
      </c>
      <c r="H28" s="10">
        <v>99.0</v>
      </c>
      <c r="I28" s="10">
        <v>99.0</v>
      </c>
      <c r="J28" s="3">
        <f>COUNTIFS( historical_events_FACT!J:J, "&gt;16", historical_events_FACT!G:G, B28,historical_events_FACT!C:C, "11" )</f>
        <v>0</v>
      </c>
      <c r="K28" s="3">
        <f t="shared" si="2"/>
        <v>10.71</v>
      </c>
      <c r="L28" s="3">
        <f t="shared" si="3"/>
        <v>9.81</v>
      </c>
      <c r="M28" s="10">
        <v>19.61</v>
      </c>
      <c r="N28" s="10">
        <v>2.0</v>
      </c>
      <c r="O28" s="3">
        <f t="shared" si="4"/>
        <v>11.34</v>
      </c>
      <c r="P28" s="10">
        <v>11.34</v>
      </c>
      <c r="Q28" s="10">
        <v>1.0</v>
      </c>
      <c r="R28" s="3">
        <f t="shared" si="5"/>
        <v>11.01</v>
      </c>
      <c r="S28" s="10">
        <v>44.03</v>
      </c>
      <c r="T28" s="10">
        <v>4.0</v>
      </c>
      <c r="U28" s="10">
        <v>13.67</v>
      </c>
      <c r="V28" s="97">
        <f t="array" ref="V28">ROUND(AVERAGEIF({ IFERROR(XLOOKUP(B28, 'Surfer Stats - Event 10'!B:B, 'Surfer Stats - Event 10'!Y:Y), ""), IFERROR(XLOOKUP(B28, 'Surfer Stats - Event 8'!B:B, 'Surfer Stats - Event 8'!Y:Y), ""), IFERROR(XLOOKUP(B28, 'Surfer Stats - Event 9'!B:B, 'Surfer Stats - Event 9'!Y:Y), "") }, "&lt;&gt;"),2)</f>
        <v>26.69</v>
      </c>
      <c r="W28" s="3">
        <f t="array" ref="W28">XLOOKUP(B28, 'Surfer Stats - Event 10'!B:B, 'Surfer Stats - Event 10'!Y:Y)</f>
        <v>10.87</v>
      </c>
      <c r="X28" s="75">
        <f>8750+500+500+1750+500+1750+500+500</f>
        <v>14750</v>
      </c>
      <c r="Y28" s="3">
        <f t="array" ref="Y28">XLOOKUP(B28,'Event 11 Assist'!A:A, 'Event 11 Assist'!E:E)</f>
        <v>18.84</v>
      </c>
    </row>
    <row r="29">
      <c r="A29" s="10">
        <v>1.0</v>
      </c>
      <c r="B29" s="66" t="s">
        <v>67</v>
      </c>
      <c r="C29" s="3" t="str">
        <f t="array" ref="C29">XLOOKUP(B29, 'Surfer Stats - Event 4'!B:B, 'Surfer Stats - Event 4'!D:D)</f>
        <v>Goofy</v>
      </c>
      <c r="D29" s="3">
        <f t="shared" si="1"/>
        <v>4</v>
      </c>
      <c r="E29" s="10">
        <v>0.0</v>
      </c>
      <c r="F29" s="10">
        <v>0.0</v>
      </c>
      <c r="G29" s="10">
        <v>99.0</v>
      </c>
      <c r="H29" s="10">
        <v>99.0</v>
      </c>
      <c r="I29" s="10">
        <v>99.0</v>
      </c>
      <c r="J29" s="3">
        <f>COUNTIFS( historical_events_FACT!J:J, "&gt;16", historical_events_FACT!G:G, B29,historical_events_FACT!C:C, "11" )</f>
        <v>0</v>
      </c>
      <c r="K29" s="3">
        <f t="shared" si="2"/>
        <v>8.46</v>
      </c>
      <c r="L29" s="3">
        <f t="shared" si="3"/>
        <v>9.5</v>
      </c>
      <c r="M29" s="10">
        <v>9.5</v>
      </c>
      <c r="N29" s="10">
        <v>1.0</v>
      </c>
      <c r="O29" s="3">
        <f t="shared" si="4"/>
        <v>5.67</v>
      </c>
      <c r="P29" s="10">
        <v>5.67</v>
      </c>
      <c r="Q29" s="10">
        <v>1.0</v>
      </c>
      <c r="R29" s="3">
        <f t="shared" si="5"/>
        <v>9.33</v>
      </c>
      <c r="S29" s="10">
        <v>18.66</v>
      </c>
      <c r="T29" s="10">
        <v>2.0</v>
      </c>
      <c r="U29" s="10">
        <v>11.13</v>
      </c>
      <c r="V29" s="97">
        <f t="array" ref="V29">ROUND(AVERAGEIF({ IFERROR(XLOOKUP(B29, 'Surfer Stats - Event 10'!B:B, 'Surfer Stats - Event 10'!Y:Y), ""), IFERROR(XLOOKUP(B29, 'Surfer Stats - Event 8'!B:B, 'Surfer Stats - Event 8'!Y:Y), ""), IFERROR(XLOOKUP(B29, 'Surfer Stats - Event 9'!B:B, 'Surfer Stats - Event 9'!Y:Y), "") }, "&lt;&gt;"),2)</f>
        <v>20.67</v>
      </c>
      <c r="W29" s="3">
        <f t="array" ref="W29">XLOOKUP(B29, 'Surfer Stats - Event 10'!B:B, 'Surfer Stats - Event 10'!Y:Y)</f>
        <v>10.47</v>
      </c>
      <c r="X29" s="75">
        <f>4000+1750+4000+500+1750+500+1750+500</f>
        <v>14750</v>
      </c>
      <c r="Y29" s="3">
        <f t="array" ref="Y29">XLOOKUP(B29,'Event 11 Assist'!A:A, 'Event 11 Assist'!E:E)</f>
        <v>64.19</v>
      </c>
    </row>
    <row r="30">
      <c r="A30" s="10">
        <v>1.0</v>
      </c>
      <c r="B30" s="66" t="s">
        <v>37</v>
      </c>
      <c r="C30" s="3" t="str">
        <f t="array" ref="C30">XLOOKUP(B30, 'Surfer Stats - Event 4'!B:B, 'Surfer Stats - Event 4'!D:D)</f>
        <v>Regular</v>
      </c>
      <c r="D30" s="3">
        <f t="shared" si="1"/>
        <v>15</v>
      </c>
      <c r="E30" s="10">
        <v>0.0</v>
      </c>
      <c r="F30" s="10">
        <v>0.0</v>
      </c>
      <c r="G30" s="10">
        <v>13.0</v>
      </c>
      <c r="H30" s="10">
        <v>3.0</v>
      </c>
      <c r="I30" s="10">
        <v>5.0</v>
      </c>
      <c r="J30" s="3">
        <f>COUNTIFS( historical_events_FACT!J:J, "&gt;16", historical_events_FACT!G:G, B30,historical_events_FACT!C:C, "11" )</f>
        <v>3</v>
      </c>
      <c r="K30" s="3">
        <f t="shared" si="2"/>
        <v>13.03</v>
      </c>
      <c r="L30" s="3">
        <f t="shared" si="3"/>
        <v>15.3</v>
      </c>
      <c r="M30" s="3">
        <f>SUMIFS( '2014Data'!I:I, '2014Data'!F:F, B30,'2014Data'!B:B, "11" )</f>
        <v>45.9</v>
      </c>
      <c r="N30" s="3">
        <f>COUNTIFS('2014Data'!F:F, B30,'2014Data'!B:B, "11" )</f>
        <v>3</v>
      </c>
      <c r="O30" s="3">
        <f t="shared" si="4"/>
        <v>13.09</v>
      </c>
      <c r="P30" s="3">
        <f>SUMIFS( historical_events_FACT!J:J, historical_events_FACT!G:G, B30,historical_events_FACT!B:B, "2015",historical_events_FACT!C:C, "11" )</f>
        <v>78.51</v>
      </c>
      <c r="Q30" s="3">
        <f>COUNTIFS(historical_events_FACT!G:G, B30,historical_events_FACT!B:B, "2015",historical_events_FACT!C:C, "11" )</f>
        <v>6</v>
      </c>
      <c r="R30" s="3">
        <f t="shared" si="5"/>
        <v>11.83</v>
      </c>
      <c r="S30" s="3">
        <f>SUMIFS( historical_events_FACT!J:J, historical_events_FACT!G:G, B30,historical_events_FACT!B:B, "2016",historical_events_FACT!C:C, "11" )</f>
        <v>70.997</v>
      </c>
      <c r="T30" s="3">
        <f>COUNTIFS(historical_events_FACT!G:G, B30,historical_events_FACT!B:B, "2016",historical_events_FACT!C:C, "11" )</f>
        <v>6</v>
      </c>
      <c r="U30" s="3">
        <f>MAXIFS( historical_events_FACT!J:J, historical_events_FACT!G:G, B30,historical_events_FACT!C:C, "11" )</f>
        <v>17.07</v>
      </c>
      <c r="V30" s="99">
        <v>23.67</v>
      </c>
      <c r="W30" s="3">
        <f t="array" ref="W30">XLOOKUP(B30, 'Surfer Stats - Event 6'!B:B, 'Surfer Stats - Event 6'!Y:Y)</f>
        <v>16.27</v>
      </c>
      <c r="X30" s="75">
        <f>8700+500+1750+1750+500+500+500+500</f>
        <v>14700</v>
      </c>
      <c r="Y30" s="3">
        <f t="array" ref="Y30">XLOOKUP(B30,'Event 11 Assist'!A:A, 'Event 11 Assist'!E:E)</f>
        <v>37.94</v>
      </c>
    </row>
    <row r="31">
      <c r="A31" s="10">
        <v>1.0</v>
      </c>
      <c r="B31" s="66" t="s">
        <v>68</v>
      </c>
      <c r="C31" s="3" t="str">
        <f t="array" ref="C31">XLOOKUP(B31, 'Surfer Stats - Event 4'!B:B, 'Surfer Stats - Event 4'!D:D)</f>
        <v>Regular</v>
      </c>
      <c r="D31" s="3">
        <f t="shared" si="1"/>
        <v>6</v>
      </c>
      <c r="E31" s="10">
        <v>0.0</v>
      </c>
      <c r="F31" s="10">
        <v>0.0</v>
      </c>
      <c r="G31" s="10">
        <v>99.0</v>
      </c>
      <c r="H31" s="10">
        <v>25.0</v>
      </c>
      <c r="I31" s="10">
        <v>99.0</v>
      </c>
      <c r="J31" s="3">
        <f>COUNTIFS( historical_events_FACT!J:J, "&gt;16", historical_events_FACT!G:G, B31,historical_events_FACT!C:C, "11" )</f>
        <v>0</v>
      </c>
      <c r="K31" s="3">
        <f t="shared" si="2"/>
        <v>13.22</v>
      </c>
      <c r="L31" s="3">
        <f t="shared" si="3"/>
        <v>12.43</v>
      </c>
      <c r="M31" s="10">
        <v>12.43</v>
      </c>
      <c r="N31" s="10">
        <v>1.0</v>
      </c>
      <c r="O31" s="3">
        <f t="shared" si="4"/>
        <v>14.63</v>
      </c>
      <c r="P31" s="10">
        <v>43.9</v>
      </c>
      <c r="Q31" s="10">
        <v>3.0</v>
      </c>
      <c r="R31" s="3">
        <f t="shared" si="5"/>
        <v>11.5</v>
      </c>
      <c r="S31" s="3">
        <f>SUMIFS( historical_events_FACT!J:J, historical_events_FACT!G:G, B31,historical_events_FACT!B:B, "2016",historical_events_FACT!C:C, "11" )</f>
        <v>23</v>
      </c>
      <c r="T31" s="3">
        <f>COUNTIFS(historical_events_FACT!G:G, B31,historical_events_FACT!B:B, "2016",historical_events_FACT!C:C, "11" )</f>
        <v>2</v>
      </c>
      <c r="U31" s="3">
        <f>MAXIFS( historical_events_FACT!J:J, historical_events_FACT!G:G, B31,historical_events_FACT!C:C, "11" )</f>
        <v>13.93</v>
      </c>
      <c r="V31" s="97">
        <f t="array" ref="V31">ROUND(AVERAGEIF({ IFERROR(XLOOKUP(B31, 'Surfer Stats - Event 10'!B:B, 'Surfer Stats - Event 10'!Y:Y), ""), IFERROR(XLOOKUP(B31, 'Surfer Stats - Event 8'!B:B, 'Surfer Stats - Event 8'!Y:Y), ""), IFERROR(XLOOKUP(B31, 'Surfer Stats - Event 9'!B:B, 'Surfer Stats - Event 9'!Y:Y), "") }, "&lt;&gt;"),2)</f>
        <v>24.1</v>
      </c>
      <c r="W31" s="3">
        <f t="array" ref="W31">XLOOKUP(B31, 'Surfer Stats - Event 10'!B:B, 'Surfer Stats - Event 10'!Y:Y)</f>
        <v>21.9</v>
      </c>
      <c r="X31" s="75">
        <f>7500+500+500+1750+500+500+500+1750</f>
        <v>13500</v>
      </c>
      <c r="Y31" s="3">
        <f t="array" ref="Y31">XLOOKUP(B31,'Event 11 Assist'!A:A, 'Event 11 Assist'!E:E)</f>
        <v>22</v>
      </c>
    </row>
    <row r="32">
      <c r="A32" s="10">
        <v>0.0</v>
      </c>
      <c r="B32" s="82" t="s">
        <v>56</v>
      </c>
      <c r="C32" s="3" t="str">
        <f t="array" ref="C32">XLOOKUP(B32, 'Surfer Stats - Event 4'!B:B, 'Surfer Stats - Event 4'!D:D)</f>
        <v>Goofy</v>
      </c>
      <c r="D32" s="3">
        <f t="shared" si="1"/>
        <v>10</v>
      </c>
      <c r="E32" s="10">
        <v>0.0</v>
      </c>
      <c r="F32" s="10">
        <v>0.0</v>
      </c>
      <c r="G32" s="10">
        <v>13.0</v>
      </c>
      <c r="H32" s="10">
        <v>9.0</v>
      </c>
      <c r="I32" s="10">
        <v>25.0</v>
      </c>
      <c r="J32" s="3">
        <f>COUNTIFS( historical_events_FACT!J:J, "&gt;16", historical_events_FACT!G:G, B32,historical_events_FACT!C:C, "11" )</f>
        <v>1</v>
      </c>
      <c r="K32" s="3">
        <f t="shared" si="2"/>
        <v>8.37</v>
      </c>
      <c r="L32" s="3">
        <f t="shared" si="3"/>
        <v>6.61</v>
      </c>
      <c r="M32" s="3">
        <f>SUMIFS( '2014Data'!I:I, '2014Data'!F:F, B32,'2014Data'!B:B, "11" )</f>
        <v>19.84</v>
      </c>
      <c r="N32" s="3">
        <f>COUNTIFS('2014Data'!F:F, B32,'2014Data'!B:B, "11" )</f>
        <v>3</v>
      </c>
      <c r="O32" s="3">
        <f t="shared" si="4"/>
        <v>7.24</v>
      </c>
      <c r="P32" s="3">
        <f>SUMIFS( historical_events_FACT!J:J, historical_events_FACT!G:G, B32,historical_events_FACT!B:B, "2015",historical_events_FACT!C:C, "11" )</f>
        <v>14.47</v>
      </c>
      <c r="Q32" s="3">
        <f>COUNTIFS(historical_events_FACT!G:G, B32,historical_events_FACT!B:B, "2015",historical_events_FACT!C:C, "11" )</f>
        <v>2</v>
      </c>
      <c r="R32" s="3">
        <f t="shared" si="5"/>
        <v>9.88</v>
      </c>
      <c r="S32" s="3">
        <f>SUMIFS( historical_events_FACT!J:J, historical_events_FACT!G:G, B32,historical_events_FACT!B:B, "2016",historical_events_FACT!C:C, "11" )</f>
        <v>49.41</v>
      </c>
      <c r="T32" s="3">
        <f>COUNTIFS(historical_events_FACT!G:G, B32,historical_events_FACT!B:B, "2016",historical_events_FACT!C:C, "11" )</f>
        <v>5</v>
      </c>
      <c r="U32" s="3">
        <f>MAXIFS( historical_events_FACT!J:J, historical_events_FACT!G:G, B32,historical_events_FACT!C:C, "11" )</f>
        <v>16.17</v>
      </c>
      <c r="V32" s="97">
        <f t="array" ref="V32">ROUND(AVERAGEIF({ IFERROR(XLOOKUP(B32, 'Surfer Stats - Event 10'!B:B, 'Surfer Stats - Event 10'!Y:Y), ""), IFERROR(XLOOKUP(B32, 'Surfer Stats - Event 8'!B:B, 'Surfer Stats - Event 8'!Y:Y), ""), IFERROR(XLOOKUP(B32, 'Surfer Stats - Event 9'!B:B, 'Surfer Stats - Event 9'!Y:Y), "") }, "&lt;&gt;"),2)</f>
        <v>27.66</v>
      </c>
      <c r="W32" s="3">
        <f t="array" ref="W32">XLOOKUP(B32, 'Surfer Stats - Event 10'!B:B, 'Surfer Stats - Event 10'!Y:Y)</f>
        <v>12.14</v>
      </c>
      <c r="X32" s="83">
        <f>4000+1750+500+1750+500+4000+500</f>
        <v>13000</v>
      </c>
      <c r="Y32" s="3" t="str">
        <f t="array" ref="Y32">XLOOKUP(B32,'Event 11 Assist'!A:A, 'Event 11 Assist'!E:E)</f>
        <v/>
      </c>
    </row>
    <row r="33">
      <c r="A33" s="10">
        <v>1.0</v>
      </c>
      <c r="B33" s="66" t="s">
        <v>35</v>
      </c>
      <c r="C33" s="3" t="str">
        <f t="array" ref="C33">XLOOKUP(B33, 'Surfer Stats - Event 4'!B:B, 'Surfer Stats - Event 4'!D:D)</f>
        <v>Goofy</v>
      </c>
      <c r="D33" s="3">
        <f t="shared" si="1"/>
        <v>7</v>
      </c>
      <c r="E33" s="10">
        <v>0.0</v>
      </c>
      <c r="F33" s="10">
        <v>0.0</v>
      </c>
      <c r="G33" s="10">
        <v>13.0</v>
      </c>
      <c r="H33" s="10">
        <v>25.0</v>
      </c>
      <c r="I33" s="10">
        <v>25.0</v>
      </c>
      <c r="J33" s="3">
        <f>COUNTIFS( historical_events_FACT!J:J, "&gt;16", historical_events_FACT!G:G, B33,historical_events_FACT!C:C, "11" )</f>
        <v>0</v>
      </c>
      <c r="K33" s="3">
        <f t="shared" si="2"/>
        <v>7.6</v>
      </c>
      <c r="L33" s="3">
        <f t="shared" si="3"/>
        <v>8.16</v>
      </c>
      <c r="M33" s="3">
        <f>SUMIFS( '2014Data'!I:I, '2014Data'!F:F, B33,'2014Data'!B:B, "11" )</f>
        <v>24.47</v>
      </c>
      <c r="N33" s="3">
        <f>COUNTIFS('2014Data'!F:F, B33,'2014Data'!B:B, "11" )</f>
        <v>3</v>
      </c>
      <c r="O33" s="3">
        <f t="shared" si="4"/>
        <v>6.22</v>
      </c>
      <c r="P33" s="3">
        <f>SUMIFS( historical_events_FACT!J:J, historical_events_FACT!G:G, B33,historical_events_FACT!B:B, "2015",historical_events_FACT!C:C, "11" )</f>
        <v>12.44</v>
      </c>
      <c r="Q33" s="3">
        <f>COUNTIFS(historical_events_FACT!G:G, B33,historical_events_FACT!B:B, "2015",historical_events_FACT!C:C, "11" )</f>
        <v>2</v>
      </c>
      <c r="R33" s="3">
        <f t="shared" si="5"/>
        <v>8.14</v>
      </c>
      <c r="S33" s="3">
        <f>SUMIFS( historical_events_FACT!J:J, historical_events_FACT!G:G, B33,historical_events_FACT!B:B, "2016",historical_events_FACT!C:C, "11" )</f>
        <v>16.27</v>
      </c>
      <c r="T33" s="3">
        <f>COUNTIFS(historical_events_FACT!G:G, B33,historical_events_FACT!B:B, "2016",historical_events_FACT!C:C, "11" )</f>
        <v>2</v>
      </c>
      <c r="U33" s="3">
        <f>MAXIFS( historical_events_FACT!J:J, historical_events_FACT!G:G, B33,historical_events_FACT!C:C, "11" )</f>
        <v>12.7</v>
      </c>
      <c r="V33" s="97">
        <f t="array" ref="V33">ROUND(AVERAGEIF({ IFERROR(XLOOKUP(B33, 'Surfer Stats - Event 10'!B:B, 'Surfer Stats - Event 10'!Y:Y), ""), IFERROR(XLOOKUP(B33, 'Surfer Stats - Event 8'!B:B, 'Surfer Stats - Event 8'!Y:Y), ""), IFERROR(XLOOKUP(B33, 'Surfer Stats - Event 9'!B:B, 'Surfer Stats - Event 9'!Y:Y), "") }, "&lt;&gt;"),2)</f>
        <v>35.5</v>
      </c>
      <c r="W33" s="3">
        <f t="array" ref="W33">XLOOKUP(B33, 'Surfer Stats - Event 10'!B:B, 'Surfer Stats - Event 10'!Y:Y)</f>
        <v>12.73</v>
      </c>
      <c r="X33" s="75">
        <f>2750+1750+500+1750+500+4000+500+500</f>
        <v>12250</v>
      </c>
      <c r="Y33" s="3">
        <f t="array" ref="Y33">XLOOKUP(B33,'Event 11 Assist'!A:A, 'Event 11 Assist'!E:E)</f>
        <v>14.66</v>
      </c>
    </row>
    <row r="34">
      <c r="A34" s="10">
        <v>1.0</v>
      </c>
      <c r="B34" s="66" t="s">
        <v>36</v>
      </c>
      <c r="C34" s="3" t="str">
        <f t="array" ref="C34">XLOOKUP(B34, 'Surfer Stats - Event 4'!B:B, 'Surfer Stats - Event 4'!D:D)</f>
        <v>Regular</v>
      </c>
      <c r="D34" s="3">
        <f t="shared" si="1"/>
        <v>8</v>
      </c>
      <c r="E34" s="10">
        <v>0.0</v>
      </c>
      <c r="F34" s="10">
        <v>0.0</v>
      </c>
      <c r="G34" s="10">
        <v>99.0</v>
      </c>
      <c r="H34" s="10">
        <v>25.0</v>
      </c>
      <c r="I34" s="10">
        <v>99.0</v>
      </c>
      <c r="J34" s="3">
        <f>COUNTIFS( historical_events_FACT!J:J, "&gt;16", historical_events_FACT!G:G, B34,historical_events_FACT!C:C, "11" )</f>
        <v>0</v>
      </c>
      <c r="K34" s="3">
        <f t="shared" si="2"/>
        <v>8.98</v>
      </c>
      <c r="L34" s="3">
        <f t="shared" si="3"/>
        <v>9.5</v>
      </c>
      <c r="M34" s="10">
        <v>9.5</v>
      </c>
      <c r="N34" s="10">
        <v>1.0</v>
      </c>
      <c r="O34" s="3">
        <f t="shared" si="4"/>
        <v>10.11</v>
      </c>
      <c r="P34" s="10">
        <v>50.57</v>
      </c>
      <c r="Q34" s="10">
        <v>5.0</v>
      </c>
      <c r="R34" s="3">
        <f t="shared" si="5"/>
        <v>5.87</v>
      </c>
      <c r="S34" s="3">
        <f>SUMIFS( historical_events_FACT!J:J, historical_events_FACT!G:G, B34,historical_events_FACT!B:B, "2016",historical_events_FACT!C:C, "11" )</f>
        <v>11.73</v>
      </c>
      <c r="T34" s="3">
        <f>COUNTIFS(historical_events_FACT!G:G, B34,historical_events_FACT!B:B, "2016",historical_events_FACT!C:C, "11" )</f>
        <v>2</v>
      </c>
      <c r="U34" s="3">
        <f>MAXIFS( historical_events_FACT!J:J, historical_events_FACT!G:G, B34,historical_events_FACT!C:C, "11" )</f>
        <v>9</v>
      </c>
      <c r="V34" s="97">
        <f t="array" ref="V34">ROUND(AVERAGEIF({ IFERROR(XLOOKUP(B34, 'Surfer Stats - Event 10'!B:B, 'Surfer Stats - Event 10'!Y:Y), ""), IFERROR(XLOOKUP(B34, 'Surfer Stats - Event 8'!B:B, 'Surfer Stats - Event 8'!Y:Y), ""), IFERROR(XLOOKUP(B34, 'Surfer Stats - Event 9'!B:B, 'Surfer Stats - Event 9'!Y:Y), "") }, "&lt;&gt;"),2)</f>
        <v>17.93</v>
      </c>
      <c r="W34" s="3">
        <f t="array" ref="W34">XLOOKUP(B34, 'Surfer Stats - Event 10'!B:B, 'Surfer Stats - Event 10'!Y:Y)</f>
        <v>12.83</v>
      </c>
      <c r="X34" s="75">
        <f>2750+500+4000+500+500+500+1750+500</f>
        <v>11000</v>
      </c>
      <c r="Y34" s="3">
        <f t="array" ref="Y34">XLOOKUP(B34,'Event 11 Assist'!A:A, 'Event 11 Assist'!E:E)</f>
        <v>1.5</v>
      </c>
    </row>
    <row r="35">
      <c r="A35" s="10">
        <v>1.0</v>
      </c>
      <c r="B35" s="66" t="s">
        <v>63</v>
      </c>
      <c r="C35" s="3" t="str">
        <f t="array" ref="C35">XLOOKUP(B35, 'Surfer Stats - Event 4'!B:B, 'Surfer Stats - Event 4'!D:D)</f>
        <v>Regular</v>
      </c>
      <c r="D35" s="3">
        <f t="shared" si="1"/>
        <v>3</v>
      </c>
      <c r="E35" s="10">
        <v>0.0</v>
      </c>
      <c r="F35" s="10">
        <v>0.0</v>
      </c>
      <c r="G35" s="10">
        <v>99.0</v>
      </c>
      <c r="H35" s="10">
        <v>99.0</v>
      </c>
      <c r="I35" s="10">
        <v>99.0</v>
      </c>
      <c r="J35" s="3">
        <f>COUNTIFS( historical_events_FACT!J:J, "&gt;16", historical_events_FACT!G:G, B35,historical_events_FACT!C:C, "11" )</f>
        <v>0</v>
      </c>
      <c r="K35" s="3">
        <f t="shared" si="2"/>
        <v>11.88</v>
      </c>
      <c r="L35" s="3">
        <f t="shared" si="3"/>
        <v>0</v>
      </c>
      <c r="M35" s="3">
        <f>SUMIFS( '2014Data'!I:I, '2014Data'!F:F, B35,'2014Data'!B:B, "11" )</f>
        <v>0</v>
      </c>
      <c r="N35" s="3">
        <f>COUNTIFS('2014Data'!F:F, B35,'2014Data'!B:B, "11" )</f>
        <v>0</v>
      </c>
      <c r="O35" s="3">
        <f t="shared" si="4"/>
        <v>0</v>
      </c>
      <c r="P35" s="3">
        <f>SUMIFS( historical_events_FACT!J:J, historical_events_FACT!G:G, B35,historical_events_FACT!B:B, "2015",historical_events_FACT!C:C, "11" )</f>
        <v>0</v>
      </c>
      <c r="Q35" s="3">
        <f>COUNTIFS(historical_events_FACT!G:G, B35,historical_events_FACT!B:B, "2015",historical_events_FACT!C:C, "11" )</f>
        <v>0</v>
      </c>
      <c r="R35" s="3">
        <f t="shared" si="5"/>
        <v>11.88</v>
      </c>
      <c r="S35" s="10">
        <v>35.63</v>
      </c>
      <c r="T35" s="10">
        <v>3.0</v>
      </c>
      <c r="U35" s="10">
        <v>12.73</v>
      </c>
      <c r="V35" s="97">
        <f t="array" ref="V35">ROUND(AVERAGEIF({ IFERROR(XLOOKUP(B35, 'Surfer Stats - Event 10'!B:B, 'Surfer Stats - Event 10'!Y:Y), ""), IFERROR(XLOOKUP(B35, 'Surfer Stats - Event 8'!B:B, 'Surfer Stats - Event 8'!Y:Y), ""), IFERROR(XLOOKUP(B35, 'Surfer Stats - Event 9'!B:B, 'Surfer Stats - Event 9'!Y:Y), "") }, "&lt;&gt;"),2)</f>
        <v>27.02</v>
      </c>
      <c r="W35" s="3">
        <f t="array" ref="W35">XLOOKUP(B35, 'Surfer Stats - Event 10'!B:B, 'Surfer Stats - Event 10'!Y:Y)</f>
        <v>20.77</v>
      </c>
      <c r="X35" s="75">
        <f>1500+500+500+500+1750+1750+1750+1750</f>
        <v>10000</v>
      </c>
      <c r="Y35" s="3">
        <f t="array" ref="Y35">XLOOKUP(B35,'Event 11 Assist'!A:A, 'Event 11 Assist'!E:E)</f>
        <v>25.34</v>
      </c>
    </row>
    <row r="36">
      <c r="A36" s="10">
        <v>1.0</v>
      </c>
      <c r="B36" s="66" t="s">
        <v>45</v>
      </c>
      <c r="C36" s="3" t="str">
        <f t="array" ref="C36">XLOOKUP(B36, 'Surfer Stats - Event 4'!B:B, 'Surfer Stats - Event 4'!D:D)</f>
        <v>Regular</v>
      </c>
      <c r="D36" s="3">
        <f t="shared" si="1"/>
        <v>16</v>
      </c>
      <c r="E36" s="10">
        <v>0.0</v>
      </c>
      <c r="F36" s="10">
        <v>0.0</v>
      </c>
      <c r="G36" s="10">
        <v>3.0</v>
      </c>
      <c r="H36" s="10">
        <v>5.0</v>
      </c>
      <c r="I36" s="10">
        <v>5.0</v>
      </c>
      <c r="J36" s="3">
        <f>COUNTIFS( historical_events_FACT!J:J, "&gt;16", historical_events_FACT!G:G, B36,historical_events_FACT!C:C, "11" )</f>
        <v>0</v>
      </c>
      <c r="K36" s="3">
        <f t="shared" si="2"/>
        <v>10.03</v>
      </c>
      <c r="L36" s="3">
        <f t="shared" si="3"/>
        <v>9.33</v>
      </c>
      <c r="M36" s="3">
        <f>SUMIFS( '2014Data'!I:I, '2014Data'!F:F, B36,'2014Data'!B:B, "11" )</f>
        <v>56</v>
      </c>
      <c r="N36" s="3">
        <f>COUNTIFS('2014Data'!F:F, B36,'2014Data'!B:B, "11" )</f>
        <v>6</v>
      </c>
      <c r="O36" s="3">
        <f t="shared" si="4"/>
        <v>10.22</v>
      </c>
      <c r="P36" s="3">
        <f>SUMIFS( historical_events_FACT!J:J, historical_events_FACT!G:G, B36,historical_events_FACT!B:B, "2015",historical_events_FACT!C:C, "11" )</f>
        <v>51.12</v>
      </c>
      <c r="Q36" s="3">
        <f>COUNTIFS(historical_events_FACT!G:G, B36,historical_events_FACT!B:B, "2015",historical_events_FACT!C:C, "11" )</f>
        <v>5</v>
      </c>
      <c r="R36" s="3">
        <f t="shared" si="5"/>
        <v>10.67</v>
      </c>
      <c r="S36" s="3">
        <f>SUMIFS( historical_events_FACT!J:J, historical_events_FACT!G:G, B36,historical_events_FACT!B:B, "2016",historical_events_FACT!C:C, "11" )</f>
        <v>53.34</v>
      </c>
      <c r="T36" s="3">
        <f>COUNTIFS(historical_events_FACT!G:G, B36,historical_events_FACT!B:B, "2016",historical_events_FACT!C:C, "11" )</f>
        <v>5</v>
      </c>
      <c r="U36" s="3">
        <f>MAXIFS( historical_events_FACT!J:J, historical_events_FACT!G:G, B36,historical_events_FACT!C:C, "11" )</f>
        <v>14.5</v>
      </c>
      <c r="V36" s="97">
        <f t="array" ref="V36">ROUND(AVERAGEIF({ IFERROR(XLOOKUP(B36, 'Surfer Stats - Event 10'!B:B, 'Surfer Stats - Event 10'!Y:Y), ""), IFERROR(XLOOKUP(B36, 'Surfer Stats - Event 8'!B:B, 'Surfer Stats - Event 8'!Y:Y), ""), IFERROR(XLOOKUP(B36, 'Surfer Stats - Event 9'!B:B, 'Surfer Stats - Event 9'!Y:Y), "") }, "&lt;&gt;"),2)</f>
        <v>37.02</v>
      </c>
      <c r="W36" s="3">
        <f t="array" ref="W36">XLOOKUP(B36, 'Surfer Stats - Event 10'!B:B, 'Surfer Stats - Event 10'!Y:Y)</f>
        <v>47.61</v>
      </c>
      <c r="X36" s="75">
        <f>1500+1750+500+500+500+1750+500+4000</f>
        <v>11000</v>
      </c>
      <c r="Y36" s="3">
        <f t="array" ref="Y36">XLOOKUP(B36,'Event 11 Assist'!A:A, 'Event 11 Assist'!E:E)</f>
        <v>22</v>
      </c>
    </row>
    <row r="37">
      <c r="A37" s="10">
        <v>0.0</v>
      </c>
      <c r="B37" s="82" t="s">
        <v>169</v>
      </c>
      <c r="C37" s="3" t="str">
        <f t="array" ref="C37">XLOOKUP(B37, 'Surfer Stats - Event 4'!B:B, 'Surfer Stats - Event 4'!D:D)</f>
        <v>Goofy</v>
      </c>
      <c r="D37" s="3">
        <f t="shared" si="1"/>
        <v>0</v>
      </c>
      <c r="E37" s="10">
        <v>0.0</v>
      </c>
      <c r="F37" s="10">
        <v>0.0</v>
      </c>
      <c r="G37" s="10">
        <v>99.0</v>
      </c>
      <c r="H37" s="10">
        <v>99.0</v>
      </c>
      <c r="I37" s="10">
        <v>99.0</v>
      </c>
      <c r="J37" s="3">
        <f>COUNTIFS( historical_events_FACT!J:J, "&gt;16", historical_events_FACT!G:G, B37,historical_events_FACT!C:C, "11" )</f>
        <v>0</v>
      </c>
      <c r="K37" s="3">
        <f t="shared" si="2"/>
        <v>0</v>
      </c>
      <c r="L37" s="3">
        <f t="shared" si="3"/>
        <v>0</v>
      </c>
      <c r="M37" s="3">
        <f>SUMIFS( '2014Data'!I:I, '2014Data'!F:F, B37,'2014Data'!B:B, "11" )</f>
        <v>0</v>
      </c>
      <c r="N37" s="3">
        <f>COUNTIFS('2014Data'!F:F, B37,'2014Data'!B:B, "11" )</f>
        <v>0</v>
      </c>
      <c r="O37" s="3">
        <f t="shared" si="4"/>
        <v>0</v>
      </c>
      <c r="P37" s="3">
        <f>SUMIFS( historical_events_FACT!J:J, historical_events_FACT!G:G, B37,historical_events_FACT!B:B, "2015",historical_events_FACT!C:C, "11" )</f>
        <v>0</v>
      </c>
      <c r="Q37" s="3">
        <f>COUNTIFS(historical_events_FACT!G:G, B37,historical_events_FACT!B:B, "2015",historical_events_FACT!C:C, "11" )</f>
        <v>0</v>
      </c>
      <c r="R37" s="3">
        <f t="shared" si="5"/>
        <v>0</v>
      </c>
      <c r="S37" s="3">
        <f>SUMIFS( historical_events_FACT!J:J, historical_events_FACT!G:G, B37,historical_events_FACT!B:B, "2016",historical_events_FACT!C:C, "11" )</f>
        <v>0</v>
      </c>
      <c r="T37" s="3">
        <f>COUNTIFS(historical_events_FACT!G:G, B37,historical_events_FACT!B:B, "2016",historical_events_FACT!C:C, "11" )</f>
        <v>0</v>
      </c>
      <c r="U37" s="3">
        <f>MAXIFS( historical_events_FACT!J:J, historical_events_FACT!G:G, B37,historical_events_FACT!C:C, "11" )</f>
        <v>0</v>
      </c>
      <c r="V37" s="97" t="str">
        <f t="array" ref="V37">ROUND(AVERAGEIF({ IFERROR(XLOOKUP(B37, 'Surfer Stats - Event 10'!B:B, 'Surfer Stats - Event 10'!Y:Y), ""), IFERROR(XLOOKUP(B37, 'Surfer Stats - Event 8'!B:B, 'Surfer Stats - Event 8'!Y:Y), ""), IFERROR(XLOOKUP(B37, 'Surfer Stats - Event 9'!B:B, 'Surfer Stats - Event 9'!Y:Y), "") }, "&lt;&gt;"),2)</f>
        <v>#DIV/0!</v>
      </c>
      <c r="W37" s="3" t="str">
        <f t="array" ref="W37">XLOOKUP(B37, 'Surfer Stats - Event 10'!B:B, 'Surfer Stats - Event 10'!Y:Y)</f>
        <v/>
      </c>
      <c r="X37" s="91">
        <f>6500+500</f>
        <v>7000</v>
      </c>
      <c r="Y37" s="3" t="str">
        <f t="array" ref="Y37">XLOOKUP(B37,'Event 11 Assist'!A:A, 'Event 11 Assist'!E:E)</f>
        <v/>
      </c>
    </row>
    <row r="38">
      <c r="A38" s="10">
        <v>0.0</v>
      </c>
      <c r="B38" s="82" t="s">
        <v>298</v>
      </c>
      <c r="C38" s="10" t="s">
        <v>247</v>
      </c>
      <c r="D38" s="3">
        <f t="shared" si="1"/>
        <v>0</v>
      </c>
      <c r="E38" s="10">
        <v>0.0</v>
      </c>
      <c r="F38" s="10">
        <v>0.0</v>
      </c>
      <c r="G38" s="10">
        <v>99.0</v>
      </c>
      <c r="H38" s="10">
        <v>99.0</v>
      </c>
      <c r="I38" s="10">
        <v>99.0</v>
      </c>
      <c r="J38" s="3">
        <f>COUNTIFS( historical_events_FACT!J:J, "&gt;16", historical_events_FACT!G:G, B38,historical_events_FACT!C:C, "11" )</f>
        <v>0</v>
      </c>
      <c r="K38" s="3">
        <f t="shared" si="2"/>
        <v>0</v>
      </c>
      <c r="L38" s="3">
        <f t="shared" si="3"/>
        <v>0</v>
      </c>
      <c r="M38" s="3">
        <f>SUMIFS( '2014Data'!I:I, '2014Data'!F:F, B38,'2014Data'!B:B, "11" )</f>
        <v>0</v>
      </c>
      <c r="N38" s="3">
        <f>COUNTIFS('2014Data'!F:F, B38,'2014Data'!B:B, "11" )</f>
        <v>0</v>
      </c>
      <c r="O38" s="3">
        <f t="shared" si="4"/>
        <v>0</v>
      </c>
      <c r="P38" s="3">
        <f>SUMIFS( historical_events_FACT!J:J, historical_events_FACT!G:G, B38,historical_events_FACT!B:B, "2015",historical_events_FACT!C:C, "11" )</f>
        <v>0</v>
      </c>
      <c r="Q38" s="3">
        <f>COUNTIFS(historical_events_FACT!G:G, B38,historical_events_FACT!B:B, "2015",historical_events_FACT!C:C, "11" )</f>
        <v>0</v>
      </c>
      <c r="R38" s="3">
        <f t="shared" si="5"/>
        <v>0</v>
      </c>
      <c r="S38" s="3">
        <f>SUMIFS( historical_events_FACT!J:J, historical_events_FACT!G:G, B38,historical_events_FACT!B:B, "2016",historical_events_FACT!C:C, "11" )</f>
        <v>0</v>
      </c>
      <c r="T38" s="3">
        <f>COUNTIFS(historical_events_FACT!G:G, B38,historical_events_FACT!B:B, "2016",historical_events_FACT!C:C, "11" )</f>
        <v>0</v>
      </c>
      <c r="U38" s="3">
        <f>MAXIFS( historical_events_FACT!J:J, historical_events_FACT!G:G, B38,historical_events_FACT!C:C, "11" )</f>
        <v>0</v>
      </c>
      <c r="V38" s="97">
        <f t="array" ref="V38">ROUND(AVERAGEIF({ IFERROR(XLOOKUP(B38, 'Surfer Stats - Event 10'!B:B, 'Surfer Stats - Event 10'!Y:Y), ""), IFERROR(XLOOKUP(B38, 'Surfer Stats - Event 8'!B:B, 'Surfer Stats - Event 8'!Y:Y), ""), IFERROR(XLOOKUP(B38, 'Surfer Stats - Event 9'!B:B, 'Surfer Stats - Event 9'!Y:Y), "") }, "&lt;&gt;"),2)</f>
        <v>61.6</v>
      </c>
      <c r="W38" s="3" t="str">
        <f t="array" ref="W38">XLOOKUP(B38, 'Surfer Stats - Event 10'!B:B, 'Surfer Stats - Event 10'!Y:Y)</f>
        <v/>
      </c>
      <c r="X38" s="91">
        <v>5200.0</v>
      </c>
      <c r="Y38" s="3" t="str">
        <f t="array" ref="Y38">XLOOKUP(B38,'Event 11 Assist'!A:A, 'Event 11 Assist'!E:E)</f>
        <v/>
      </c>
    </row>
    <row r="39">
      <c r="A39" s="10">
        <v>0.0</v>
      </c>
      <c r="B39" s="82" t="s">
        <v>142</v>
      </c>
      <c r="C39" s="3" t="str">
        <f t="array" ref="C39">XLOOKUP(B39, 'Surfer Stats - Event 4'!B:B, 'Surfer Stats - Event 4'!D:D)</f>
        <v>Goofy</v>
      </c>
      <c r="D39" s="3">
        <f t="shared" si="1"/>
        <v>0</v>
      </c>
      <c r="E39" s="10">
        <v>0.0</v>
      </c>
      <c r="F39" s="10">
        <v>0.0</v>
      </c>
      <c r="G39" s="10">
        <v>99.0</v>
      </c>
      <c r="H39" s="10">
        <v>99.0</v>
      </c>
      <c r="I39" s="10">
        <v>99.0</v>
      </c>
      <c r="J39" s="3">
        <f>COUNTIFS( historical_events_FACT!J:J, "&gt;16", historical_events_FACT!G:G, B39,historical_events_FACT!C:C, "11" )</f>
        <v>0</v>
      </c>
      <c r="K39" s="3">
        <f t="shared" si="2"/>
        <v>0</v>
      </c>
      <c r="L39" s="3">
        <f t="shared" si="3"/>
        <v>0</v>
      </c>
      <c r="M39" s="3">
        <f>SUMIFS( '2014Data'!I:I, '2014Data'!F:F, B39,'2014Data'!B:B, "11" )</f>
        <v>0</v>
      </c>
      <c r="N39" s="3">
        <f>COUNTIFS('2014Data'!F:F, B39,'2014Data'!B:B, "11" )</f>
        <v>0</v>
      </c>
      <c r="O39" s="3">
        <f t="shared" si="4"/>
        <v>0</v>
      </c>
      <c r="P39" s="3">
        <f>SUMIFS( historical_events_FACT!J:J, historical_events_FACT!G:G, B39,historical_events_FACT!B:B, "2015",historical_events_FACT!C:C, "11" )</f>
        <v>0</v>
      </c>
      <c r="Q39" s="3">
        <f>COUNTIFS(historical_events_FACT!G:G, B39,historical_events_FACT!B:B, "2015",historical_events_FACT!C:C, "11" )</f>
        <v>0</v>
      </c>
      <c r="R39" s="3">
        <f t="shared" si="5"/>
        <v>0</v>
      </c>
      <c r="S39" s="3">
        <f>SUMIFS( historical_events_FACT!J:J, historical_events_FACT!G:G, B39,historical_events_FACT!B:B, "2016",historical_events_FACT!C:C, "11" )</f>
        <v>0</v>
      </c>
      <c r="T39" s="3">
        <f>COUNTIFS(historical_events_FACT!G:G, B39,historical_events_FACT!B:B, "2016",historical_events_FACT!C:C, "11" )</f>
        <v>0</v>
      </c>
      <c r="U39" s="3">
        <f>MAXIFS( historical_events_FACT!J:J, historical_events_FACT!G:G, B39,historical_events_FACT!C:C, "11" )</f>
        <v>0</v>
      </c>
      <c r="V39" s="97" t="str">
        <f t="array" ref="V39">ROUND(AVERAGEIF({ IFERROR(XLOOKUP(B39, 'Surfer Stats - Event 10'!B:B, 'Surfer Stats - Event 10'!Y:Y), ""), IFERROR(XLOOKUP(B39, 'Surfer Stats - Event 8'!B:B, 'Surfer Stats - Event 8'!Y:Y), ""), IFERROR(XLOOKUP(B39, 'Surfer Stats - Event 9'!B:B, 'Surfer Stats - Event 9'!Y:Y), "") }, "&lt;&gt;"),2)</f>
        <v>#DIV/0!</v>
      </c>
      <c r="W39" s="3" t="str">
        <f t="array" ref="W39">XLOOKUP(B39, 'Surfer Stats - Event 10'!B:B, 'Surfer Stats - Event 10'!Y:Y)</f>
        <v/>
      </c>
      <c r="X39" s="83">
        <f>1750+500</f>
        <v>2250</v>
      </c>
      <c r="Y39" s="3" t="str">
        <f t="array" ref="Y39">XLOOKUP(B39,'Event 11 Assist'!A:A, 'Event 11 Assist'!E:E)</f>
        <v/>
      </c>
    </row>
    <row r="40">
      <c r="A40" s="10">
        <v>0.0</v>
      </c>
      <c r="B40" s="93" t="s">
        <v>262</v>
      </c>
      <c r="C40" s="3" t="str">
        <f t="array" ref="C40">XLOOKUP(B40, 'Surfer Stats - Event 4'!B:B, 'Surfer Stats - Event 4'!D:D)</f>
        <v>Goofy</v>
      </c>
      <c r="D40" s="3">
        <f t="shared" si="1"/>
        <v>0</v>
      </c>
      <c r="E40" s="10">
        <v>0.0</v>
      </c>
      <c r="F40" s="10">
        <v>0.0</v>
      </c>
      <c r="G40" s="10">
        <v>99.0</v>
      </c>
      <c r="H40" s="10">
        <v>99.0</v>
      </c>
      <c r="I40" s="10">
        <v>99.0</v>
      </c>
      <c r="J40" s="3">
        <f>COUNTIFS( historical_events_FACT!J:J, "&gt;16", historical_events_FACT!G:G, B40,historical_events_FACT!C:C, "11" )</f>
        <v>0</v>
      </c>
      <c r="K40" s="3">
        <f t="shared" si="2"/>
        <v>0</v>
      </c>
      <c r="L40" s="3">
        <f t="shared" si="3"/>
        <v>0</v>
      </c>
      <c r="M40" s="3">
        <f>SUMIFS( '2014Data'!I:I, '2014Data'!F:F, B40,'2014Data'!B:B, "11" )</f>
        <v>0</v>
      </c>
      <c r="N40" s="3">
        <f>COUNTIFS('2014Data'!F:F, B40,'2014Data'!B:B, "11" )</f>
        <v>0</v>
      </c>
      <c r="O40" s="3">
        <f t="shared" si="4"/>
        <v>0</v>
      </c>
      <c r="P40" s="3">
        <f>SUMIFS( historical_events_FACT!J:J, historical_events_FACT!G:G, B40,historical_events_FACT!B:B, "2015",historical_events_FACT!C:C, "11" )</f>
        <v>0</v>
      </c>
      <c r="Q40" s="3">
        <f>COUNTIFS(historical_events_FACT!G:G, B40,historical_events_FACT!B:B, "2015",historical_events_FACT!C:C, "11" )</f>
        <v>0</v>
      </c>
      <c r="R40" s="3">
        <f t="shared" si="5"/>
        <v>0</v>
      </c>
      <c r="S40" s="3">
        <f>SUMIFS( historical_events_FACT!J:J, historical_events_FACT!G:G, B40,historical_events_FACT!B:B, "2016",historical_events_FACT!C:C, "11" )</f>
        <v>0</v>
      </c>
      <c r="T40" s="3">
        <f>COUNTIFS(historical_events_FACT!G:G, B40,historical_events_FACT!B:B, "2016",historical_events_FACT!C:C, "11" )</f>
        <v>0</v>
      </c>
      <c r="U40" s="3">
        <f>MAXIFS( historical_events_FACT!J:J, historical_events_FACT!G:G, B40,historical_events_FACT!C:C, "11" )</f>
        <v>0</v>
      </c>
      <c r="V40" s="97" t="str">
        <f t="array" ref="V40">ROUND(AVERAGEIF({ IFERROR(XLOOKUP(B40, 'Surfer Stats - Event 10'!B:B, 'Surfer Stats - Event 10'!Y:Y), ""), IFERROR(XLOOKUP(B40, 'Surfer Stats - Event 8'!B:B, 'Surfer Stats - Event 8'!Y:Y), ""), IFERROR(XLOOKUP(B40, 'Surfer Stats - Event 9'!B:B, 'Surfer Stats - Event 9'!Y:Y), "") }, "&lt;&gt;"),2)</f>
        <v>#DIV/0!</v>
      </c>
      <c r="W40" s="3" t="str">
        <f t="array" ref="W40">XLOOKUP(B40, 'Surfer Stats - Event 10'!B:B, 'Surfer Stats - Event 10'!Y:Y)</f>
        <v/>
      </c>
      <c r="X40" s="83">
        <v>1750.0</v>
      </c>
      <c r="Y40" s="3" t="str">
        <f t="array" ref="Y40">XLOOKUP(B40,'Event 11 Assist'!A:A, 'Event 11 Assist'!E:E)</f>
        <v/>
      </c>
    </row>
    <row r="41">
      <c r="A41" s="10">
        <v>0.0</v>
      </c>
      <c r="B41" s="93" t="s">
        <v>46</v>
      </c>
      <c r="C41" s="3" t="str">
        <f t="array" ref="C41">XLOOKUP(B41, 'Surfer Stats - Event 4'!B:B, 'Surfer Stats - Event 4'!D:D)</f>
        <v>Regular</v>
      </c>
      <c r="D41" s="3">
        <f t="shared" si="1"/>
        <v>0</v>
      </c>
      <c r="E41" s="10">
        <v>0.0</v>
      </c>
      <c r="F41" s="10">
        <v>0.0</v>
      </c>
      <c r="G41" s="10">
        <v>99.0</v>
      </c>
      <c r="H41" s="10">
        <v>99.0</v>
      </c>
      <c r="I41" s="10">
        <v>99.0</v>
      </c>
      <c r="J41" s="3">
        <f>COUNTIFS( historical_events_FACT!J:J, "&gt;16", historical_events_FACT!G:G, B41,historical_events_FACT!C:C, "11" )</f>
        <v>0</v>
      </c>
      <c r="K41" s="3">
        <f t="shared" si="2"/>
        <v>0</v>
      </c>
      <c r="L41" s="3">
        <f t="shared" si="3"/>
        <v>0</v>
      </c>
      <c r="M41" s="3">
        <f>SUMIFS( '2014Data'!I:I, '2014Data'!F:F, B41,'2014Data'!B:B, "11" )</f>
        <v>0</v>
      </c>
      <c r="N41" s="3">
        <f>COUNTIFS('2014Data'!F:F, B41,'2014Data'!B:B, "11" )</f>
        <v>0</v>
      </c>
      <c r="O41" s="3">
        <f t="shared" si="4"/>
        <v>0</v>
      </c>
      <c r="P41" s="3">
        <f>SUMIFS( historical_events_FACT!J:J, historical_events_FACT!G:G, B41,historical_events_FACT!B:B, "2015",historical_events_FACT!C:C, "11" )</f>
        <v>0</v>
      </c>
      <c r="Q41" s="3">
        <f>COUNTIFS(historical_events_FACT!G:G, B41,historical_events_FACT!B:B, "2015",historical_events_FACT!C:C, "11" )</f>
        <v>0</v>
      </c>
      <c r="R41" s="3">
        <f t="shared" si="5"/>
        <v>0</v>
      </c>
      <c r="S41" s="3">
        <f>SUMIFS( historical_events_FACT!J:J, historical_events_FACT!G:G, B41,historical_events_FACT!B:B, "2016",historical_events_FACT!C:C, "11" )</f>
        <v>0</v>
      </c>
      <c r="T41" s="3">
        <f>COUNTIFS(historical_events_FACT!G:G, B41,historical_events_FACT!B:B, "2016",historical_events_FACT!C:C, "11" )</f>
        <v>0</v>
      </c>
      <c r="U41" s="3">
        <f>MAXIFS( historical_events_FACT!J:J, historical_events_FACT!G:G, B41,historical_events_FACT!C:C, "11" )</f>
        <v>0</v>
      </c>
      <c r="V41" s="97" t="str">
        <f t="array" ref="V41">ROUND(AVERAGEIF({ IFERROR(XLOOKUP(B41, 'Surfer Stats - Event 10'!B:B, 'Surfer Stats - Event 10'!Y:Y), ""), IFERROR(XLOOKUP(B41, 'Surfer Stats - Event 8'!B:B, 'Surfer Stats - Event 8'!Y:Y), ""), IFERROR(XLOOKUP(B41, 'Surfer Stats - Event 9'!B:B, 'Surfer Stats - Event 9'!Y:Y), "") }, "&lt;&gt;"),2)</f>
        <v>#DIV/0!</v>
      </c>
      <c r="W41" s="3" t="str">
        <f t="array" ref="W41">XLOOKUP(B41, 'Surfer Stats - Event 10'!B:B, 'Surfer Stats - Event 10'!Y:Y)</f>
        <v/>
      </c>
      <c r="X41" s="83">
        <v>1750.0</v>
      </c>
      <c r="Y41" s="3" t="str">
        <f t="array" ref="Y41">XLOOKUP(B41,'Event 11 Assist'!A:A, 'Event 11 Assist'!E:E)</f>
        <v/>
      </c>
    </row>
    <row r="42">
      <c r="A42" s="10">
        <v>0.0</v>
      </c>
      <c r="B42" s="82" t="s">
        <v>173</v>
      </c>
      <c r="C42" s="10" t="s">
        <v>247</v>
      </c>
      <c r="D42" s="3">
        <f t="shared" si="1"/>
        <v>0</v>
      </c>
      <c r="E42" s="10">
        <v>0.0</v>
      </c>
      <c r="F42" s="10">
        <v>0.0</v>
      </c>
      <c r="G42" s="10">
        <v>99.0</v>
      </c>
      <c r="H42" s="10">
        <v>99.0</v>
      </c>
      <c r="I42" s="10">
        <v>99.0</v>
      </c>
      <c r="J42" s="3">
        <f>COUNTIFS( historical_events_FACT!J:J, "&gt;16", historical_events_FACT!G:G, B42,historical_events_FACT!C:C, "11" )</f>
        <v>0</v>
      </c>
      <c r="K42" s="3">
        <f t="shared" si="2"/>
        <v>0</v>
      </c>
      <c r="L42" s="3">
        <f t="shared" si="3"/>
        <v>0</v>
      </c>
      <c r="M42" s="3">
        <f>SUMIFS( '2014Data'!I:I, '2014Data'!F:F, B42,'2014Data'!B:B, "11" )</f>
        <v>0</v>
      </c>
      <c r="N42" s="3">
        <f>COUNTIFS('2014Data'!F:F, B42,'2014Data'!B:B, "11" )</f>
        <v>0</v>
      </c>
      <c r="O42" s="3">
        <f t="shared" si="4"/>
        <v>0</v>
      </c>
      <c r="P42" s="3">
        <f>SUMIFS( historical_events_FACT!J:J, historical_events_FACT!G:G, B42,historical_events_FACT!B:B, "2015",historical_events_FACT!C:C, "11" )</f>
        <v>0</v>
      </c>
      <c r="Q42" s="3">
        <f>COUNTIFS(historical_events_FACT!G:G, B42,historical_events_FACT!B:B, "2015",historical_events_FACT!C:C, "11" )</f>
        <v>0</v>
      </c>
      <c r="R42" s="3">
        <f t="shared" si="5"/>
        <v>0</v>
      </c>
      <c r="S42" s="3">
        <f>SUMIFS( historical_events_FACT!J:J, historical_events_FACT!G:G, B42,historical_events_FACT!B:B, "2016",historical_events_FACT!C:C, "11" )</f>
        <v>0</v>
      </c>
      <c r="T42" s="3">
        <f>COUNTIFS(historical_events_FACT!G:G, B42,historical_events_FACT!B:B, "2016",historical_events_FACT!C:C, "11" )</f>
        <v>0</v>
      </c>
      <c r="U42" s="3">
        <f>MAXIFS( historical_events_FACT!J:J, historical_events_FACT!G:G, B42,historical_events_FACT!C:C, "11" )</f>
        <v>0</v>
      </c>
      <c r="V42" s="97">
        <f t="array" ref="V42">ROUND(AVERAGEIF({ IFERROR(XLOOKUP(B42, 'Surfer Stats - Event 10'!B:B, 'Surfer Stats - Event 10'!Y:Y), ""), IFERROR(XLOOKUP(B42, 'Surfer Stats - Event 8'!B:B, 'Surfer Stats - Event 8'!Y:Y), ""), IFERROR(XLOOKUP(B42, 'Surfer Stats - Event 9'!B:B, 'Surfer Stats - Event 9'!Y:Y), "") }, "&lt;&gt;"),2)</f>
        <v>40.09</v>
      </c>
      <c r="W42" s="3" t="str">
        <f t="array" ref="W42">XLOOKUP(B42, 'Surfer Stats - Event 10'!B:B, 'Surfer Stats - Event 10'!Y:Y)</f>
        <v/>
      </c>
      <c r="X42" s="91">
        <v>1750.0</v>
      </c>
      <c r="Y42" s="3" t="str">
        <f t="array" ref="Y42">XLOOKUP(B42,'Event 11 Assist'!A:A, 'Event 11 Assist'!E:E)</f>
        <v/>
      </c>
    </row>
    <row r="43">
      <c r="A43" s="10">
        <v>0.0</v>
      </c>
      <c r="B43" s="82" t="s">
        <v>116</v>
      </c>
      <c r="C43" s="10" t="s">
        <v>244</v>
      </c>
      <c r="D43" s="3">
        <f t="shared" si="1"/>
        <v>0</v>
      </c>
      <c r="E43" s="10">
        <v>0.0</v>
      </c>
      <c r="F43" s="10">
        <v>0.0</v>
      </c>
      <c r="G43" s="10">
        <v>99.0</v>
      </c>
      <c r="H43" s="10">
        <v>99.0</v>
      </c>
      <c r="I43" s="10">
        <v>99.0</v>
      </c>
      <c r="J43" s="3">
        <f>COUNTIFS( historical_events_FACT!J:J, "&gt;16", historical_events_FACT!G:G, B43,historical_events_FACT!C:C, "11" )</f>
        <v>0</v>
      </c>
      <c r="K43" s="3">
        <f t="shared" si="2"/>
        <v>0</v>
      </c>
      <c r="L43" s="3">
        <f t="shared" si="3"/>
        <v>0</v>
      </c>
      <c r="M43" s="3">
        <f>SUMIFS( '2014Data'!I:I, '2014Data'!F:F, B43,'2014Data'!B:B, "11" )</f>
        <v>0</v>
      </c>
      <c r="N43" s="3">
        <f>COUNTIFS('2014Data'!F:F, B43,'2014Data'!B:B, "11" )</f>
        <v>0</v>
      </c>
      <c r="O43" s="3">
        <f t="shared" si="4"/>
        <v>0</v>
      </c>
      <c r="P43" s="3">
        <f>SUMIFS( historical_events_FACT!J:J, historical_events_FACT!G:G, B43,historical_events_FACT!B:B, "2015",historical_events_FACT!C:C, "11" )</f>
        <v>0</v>
      </c>
      <c r="Q43" s="3">
        <f>COUNTIFS(historical_events_FACT!G:G, B43,historical_events_FACT!B:B, "2015",historical_events_FACT!C:C, "11" )</f>
        <v>0</v>
      </c>
      <c r="R43" s="3">
        <f t="shared" si="5"/>
        <v>0</v>
      </c>
      <c r="S43" s="3">
        <f>SUMIFS( historical_events_FACT!J:J, historical_events_FACT!G:G, B43,historical_events_FACT!B:B, "2016",historical_events_FACT!C:C, "11" )</f>
        <v>0</v>
      </c>
      <c r="T43" s="3">
        <f>COUNTIFS(historical_events_FACT!G:G, B43,historical_events_FACT!B:B, "2016",historical_events_FACT!C:C, "11" )</f>
        <v>0</v>
      </c>
      <c r="U43" s="3">
        <f>MAXIFS( historical_events_FACT!J:J, historical_events_FACT!G:G, B43,historical_events_FACT!C:C, "11" )</f>
        <v>0</v>
      </c>
      <c r="V43" s="97">
        <f t="array" ref="V43">ROUND(AVERAGEIF({ IFERROR(XLOOKUP(B43, 'Surfer Stats - Event 10'!B:B, 'Surfer Stats - Event 10'!Y:Y), ""), IFERROR(XLOOKUP(B43, 'Surfer Stats - Event 8'!B:B, 'Surfer Stats - Event 8'!Y:Y), ""), IFERROR(XLOOKUP(B43, 'Surfer Stats - Event 9'!B:B, 'Surfer Stats - Event 9'!Y:Y), "") }, "&lt;&gt;"),2)</f>
        <v>41.46</v>
      </c>
      <c r="W43" s="3" t="str">
        <f t="array" ref="W43">XLOOKUP(B43, 'Surfer Stats - Event 10'!B:B, 'Surfer Stats - Event 10'!Y:Y)</f>
        <v/>
      </c>
      <c r="X43" s="91">
        <v>1750.0</v>
      </c>
      <c r="Y43" s="3" t="str">
        <f t="array" ref="Y43">XLOOKUP(B43,'Event 11 Assist'!A:A, 'Event 11 Assist'!E:E)</f>
        <v/>
      </c>
    </row>
    <row r="44">
      <c r="A44" s="10">
        <v>0.0</v>
      </c>
      <c r="B44" s="82" t="s">
        <v>119</v>
      </c>
      <c r="C44" s="10" t="s">
        <v>244</v>
      </c>
      <c r="D44" s="3">
        <f t="shared" si="1"/>
        <v>0</v>
      </c>
      <c r="E44" s="10">
        <v>0.0</v>
      </c>
      <c r="F44" s="10">
        <v>0.0</v>
      </c>
      <c r="G44" s="10">
        <v>99.0</v>
      </c>
      <c r="H44" s="10">
        <v>99.0</v>
      </c>
      <c r="I44" s="10">
        <v>99.0</v>
      </c>
      <c r="J44" s="3">
        <f>COUNTIFS( historical_events_FACT!J:J, "&gt;16", historical_events_FACT!G:G, B44,historical_events_FACT!C:C, "11" )</f>
        <v>0</v>
      </c>
      <c r="K44" s="3">
        <f t="shared" si="2"/>
        <v>0</v>
      </c>
      <c r="L44" s="3">
        <f t="shared" si="3"/>
        <v>0</v>
      </c>
      <c r="M44" s="3">
        <f>SUMIFS( '2014Data'!I:I, '2014Data'!F:F, B44,'2014Data'!B:B, "11" )</f>
        <v>0</v>
      </c>
      <c r="N44" s="3">
        <f>COUNTIFS('2014Data'!F:F, B44,'2014Data'!B:B, "11" )</f>
        <v>0</v>
      </c>
      <c r="O44" s="3">
        <f t="shared" si="4"/>
        <v>0</v>
      </c>
      <c r="P44" s="3">
        <f>SUMIFS( historical_events_FACT!J:J, historical_events_FACT!G:G, B44,historical_events_FACT!B:B, "2015",historical_events_FACT!C:C, "11" )</f>
        <v>0</v>
      </c>
      <c r="Q44" s="3">
        <f>COUNTIFS(historical_events_FACT!G:G, B44,historical_events_FACT!B:B, "2015",historical_events_FACT!C:C, "11" )</f>
        <v>0</v>
      </c>
      <c r="R44" s="3">
        <f t="shared" si="5"/>
        <v>0</v>
      </c>
      <c r="S44" s="3">
        <f>SUMIFS( historical_events_FACT!J:J, historical_events_FACT!G:G, B44,historical_events_FACT!B:B, "2016",historical_events_FACT!C:C, "11" )</f>
        <v>0</v>
      </c>
      <c r="T44" s="3">
        <f>COUNTIFS(historical_events_FACT!G:G, B44,historical_events_FACT!B:B, "2016",historical_events_FACT!C:C, "11" )</f>
        <v>0</v>
      </c>
      <c r="U44" s="3">
        <f>MAXIFS( historical_events_FACT!J:J, historical_events_FACT!G:G, B44,historical_events_FACT!C:C, "11" )</f>
        <v>0</v>
      </c>
      <c r="V44" s="97">
        <f t="array" ref="V44">ROUND(AVERAGEIF({ IFERROR(XLOOKUP(B44, 'Surfer Stats - Event 10'!B:B, 'Surfer Stats - Event 10'!Y:Y), ""), IFERROR(XLOOKUP(B44, 'Surfer Stats - Event 8'!B:B, 'Surfer Stats - Event 8'!Y:Y), ""), IFERROR(XLOOKUP(B44, 'Surfer Stats - Event 9'!B:B, 'Surfer Stats - Event 9'!Y:Y), "") }, "&lt;&gt;"),2)</f>
        <v>28.57</v>
      </c>
      <c r="W44" s="3">
        <f t="array" ref="W44">XLOOKUP(B44, 'Surfer Stats - Event 10'!B:B, 'Surfer Stats - Event 10'!Y:Y)</f>
        <v>28.57</v>
      </c>
      <c r="X44" s="83">
        <f>+1750</f>
        <v>1750</v>
      </c>
      <c r="Y44" s="3" t="str">
        <f t="array" ref="Y44">XLOOKUP(B44,'Event 11 Assist'!A:A, 'Event 11 Assist'!E:E)</f>
        <v/>
      </c>
    </row>
    <row r="45">
      <c r="A45" s="10">
        <v>0.0</v>
      </c>
      <c r="B45" s="82" t="s">
        <v>168</v>
      </c>
      <c r="C45" s="3" t="str">
        <f t="array" ref="C45">XLOOKUP(B45, 'Surfer Stats - Event 4'!B:B, 'Surfer Stats - Event 4'!D:D)</f>
        <v>Regular</v>
      </c>
      <c r="D45" s="3">
        <f t="shared" si="1"/>
        <v>0</v>
      </c>
      <c r="E45" s="10">
        <v>0.0</v>
      </c>
      <c r="F45" s="10">
        <v>0.0</v>
      </c>
      <c r="G45" s="10">
        <v>99.0</v>
      </c>
      <c r="H45" s="10">
        <v>99.0</v>
      </c>
      <c r="I45" s="10">
        <v>99.0</v>
      </c>
      <c r="J45" s="3">
        <f>COUNTIFS( historical_events_FACT!J:J, "&gt;16", historical_events_FACT!G:G, B45,historical_events_FACT!C:C, "11" )</f>
        <v>0</v>
      </c>
      <c r="K45" s="3">
        <f t="shared" si="2"/>
        <v>0</v>
      </c>
      <c r="L45" s="3">
        <f t="shared" si="3"/>
        <v>0</v>
      </c>
      <c r="M45" s="3">
        <f>SUMIFS( '2014Data'!I:I, '2014Data'!F:F, B45,'2014Data'!B:B, "11" )</f>
        <v>0</v>
      </c>
      <c r="N45" s="3">
        <f>COUNTIFS('2014Data'!F:F, B45,'2014Data'!B:B, "11" )</f>
        <v>0</v>
      </c>
      <c r="O45" s="3">
        <f t="shared" si="4"/>
        <v>0</v>
      </c>
      <c r="P45" s="3">
        <f>SUMIFS( historical_events_FACT!J:J, historical_events_FACT!G:G, B45,historical_events_FACT!B:B, "2015",historical_events_FACT!C:C, "11" )</f>
        <v>0</v>
      </c>
      <c r="Q45" s="3">
        <f>COUNTIFS(historical_events_FACT!G:G, B45,historical_events_FACT!B:B, "2015",historical_events_FACT!C:C, "11" )</f>
        <v>0</v>
      </c>
      <c r="R45" s="3">
        <f t="shared" si="5"/>
        <v>0</v>
      </c>
      <c r="S45" s="3">
        <f>SUMIFS( historical_events_FACT!J:J, historical_events_FACT!G:G, B45,historical_events_FACT!B:B, "2016",historical_events_FACT!C:C, "11" )</f>
        <v>0</v>
      </c>
      <c r="T45" s="3">
        <f>COUNTIFS(historical_events_FACT!G:G, B45,historical_events_FACT!B:B, "2016",historical_events_FACT!C:C, "11" )</f>
        <v>0</v>
      </c>
      <c r="U45" s="3">
        <f>MAXIFS( historical_events_FACT!J:J, historical_events_FACT!G:G, B45,historical_events_FACT!C:C, "11" )</f>
        <v>0</v>
      </c>
      <c r="V45" s="97" t="str">
        <f t="array" ref="V45">ROUND(AVERAGEIF({ IFERROR(XLOOKUP(B45, 'Surfer Stats - Event 10'!B:B, 'Surfer Stats - Event 10'!Y:Y), ""), IFERROR(XLOOKUP(B45, 'Surfer Stats - Event 8'!B:B, 'Surfer Stats - Event 8'!Y:Y), ""), IFERROR(XLOOKUP(B45, 'Surfer Stats - Event 9'!B:B, 'Surfer Stats - Event 9'!Y:Y), "") }, "&lt;&gt;"),2)</f>
        <v>#DIV/0!</v>
      </c>
      <c r="W45" s="3" t="str">
        <f t="array" ref="W45">XLOOKUP(B45, 'Surfer Stats - Event 10'!B:B, 'Surfer Stats - Event 10'!Y:Y)</f>
        <v/>
      </c>
      <c r="X45" s="91">
        <f>0+500+500</f>
        <v>1000</v>
      </c>
      <c r="Y45" s="3" t="str">
        <f t="array" ref="Y45">XLOOKUP(B45,'Event 11 Assist'!A:A, 'Event 11 Assist'!E:E)</f>
        <v/>
      </c>
    </row>
    <row r="46">
      <c r="A46" s="10">
        <v>0.0</v>
      </c>
      <c r="B46" s="82" t="s">
        <v>144</v>
      </c>
      <c r="C46" s="3" t="str">
        <f t="array" ref="C46">XLOOKUP(B46, 'Surfer Stats - Event 4'!B:B, 'Surfer Stats - Event 4'!D:D)</f>
        <v>Regular</v>
      </c>
      <c r="D46" s="3">
        <f t="shared" si="1"/>
        <v>0</v>
      </c>
      <c r="E46" s="10">
        <v>0.0</v>
      </c>
      <c r="F46" s="10">
        <v>0.0</v>
      </c>
      <c r="G46" s="10">
        <v>99.0</v>
      </c>
      <c r="H46" s="10">
        <v>99.0</v>
      </c>
      <c r="I46" s="10">
        <v>99.0</v>
      </c>
      <c r="J46" s="3">
        <f>COUNTIFS( historical_events_FACT!J:J, "&gt;16", historical_events_FACT!G:G, B46,historical_events_FACT!C:C, "11" )</f>
        <v>0</v>
      </c>
      <c r="K46" s="3">
        <f t="shared" si="2"/>
        <v>0</v>
      </c>
      <c r="L46" s="3">
        <f t="shared" si="3"/>
        <v>0</v>
      </c>
      <c r="M46" s="3">
        <f>SUMIFS( '2014Data'!I:I, '2014Data'!F:F, B46,'2014Data'!B:B, "11" )</f>
        <v>0</v>
      </c>
      <c r="N46" s="3">
        <f>COUNTIFS('2014Data'!F:F, B46,'2014Data'!B:B, "11" )</f>
        <v>0</v>
      </c>
      <c r="O46" s="3">
        <f t="shared" si="4"/>
        <v>0</v>
      </c>
      <c r="P46" s="3">
        <f>SUMIFS( historical_events_FACT!J:J, historical_events_FACT!G:G, B46,historical_events_FACT!B:B, "2015",historical_events_FACT!C:C, "11" )</f>
        <v>0</v>
      </c>
      <c r="Q46" s="3">
        <f>COUNTIFS(historical_events_FACT!G:G, B46,historical_events_FACT!B:B, "2015",historical_events_FACT!C:C, "11" )</f>
        <v>0</v>
      </c>
      <c r="R46" s="3">
        <f t="shared" si="5"/>
        <v>0</v>
      </c>
      <c r="S46" s="3">
        <f>SUMIFS( historical_events_FACT!J:J, historical_events_FACT!G:G, B46,historical_events_FACT!B:B, "2016",historical_events_FACT!C:C, "11" )</f>
        <v>0</v>
      </c>
      <c r="T46" s="3">
        <f>COUNTIFS(historical_events_FACT!G:G, B46,historical_events_FACT!B:B, "2016",historical_events_FACT!C:C, "11" )</f>
        <v>0</v>
      </c>
      <c r="U46" s="3">
        <f>MAXIFS( historical_events_FACT!J:J, historical_events_FACT!G:G, B46,historical_events_FACT!C:C, "11" )</f>
        <v>0</v>
      </c>
      <c r="V46" s="97" t="str">
        <f t="array" ref="V46">ROUND(AVERAGEIF({ IFERROR(XLOOKUP(B46, 'Surfer Stats - Event 10'!B:B, 'Surfer Stats - Event 10'!Y:Y), ""), IFERROR(XLOOKUP(B46, 'Surfer Stats - Event 8'!B:B, 'Surfer Stats - Event 8'!Y:Y), ""), IFERROR(XLOOKUP(B46, 'Surfer Stats - Event 9'!B:B, 'Surfer Stats - Event 9'!Y:Y), "") }, "&lt;&gt;"),2)</f>
        <v>#DIV/0!</v>
      </c>
      <c r="W46" s="3" t="str">
        <f t="array" ref="W46">XLOOKUP(B46, 'Surfer Stats - Event 10'!B:B, 'Surfer Stats - Event 10'!Y:Y)</f>
        <v/>
      </c>
      <c r="X46" s="83">
        <v>500.0</v>
      </c>
      <c r="Y46" s="3" t="str">
        <f t="array" ref="Y46">XLOOKUP(B46,'Event 11 Assist'!A:A, 'Event 11 Assist'!E:E)</f>
        <v/>
      </c>
    </row>
    <row r="47">
      <c r="A47" s="10">
        <v>0.0</v>
      </c>
      <c r="B47" s="82" t="s">
        <v>143</v>
      </c>
      <c r="C47" s="3" t="str">
        <f t="array" ref="C47">XLOOKUP(B47, 'Surfer Stats - Event 4'!B:B, 'Surfer Stats - Event 4'!D:D)</f>
        <v>Regular</v>
      </c>
      <c r="D47" s="3">
        <f t="shared" si="1"/>
        <v>0</v>
      </c>
      <c r="E47" s="10">
        <v>0.0</v>
      </c>
      <c r="F47" s="10">
        <v>0.0</v>
      </c>
      <c r="G47" s="10">
        <v>99.0</v>
      </c>
      <c r="H47" s="10">
        <v>99.0</v>
      </c>
      <c r="I47" s="10">
        <v>99.0</v>
      </c>
      <c r="J47" s="3">
        <f>COUNTIFS( historical_events_FACT!J:J, "&gt;16", historical_events_FACT!G:G, B47,historical_events_FACT!C:C, "11" )</f>
        <v>0</v>
      </c>
      <c r="K47" s="3">
        <f t="shared" si="2"/>
        <v>0</v>
      </c>
      <c r="L47" s="3">
        <f t="shared" si="3"/>
        <v>0</v>
      </c>
      <c r="M47" s="3">
        <f>SUMIFS( '2014Data'!I:I, '2014Data'!F:F, B47,'2014Data'!B:B, "11" )</f>
        <v>0</v>
      </c>
      <c r="N47" s="3">
        <f>COUNTIFS('2014Data'!F:F, B47,'2014Data'!B:B, "11" )</f>
        <v>0</v>
      </c>
      <c r="O47" s="3">
        <f t="shared" si="4"/>
        <v>0</v>
      </c>
      <c r="P47" s="3">
        <f>SUMIFS( historical_events_FACT!J:J, historical_events_FACT!G:G, B47,historical_events_FACT!B:B, "2015",historical_events_FACT!C:C, "11" )</f>
        <v>0</v>
      </c>
      <c r="Q47" s="3">
        <f>COUNTIFS(historical_events_FACT!G:G, B47,historical_events_FACT!B:B, "2015",historical_events_FACT!C:C, "11" )</f>
        <v>0</v>
      </c>
      <c r="R47" s="3">
        <f t="shared" si="5"/>
        <v>0</v>
      </c>
      <c r="S47" s="3">
        <f>SUMIFS( historical_events_FACT!J:J, historical_events_FACT!G:G, B47,historical_events_FACT!B:B, "2016",historical_events_FACT!C:C, "11" )</f>
        <v>0</v>
      </c>
      <c r="T47" s="3">
        <f>COUNTIFS(historical_events_FACT!G:G, B47,historical_events_FACT!B:B, "2016",historical_events_FACT!C:C, "11" )</f>
        <v>0</v>
      </c>
      <c r="U47" s="3">
        <f>MAXIFS( historical_events_FACT!J:J, historical_events_FACT!G:G, B47,historical_events_FACT!C:C, "11" )</f>
        <v>0</v>
      </c>
      <c r="V47" s="97" t="str">
        <f t="array" ref="V47">ROUND(AVERAGEIF({ IFERROR(XLOOKUP(B47, 'Surfer Stats - Event 10'!B:B, 'Surfer Stats - Event 10'!Y:Y), ""), IFERROR(XLOOKUP(B47, 'Surfer Stats - Event 8'!B:B, 'Surfer Stats - Event 8'!Y:Y), ""), IFERROR(XLOOKUP(B47, 'Surfer Stats - Event 9'!B:B, 'Surfer Stats - Event 9'!Y:Y), "") }, "&lt;&gt;"),2)</f>
        <v>#DIV/0!</v>
      </c>
      <c r="W47" s="3" t="str">
        <f t="array" ref="W47">XLOOKUP(B47, 'Surfer Stats - Event 10'!B:B, 'Surfer Stats - Event 10'!Y:Y)</f>
        <v/>
      </c>
      <c r="X47" s="83">
        <v>500.0</v>
      </c>
      <c r="Y47" s="3" t="str">
        <f t="array" ref="Y47">XLOOKUP(B47,'Event 11 Assist'!A:A, 'Event 11 Assist'!E:E)</f>
        <v/>
      </c>
    </row>
    <row r="48">
      <c r="A48" s="10">
        <v>0.0</v>
      </c>
      <c r="B48" s="82" t="s">
        <v>82</v>
      </c>
      <c r="C48" s="10" t="s">
        <v>247</v>
      </c>
      <c r="D48" s="3">
        <f t="shared" si="1"/>
        <v>0</v>
      </c>
      <c r="E48" s="10">
        <v>0.0</v>
      </c>
      <c r="F48" s="10">
        <v>0.0</v>
      </c>
      <c r="G48" s="10">
        <v>99.0</v>
      </c>
      <c r="H48" s="10">
        <v>99.0</v>
      </c>
      <c r="I48" s="10">
        <v>99.0</v>
      </c>
      <c r="J48" s="3">
        <f>COUNTIFS( historical_events_FACT!J:J, "&gt;16", historical_events_FACT!G:G, B48,historical_events_FACT!C:C, "11" )</f>
        <v>0</v>
      </c>
      <c r="K48" s="3">
        <f t="shared" si="2"/>
        <v>0</v>
      </c>
      <c r="L48" s="3">
        <f t="shared" si="3"/>
        <v>0</v>
      </c>
      <c r="M48" s="3">
        <f>SUMIFS( '2014Data'!I:I, '2014Data'!F:F, B48,'2014Data'!B:B, "11" )</f>
        <v>0</v>
      </c>
      <c r="N48" s="3">
        <f>COUNTIFS('2014Data'!F:F, B48,'2014Data'!B:B, "11" )</f>
        <v>0</v>
      </c>
      <c r="O48" s="3">
        <f t="shared" si="4"/>
        <v>0</v>
      </c>
      <c r="P48" s="3">
        <f>SUMIFS( historical_events_FACT!J:J, historical_events_FACT!G:G, B48,historical_events_FACT!B:B, "2015",historical_events_FACT!C:C, "11" )</f>
        <v>0</v>
      </c>
      <c r="Q48" s="3">
        <f>COUNTIFS(historical_events_FACT!G:G, B48,historical_events_FACT!B:B, "2015",historical_events_FACT!C:C, "11" )</f>
        <v>0</v>
      </c>
      <c r="R48" s="3">
        <f t="shared" si="5"/>
        <v>0</v>
      </c>
      <c r="S48" s="3">
        <f>SUMIFS( historical_events_FACT!J:J, historical_events_FACT!G:G, B48,historical_events_FACT!B:B, "2016",historical_events_FACT!C:C, "11" )</f>
        <v>0</v>
      </c>
      <c r="T48" s="3">
        <f>COUNTIFS(historical_events_FACT!G:G, B48,historical_events_FACT!B:B, "2016",historical_events_FACT!C:C, "11" )</f>
        <v>0</v>
      </c>
      <c r="U48" s="3">
        <f>MAXIFS( historical_events_FACT!J:J, historical_events_FACT!G:G, B48,historical_events_FACT!C:C, "11" )</f>
        <v>0</v>
      </c>
      <c r="V48" s="97" t="str">
        <f t="array" ref="V48">ROUND(AVERAGEIF({ IFERROR(XLOOKUP(B48, 'Surfer Stats - Event 10'!B:B, 'Surfer Stats - Event 10'!Y:Y), ""), IFERROR(XLOOKUP(B48, 'Surfer Stats - Event 8'!B:B, 'Surfer Stats - Event 8'!Y:Y), ""), IFERROR(XLOOKUP(B48, 'Surfer Stats - Event 9'!B:B, 'Surfer Stats - Event 9'!Y:Y), "") }, "&lt;&gt;"),2)</f>
        <v>#DIV/0!</v>
      </c>
      <c r="W48" s="3" t="str">
        <f t="array" ref="W48">XLOOKUP(B48, 'Surfer Stats - Event 10'!B:B, 'Surfer Stats - Event 10'!Y:Y)</f>
        <v/>
      </c>
      <c r="X48" s="91">
        <v>500.0</v>
      </c>
      <c r="Y48" s="3" t="str">
        <f t="array" ref="Y48">XLOOKUP(B48,'Event 11 Assist'!A:A, 'Event 11 Assist'!E:E)</f>
        <v/>
      </c>
    </row>
    <row r="49">
      <c r="A49" s="10">
        <v>0.0</v>
      </c>
      <c r="B49" s="82" t="s">
        <v>110</v>
      </c>
      <c r="C49" s="10" t="s">
        <v>244</v>
      </c>
      <c r="D49" s="3">
        <f t="shared" si="1"/>
        <v>0</v>
      </c>
      <c r="E49" s="10">
        <v>0.0</v>
      </c>
      <c r="F49" s="10">
        <v>0.0</v>
      </c>
      <c r="G49" s="10">
        <v>99.0</v>
      </c>
      <c r="H49" s="10">
        <v>99.0</v>
      </c>
      <c r="I49" s="10">
        <v>99.0</v>
      </c>
      <c r="J49" s="3">
        <f>COUNTIFS( historical_events_FACT!J:J, "&gt;16", historical_events_FACT!G:G, B49,historical_events_FACT!C:C, "11" )</f>
        <v>0</v>
      </c>
      <c r="K49" s="3">
        <f t="shared" si="2"/>
        <v>0</v>
      </c>
      <c r="L49" s="3">
        <f t="shared" si="3"/>
        <v>0</v>
      </c>
      <c r="M49" s="3">
        <f>SUMIFS( '2014Data'!I:I, '2014Data'!F:F, B49,'2014Data'!B:B, "11" )</f>
        <v>0</v>
      </c>
      <c r="N49" s="3">
        <f>COUNTIFS('2014Data'!F:F, B49,'2014Data'!B:B, "11" )</f>
        <v>0</v>
      </c>
      <c r="O49" s="3">
        <f t="shared" si="4"/>
        <v>0</v>
      </c>
      <c r="P49" s="3">
        <f>SUMIFS( historical_events_FACT!J:J, historical_events_FACT!G:G, B49,historical_events_FACT!B:B, "2015",historical_events_FACT!C:C, "11" )</f>
        <v>0</v>
      </c>
      <c r="Q49" s="3">
        <f>COUNTIFS(historical_events_FACT!G:G, B49,historical_events_FACT!B:B, "2015",historical_events_FACT!C:C, "11" )</f>
        <v>0</v>
      </c>
      <c r="R49" s="3">
        <f t="shared" si="5"/>
        <v>0</v>
      </c>
      <c r="S49" s="3">
        <f>SUMIFS( historical_events_FACT!J:J, historical_events_FACT!G:G, B49,historical_events_FACT!B:B, "2016",historical_events_FACT!C:C, "11" )</f>
        <v>0</v>
      </c>
      <c r="T49" s="3">
        <f>COUNTIFS(historical_events_FACT!G:G, B49,historical_events_FACT!B:B, "2016",historical_events_FACT!C:C, "11" )</f>
        <v>0</v>
      </c>
      <c r="U49" s="3">
        <f>MAXIFS( historical_events_FACT!J:J, historical_events_FACT!G:G, B49,historical_events_FACT!C:C, "11" )</f>
        <v>0</v>
      </c>
      <c r="V49" s="97" t="str">
        <f t="array" ref="V49">ROUND(AVERAGEIF({ IFERROR(XLOOKUP(B49, 'Surfer Stats - Event 10'!B:B, 'Surfer Stats - Event 10'!Y:Y), ""), IFERROR(XLOOKUP(B49, 'Surfer Stats - Event 8'!B:B, 'Surfer Stats - Event 8'!Y:Y), ""), IFERROR(XLOOKUP(B49, 'Surfer Stats - Event 9'!B:B, 'Surfer Stats - Event 9'!Y:Y), "") }, "&lt;&gt;"),2)</f>
        <v>#DIV/0!</v>
      </c>
      <c r="W49" s="3" t="str">
        <f t="array" ref="W49">XLOOKUP(B49, 'Surfer Stats - Event 10'!B:B, 'Surfer Stats - Event 10'!Y:Y)</f>
        <v/>
      </c>
      <c r="X49" s="91">
        <v>500.0</v>
      </c>
      <c r="Y49" s="3" t="str">
        <f t="array" ref="Y49">XLOOKUP(B49,'Event 11 Assist'!A:A, 'Event 11 Assist'!E:E)</f>
        <v/>
      </c>
    </row>
    <row r="50">
      <c r="A50" s="10">
        <v>0.0</v>
      </c>
      <c r="B50" s="82" t="s">
        <v>286</v>
      </c>
      <c r="C50" s="10" t="s">
        <v>244</v>
      </c>
      <c r="D50" s="3">
        <f t="shared" si="1"/>
        <v>0</v>
      </c>
      <c r="E50" s="10">
        <v>0.0</v>
      </c>
      <c r="F50" s="10">
        <v>0.0</v>
      </c>
      <c r="G50" s="10">
        <v>99.0</v>
      </c>
      <c r="H50" s="10">
        <v>99.0</v>
      </c>
      <c r="I50" s="10">
        <v>99.0</v>
      </c>
      <c r="J50" s="3">
        <f>COUNTIFS( historical_events_FACT!J:J, "&gt;16", historical_events_FACT!G:G, B50,historical_events_FACT!C:C, "11" )</f>
        <v>0</v>
      </c>
      <c r="K50" s="3">
        <f t="shared" si="2"/>
        <v>0</v>
      </c>
      <c r="L50" s="3">
        <f t="shared" si="3"/>
        <v>0</v>
      </c>
      <c r="M50" s="3">
        <f>SUMIFS( '2014Data'!I:I, '2014Data'!F:F, B50,'2014Data'!B:B, "11" )</f>
        <v>0</v>
      </c>
      <c r="N50" s="3">
        <f>COUNTIFS('2014Data'!F:F, B50,'2014Data'!B:B, "11" )</f>
        <v>0</v>
      </c>
      <c r="O50" s="3">
        <f t="shared" si="4"/>
        <v>0</v>
      </c>
      <c r="P50" s="3">
        <f>SUMIFS( historical_events_FACT!J:J, historical_events_FACT!G:G, B50,historical_events_FACT!B:B, "2015",historical_events_FACT!C:C, "11" )</f>
        <v>0</v>
      </c>
      <c r="Q50" s="3">
        <f>COUNTIFS(historical_events_FACT!G:G, B50,historical_events_FACT!B:B, "2015",historical_events_FACT!C:C, "11" )</f>
        <v>0</v>
      </c>
      <c r="R50" s="3">
        <f t="shared" si="5"/>
        <v>0</v>
      </c>
      <c r="S50" s="3">
        <f>SUMIFS( historical_events_FACT!J:J, historical_events_FACT!G:G, B50,historical_events_FACT!B:B, "2016",historical_events_FACT!C:C, "11" )</f>
        <v>0</v>
      </c>
      <c r="T50" s="3">
        <f>COUNTIFS(historical_events_FACT!G:G, B50,historical_events_FACT!B:B, "2016",historical_events_FACT!C:C, "11" )</f>
        <v>0</v>
      </c>
      <c r="U50" s="3">
        <f>MAXIFS( historical_events_FACT!J:J, historical_events_FACT!G:G, B50,historical_events_FACT!C:C, "11" )</f>
        <v>0</v>
      </c>
      <c r="V50" s="97" t="str">
        <f t="array" ref="V50">ROUND(AVERAGEIF({ IFERROR(XLOOKUP(B50, 'Surfer Stats - Event 10'!B:B, 'Surfer Stats - Event 10'!Y:Y), ""), IFERROR(XLOOKUP(B50, 'Surfer Stats - Event 8'!B:B, 'Surfer Stats - Event 8'!Y:Y), ""), IFERROR(XLOOKUP(B50, 'Surfer Stats - Event 9'!B:B, 'Surfer Stats - Event 9'!Y:Y), "") }, "&lt;&gt;"),2)</f>
        <v>#DIV/0!</v>
      </c>
      <c r="W50" s="3" t="str">
        <f t="array" ref="W50">XLOOKUP(B50, 'Surfer Stats - Event 10'!B:B, 'Surfer Stats - Event 10'!Y:Y)</f>
        <v/>
      </c>
      <c r="X50" s="91">
        <v>500.0</v>
      </c>
      <c r="Y50" s="3" t="str">
        <f t="array" ref="Y50">XLOOKUP(B50,'Event 11 Assist'!A:A, 'Event 11 Assist'!E:E)</f>
        <v/>
      </c>
    </row>
    <row r="51">
      <c r="A51" s="10">
        <v>0.0</v>
      </c>
      <c r="B51" s="82" t="s">
        <v>107</v>
      </c>
      <c r="C51" s="10" t="s">
        <v>244</v>
      </c>
      <c r="D51" s="3">
        <f t="shared" si="1"/>
        <v>2</v>
      </c>
      <c r="E51" s="10">
        <v>0.0</v>
      </c>
      <c r="F51" s="10">
        <v>0.0</v>
      </c>
      <c r="G51" s="10">
        <v>99.0</v>
      </c>
      <c r="H51" s="10">
        <v>99.0</v>
      </c>
      <c r="I51" s="10">
        <v>99.0</v>
      </c>
      <c r="J51" s="3">
        <f>COUNTIFS( historical_events_FACT!J:J, "&gt;16", historical_events_FACT!G:G, B51,historical_events_FACT!C:C, "11" )</f>
        <v>0</v>
      </c>
      <c r="K51" s="3">
        <f t="shared" si="2"/>
        <v>6.26</v>
      </c>
      <c r="L51" s="3">
        <f t="shared" si="3"/>
        <v>6.26</v>
      </c>
      <c r="M51" s="3">
        <f>SUMIFS( '2014Data'!I:I, '2014Data'!F:F, B51,'2014Data'!B:B, "11" )</f>
        <v>12.51</v>
      </c>
      <c r="N51" s="3">
        <f>COUNTIFS('2014Data'!F:F, B51,'2014Data'!B:B, "11" )</f>
        <v>2</v>
      </c>
      <c r="O51" s="3">
        <f t="shared" si="4"/>
        <v>0</v>
      </c>
      <c r="P51" s="3">
        <f>SUMIFS( historical_events_FACT!J:J, historical_events_FACT!G:G, B51,historical_events_FACT!B:B, "2015",historical_events_FACT!C:C, "11" )</f>
        <v>0</v>
      </c>
      <c r="Q51" s="3">
        <f>COUNTIFS(historical_events_FACT!G:G, B51,historical_events_FACT!B:B, "2015",historical_events_FACT!C:C, "11" )</f>
        <v>0</v>
      </c>
      <c r="R51" s="3">
        <f t="shared" si="5"/>
        <v>0</v>
      </c>
      <c r="S51" s="3">
        <f>SUMIFS( historical_events_FACT!J:J, historical_events_FACT!G:G, B51,historical_events_FACT!B:B, "2016",historical_events_FACT!C:C, "11" )</f>
        <v>0</v>
      </c>
      <c r="T51" s="3">
        <f>COUNTIFS(historical_events_FACT!G:G, B51,historical_events_FACT!B:B, "2016",historical_events_FACT!C:C, "11" )</f>
        <v>0</v>
      </c>
      <c r="U51" s="3">
        <f>MAXIFS( historical_events_FACT!J:J, historical_events_FACT!G:G, B51,historical_events_FACT!C:C, "11" )</f>
        <v>9.27</v>
      </c>
      <c r="V51" s="97" t="str">
        <f t="array" ref="V51">ROUND(AVERAGEIF({ IFERROR(XLOOKUP(B51, 'Surfer Stats - Event 10'!B:B, 'Surfer Stats - Event 10'!Y:Y), ""), IFERROR(XLOOKUP(B51, 'Surfer Stats - Event 8'!B:B, 'Surfer Stats - Event 8'!Y:Y), ""), IFERROR(XLOOKUP(B51, 'Surfer Stats - Event 9'!B:B, 'Surfer Stats - Event 9'!Y:Y), "") }, "&lt;&gt;"),2)</f>
        <v>#DIV/0!</v>
      </c>
      <c r="W51" s="3" t="str">
        <f t="array" ref="W51">XLOOKUP(B51, 'Surfer Stats - Event 10'!B:B, 'Surfer Stats - Event 10'!Y:Y)</f>
        <v/>
      </c>
      <c r="X51" s="91">
        <v>500.0</v>
      </c>
      <c r="Y51" s="3" t="str">
        <f t="array" ref="Y51">XLOOKUP(B51,'Event 11 Assist'!A:A, 'Event 11 Assist'!E:E)</f>
        <v/>
      </c>
    </row>
    <row r="52">
      <c r="A52" s="10">
        <v>0.0</v>
      </c>
      <c r="B52" s="82" t="s">
        <v>115</v>
      </c>
      <c r="C52" s="10" t="s">
        <v>247</v>
      </c>
      <c r="D52" s="3">
        <f t="shared" si="1"/>
        <v>0</v>
      </c>
      <c r="E52" s="10">
        <v>0.0</v>
      </c>
      <c r="F52" s="10">
        <v>0.0</v>
      </c>
      <c r="G52" s="10">
        <v>99.0</v>
      </c>
      <c r="H52" s="10">
        <v>99.0</v>
      </c>
      <c r="I52" s="10">
        <v>99.0</v>
      </c>
      <c r="J52" s="3">
        <f>COUNTIFS( historical_events_FACT!J:J, "&gt;16", historical_events_FACT!G:G, B52,historical_events_FACT!C:C, "11" )</f>
        <v>0</v>
      </c>
      <c r="K52" s="3">
        <f t="shared" si="2"/>
        <v>0</v>
      </c>
      <c r="L52" s="3">
        <f t="shared" si="3"/>
        <v>0</v>
      </c>
      <c r="M52" s="3">
        <f>SUMIFS( '2014Data'!I:I, '2014Data'!F:F, B52,'2014Data'!B:B, "11" )</f>
        <v>0</v>
      </c>
      <c r="N52" s="3">
        <f>COUNTIFS('2014Data'!F:F, B52,'2014Data'!B:B, "11" )</f>
        <v>0</v>
      </c>
      <c r="O52" s="3">
        <f t="shared" si="4"/>
        <v>0</v>
      </c>
      <c r="P52" s="3">
        <f>SUMIFS( historical_events_FACT!J:J, historical_events_FACT!G:G, B52,historical_events_FACT!B:B, "2015",historical_events_FACT!C:C, "11" )</f>
        <v>0</v>
      </c>
      <c r="Q52" s="3">
        <f>COUNTIFS(historical_events_FACT!G:G, B52,historical_events_FACT!B:B, "2015",historical_events_FACT!C:C, "11" )</f>
        <v>0</v>
      </c>
      <c r="R52" s="3">
        <f t="shared" si="5"/>
        <v>0</v>
      </c>
      <c r="S52" s="3">
        <f>SUMIFS( historical_events_FACT!J:J, historical_events_FACT!G:G, B52,historical_events_FACT!B:B, "2016",historical_events_FACT!C:C, "11" )</f>
        <v>0</v>
      </c>
      <c r="T52" s="3">
        <f>COUNTIFS(historical_events_FACT!G:G, B52,historical_events_FACT!B:B, "2016",historical_events_FACT!C:C, "11" )</f>
        <v>0</v>
      </c>
      <c r="U52" s="3">
        <f>MAXIFS( historical_events_FACT!J:J, historical_events_FACT!G:G, B52,historical_events_FACT!C:C, "11" )</f>
        <v>0</v>
      </c>
      <c r="V52" s="97" t="str">
        <f t="array" ref="V52">ROUND(AVERAGEIF({ IFERROR(XLOOKUP(B52, 'Surfer Stats - Event 10'!B:B, 'Surfer Stats - Event 10'!Y:Y), ""), IFERROR(XLOOKUP(B52, 'Surfer Stats - Event 8'!B:B, 'Surfer Stats - Event 8'!Y:Y), ""), IFERROR(XLOOKUP(B52, 'Surfer Stats - Event 9'!B:B, 'Surfer Stats - Event 9'!Y:Y), "") }, "&lt;&gt;"),2)</f>
        <v>#DIV/0!</v>
      </c>
      <c r="W52" s="3" t="str">
        <f t="array" ref="W52">XLOOKUP(B52, 'Surfer Stats - Event 10'!B:B, 'Surfer Stats - Event 10'!Y:Y)</f>
        <v/>
      </c>
      <c r="X52" s="91">
        <v>500.0</v>
      </c>
      <c r="Y52" s="3" t="str">
        <f t="array" ref="Y52">XLOOKUP(B52,'Event 11 Assist'!A:A, 'Event 11 Assist'!E:E)</f>
        <v/>
      </c>
    </row>
    <row r="53">
      <c r="A53" s="10">
        <v>0.0</v>
      </c>
      <c r="B53" s="82" t="s">
        <v>25</v>
      </c>
      <c r="C53" s="10" t="s">
        <v>244</v>
      </c>
      <c r="D53" s="3">
        <f t="shared" si="1"/>
        <v>7</v>
      </c>
      <c r="E53" s="10">
        <v>0.0</v>
      </c>
      <c r="F53" s="10">
        <v>0.0</v>
      </c>
      <c r="G53" s="10">
        <v>99.0</v>
      </c>
      <c r="H53" s="10">
        <v>99.0</v>
      </c>
      <c r="I53" s="10">
        <v>99.0</v>
      </c>
      <c r="J53" s="3">
        <f>COUNTIFS( historical_events_FACT!J:J, "&gt;16", historical_events_FACT!G:G, B53,historical_events_FACT!C:C, "11" )</f>
        <v>0</v>
      </c>
      <c r="K53" s="3">
        <f t="shared" si="2"/>
        <v>8.04</v>
      </c>
      <c r="L53" s="3">
        <f t="shared" si="3"/>
        <v>0</v>
      </c>
      <c r="M53" s="3">
        <f>SUMIFS( '2014Data'!I:I, '2014Data'!F:F, B53,'2014Data'!B:B, "11" )</f>
        <v>0</v>
      </c>
      <c r="N53" s="3">
        <f>COUNTIFS('2014Data'!F:F, B53,'2014Data'!B:B, "11" )</f>
        <v>0</v>
      </c>
      <c r="O53" s="3">
        <f t="shared" si="4"/>
        <v>7.44</v>
      </c>
      <c r="P53" s="3">
        <f>SUMIFS( historical_events_FACT!J:J, historical_events_FACT!G:G, B53,historical_events_FACT!B:B, "2015",historical_events_FACT!C:C, "11" )</f>
        <v>37.21</v>
      </c>
      <c r="Q53" s="3">
        <f>COUNTIFS(historical_events_FACT!G:G, B53,historical_events_FACT!B:B, "2015",historical_events_FACT!C:C, "11" )</f>
        <v>5</v>
      </c>
      <c r="R53" s="3">
        <f t="shared" si="5"/>
        <v>9.55</v>
      </c>
      <c r="S53" s="3">
        <f>SUMIFS( historical_events_FACT!J:J, historical_events_FACT!G:G, B53,historical_events_FACT!B:B, "2016",historical_events_FACT!C:C, "11" )</f>
        <v>19.09</v>
      </c>
      <c r="T53" s="3">
        <f>COUNTIFS(historical_events_FACT!G:G, B53,historical_events_FACT!B:B, "2016",historical_events_FACT!C:C, "11" )</f>
        <v>2</v>
      </c>
      <c r="U53" s="3">
        <f>MAXIFS( historical_events_FACT!J:J, historical_events_FACT!G:G, B53,historical_events_FACT!C:C, "11" )</f>
        <v>10.83</v>
      </c>
      <c r="V53" s="97">
        <f t="array" ref="V53">ROUND(AVERAGEIF({ IFERROR(XLOOKUP(B53, 'Surfer Stats - Event 10'!B:B, 'Surfer Stats - Event 10'!Y:Y), ""), IFERROR(XLOOKUP(B53, 'Surfer Stats - Event 8'!B:B, 'Surfer Stats - Event 8'!Y:Y), ""), IFERROR(XLOOKUP(B53, 'Surfer Stats - Event 9'!B:B, 'Surfer Stats - Event 9'!Y:Y), "") }, "&lt;&gt;"),2)</f>
        <v>16.27</v>
      </c>
      <c r="W53" s="3" t="str">
        <f t="array" ref="W53">XLOOKUP(B53, 'Surfer Stats - Event 10'!B:B, 'Surfer Stats - Event 10'!Y:Y)</f>
        <v/>
      </c>
      <c r="X53" s="91">
        <v>500.0</v>
      </c>
      <c r="Y53" s="3" t="str">
        <f t="array" ref="Y53">XLOOKUP(B53,'Event 11 Assist'!A:A, 'Event 11 Assist'!E:E)</f>
        <v/>
      </c>
    </row>
    <row r="54">
      <c r="A54" s="10">
        <v>0.0</v>
      </c>
      <c r="B54" s="82" t="s">
        <v>72</v>
      </c>
      <c r="C54" s="10" t="s">
        <v>244</v>
      </c>
      <c r="D54" s="3">
        <f t="shared" si="1"/>
        <v>5</v>
      </c>
      <c r="E54" s="10">
        <v>0.0</v>
      </c>
      <c r="F54" s="10">
        <v>0.0</v>
      </c>
      <c r="G54" s="10">
        <v>99.0</v>
      </c>
      <c r="H54" s="10">
        <v>99.0</v>
      </c>
      <c r="I54" s="10">
        <v>99.0</v>
      </c>
      <c r="J54" s="3">
        <f>COUNTIFS( historical_events_FACT!J:J, "&gt;16", historical_events_FACT!G:G, B54,historical_events_FACT!C:C, "11" )</f>
        <v>1</v>
      </c>
      <c r="K54" s="3">
        <f t="shared" si="2"/>
        <v>8.24</v>
      </c>
      <c r="L54" s="3">
        <f t="shared" si="3"/>
        <v>0</v>
      </c>
      <c r="M54" s="3">
        <f>SUMIFS( '2014Data'!I:I, '2014Data'!F:F, B54,'2014Data'!B:B, "11" )</f>
        <v>0</v>
      </c>
      <c r="N54" s="3">
        <f>COUNTIFS('2014Data'!F:F, B54,'2014Data'!B:B, "11" )</f>
        <v>0</v>
      </c>
      <c r="O54" s="3">
        <f t="shared" si="4"/>
        <v>8.24</v>
      </c>
      <c r="P54" s="3">
        <f>SUMIFS( historical_events_FACT!J:J, historical_events_FACT!G:G, B54,historical_events_FACT!B:B, "2015",historical_events_FACT!C:C, "11" )</f>
        <v>41.19</v>
      </c>
      <c r="Q54" s="3">
        <f>COUNTIFS(historical_events_FACT!G:G, B54,historical_events_FACT!B:B, "2015",historical_events_FACT!C:C, "11" )</f>
        <v>5</v>
      </c>
      <c r="R54" s="3">
        <f t="shared" si="5"/>
        <v>0</v>
      </c>
      <c r="S54" s="3">
        <f>SUMIFS( historical_events_FACT!J:J, historical_events_FACT!G:G, B54,historical_events_FACT!B:B, "2016",historical_events_FACT!C:C, "11" )</f>
        <v>0</v>
      </c>
      <c r="T54" s="3">
        <f>COUNTIFS(historical_events_FACT!G:G, B54,historical_events_FACT!B:B, "2016",historical_events_FACT!C:C, "11" )</f>
        <v>0</v>
      </c>
      <c r="U54" s="3">
        <f>MAXIFS( historical_events_FACT!J:J, historical_events_FACT!G:G, B54,historical_events_FACT!C:C, "11" )</f>
        <v>16.23</v>
      </c>
      <c r="V54" s="97">
        <f t="array" ref="V54">ROUND(AVERAGEIF({ IFERROR(XLOOKUP(B54, 'Surfer Stats - Event 10'!B:B, 'Surfer Stats - Event 10'!Y:Y), ""), IFERROR(XLOOKUP(B54, 'Surfer Stats - Event 8'!B:B, 'Surfer Stats - Event 8'!Y:Y), ""), IFERROR(XLOOKUP(B54, 'Surfer Stats - Event 9'!B:B, 'Surfer Stats - Event 9'!Y:Y), "") }, "&lt;&gt;"),2)</f>
        <v>10</v>
      </c>
      <c r="W54" s="3">
        <f t="array" ref="W54">XLOOKUP(B54, 'Surfer Stats - Event 10'!B:B, 'Surfer Stats - Event 10'!Y:Y)</f>
        <v>10</v>
      </c>
      <c r="X54" s="91">
        <v>500.0</v>
      </c>
      <c r="Y54" s="3" t="str">
        <f t="array" ref="Y54">XLOOKUP(B54,'Event 11 Assist'!A:A, 'Event 11 Assist'!E:E)</f>
        <v/>
      </c>
    </row>
    <row r="55">
      <c r="A55" s="10">
        <v>1.0</v>
      </c>
      <c r="B55" s="66" t="s">
        <v>70</v>
      </c>
      <c r="C55" s="10" t="s">
        <v>244</v>
      </c>
      <c r="D55" s="3">
        <f t="shared" si="1"/>
        <v>5</v>
      </c>
      <c r="E55" s="10">
        <v>1.0</v>
      </c>
      <c r="F55" s="10">
        <v>1.0</v>
      </c>
      <c r="G55" s="10">
        <v>13.0</v>
      </c>
      <c r="H55" s="10">
        <v>99.0</v>
      </c>
      <c r="I55" s="10">
        <v>25.0</v>
      </c>
      <c r="J55" s="3">
        <f>COUNTIFS( historical_events_FACT!J:J, "&gt;16", historical_events_FACT!G:G, B55,historical_events_FACT!C:C, "11" )</f>
        <v>0</v>
      </c>
      <c r="K55" s="3">
        <f t="shared" si="2"/>
        <v>9.32</v>
      </c>
      <c r="L55" s="3">
        <f t="shared" si="3"/>
        <v>9.99</v>
      </c>
      <c r="M55" s="3">
        <f>SUMIFS( '2014Data'!I:I, '2014Data'!F:F, B55,'2014Data'!B:B, "11" )</f>
        <v>29.98</v>
      </c>
      <c r="N55" s="3">
        <f>COUNTIFS('2014Data'!F:F, B55,'2014Data'!B:B, "11" )</f>
        <v>3</v>
      </c>
      <c r="O55" s="3">
        <f t="shared" si="4"/>
        <v>8.32</v>
      </c>
      <c r="P55" s="3">
        <f>SUMIFS( historical_events_FACT!J:J, historical_events_FACT!G:G, B55,historical_events_FACT!B:B, "2015",historical_events_FACT!C:C, "11" )</f>
        <v>16.63</v>
      </c>
      <c r="Q55" s="3">
        <f>COUNTIFS(historical_events_FACT!G:G, B55,historical_events_FACT!B:B, "2015",historical_events_FACT!C:C, "11" )</f>
        <v>2</v>
      </c>
      <c r="R55" s="3">
        <f t="shared" si="5"/>
        <v>0</v>
      </c>
      <c r="S55" s="3">
        <f>SUMIFS( historical_events_FACT!J:J, historical_events_FACT!G:G, B55,historical_events_FACT!B:B, "2016",historical_events_FACT!C:C, "11" )</f>
        <v>0</v>
      </c>
      <c r="T55" s="3">
        <f>COUNTIFS(historical_events_FACT!G:G, B55,historical_events_FACT!B:B, "2016",historical_events_FACT!C:C, "11" )</f>
        <v>0</v>
      </c>
      <c r="U55" s="3">
        <f>MAXIFS( historical_events_FACT!J:J, historical_events_FACT!G:G, B55,historical_events_FACT!C:C, "11" )</f>
        <v>14.93</v>
      </c>
      <c r="V55" s="99">
        <v>33.0</v>
      </c>
      <c r="W55" s="10">
        <v>19.29</v>
      </c>
      <c r="X55" s="51">
        <v>0.0</v>
      </c>
      <c r="Y55" s="3">
        <f t="array" ref="Y55">XLOOKUP(B55,'Event 11 Assist'!A:A, 'Event 11 Assist'!E:E)</f>
        <v>15.33</v>
      </c>
    </row>
    <row r="56">
      <c r="A56" s="10">
        <v>1.0</v>
      </c>
      <c r="B56" s="66" t="s">
        <v>302</v>
      </c>
      <c r="C56" s="10" t="s">
        <v>247</v>
      </c>
      <c r="D56" s="3">
        <f t="shared" si="1"/>
        <v>0</v>
      </c>
      <c r="E56" s="10">
        <v>1.0</v>
      </c>
      <c r="F56" s="10">
        <v>1.0</v>
      </c>
      <c r="G56" s="10">
        <v>99.0</v>
      </c>
      <c r="H56" s="10">
        <v>99.0</v>
      </c>
      <c r="I56" s="10">
        <v>99.0</v>
      </c>
      <c r="J56" s="3">
        <f>COUNTIFS( historical_events_FACT!J:J, "&gt;16", historical_events_FACT!G:G, B56,historical_events_FACT!C:C, "11" )</f>
        <v>0</v>
      </c>
      <c r="K56" s="3">
        <f t="shared" si="2"/>
        <v>0</v>
      </c>
      <c r="L56" s="3">
        <f t="shared" si="3"/>
        <v>0</v>
      </c>
      <c r="M56" s="3">
        <f>SUMIFS( '2014Data'!I:I, '2014Data'!F:F, B56,'2014Data'!B:B, "11" )</f>
        <v>0</v>
      </c>
      <c r="N56" s="3">
        <f>COUNTIFS('2014Data'!F:F, B56,'2014Data'!B:B, "11" )</f>
        <v>0</v>
      </c>
      <c r="O56" s="3">
        <f t="shared" si="4"/>
        <v>0</v>
      </c>
      <c r="P56" s="3">
        <f>SUMIFS( historical_events_FACT!J:J, historical_events_FACT!G:G, B56,historical_events_FACT!B:B, "2015",historical_events_FACT!C:C, "11" )</f>
        <v>0</v>
      </c>
      <c r="Q56" s="3">
        <f>COUNTIFS(historical_events_FACT!G:G, B56,historical_events_FACT!B:B, "2015",historical_events_FACT!C:C, "11" )</f>
        <v>0</v>
      </c>
      <c r="R56" s="3">
        <f t="shared" si="5"/>
        <v>0</v>
      </c>
      <c r="S56" s="3">
        <f>SUMIFS( historical_events_FACT!J:J, historical_events_FACT!G:G, B56,historical_events_FACT!B:B, "2016",historical_events_FACT!C:C, "11" )</f>
        <v>0</v>
      </c>
      <c r="T56" s="3">
        <f>COUNTIFS(historical_events_FACT!G:G, B56,historical_events_FACT!B:B, "2016",historical_events_FACT!C:C, "11" )</f>
        <v>0</v>
      </c>
      <c r="U56" s="3">
        <f>MAXIFS( historical_events_FACT!J:J, historical_events_FACT!G:G, B56,historical_events_FACT!C:C, "11" )</f>
        <v>0</v>
      </c>
      <c r="V56" s="99">
        <v>33.0</v>
      </c>
      <c r="W56" s="10">
        <v>19.29</v>
      </c>
      <c r="X56" s="51">
        <v>0.0</v>
      </c>
      <c r="Y56" s="3">
        <f t="array" ref="Y56">XLOOKUP(B56,'Event 11 Assist'!A:A, 'Event 11 Assist'!E:E)</f>
        <v>19.51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26</v>
      </c>
      <c r="B1" s="75">
        <f>23000+1750+1750+5200+5200+6500+6500+5200+8000</f>
        <v>63100</v>
      </c>
      <c r="C1" s="78">
        <v>1.0</v>
      </c>
      <c r="D1" s="75">
        <v>0.0</v>
      </c>
      <c r="E1" s="103">
        <v>83.86</v>
      </c>
    </row>
    <row r="2">
      <c r="A2" s="66" t="s">
        <v>30</v>
      </c>
      <c r="B2" s="75">
        <f>8750+4000+1750+6500+8000+1750+10000+10000+5200</f>
        <v>55950</v>
      </c>
      <c r="C2" s="78">
        <v>1.0</v>
      </c>
      <c r="D2" s="75">
        <v>0.0</v>
      </c>
      <c r="E2" s="103">
        <v>73.87</v>
      </c>
    </row>
    <row r="3">
      <c r="A3" s="66" t="s">
        <v>28</v>
      </c>
      <c r="B3" s="75">
        <f>19200+5200+1750+5200+6500+8000+1750+1750+1750</f>
        <v>51100</v>
      </c>
      <c r="C3" s="78">
        <v>1.0</v>
      </c>
      <c r="D3" s="75">
        <v>0.0</v>
      </c>
      <c r="E3" s="103">
        <v>24.44</v>
      </c>
    </row>
    <row r="4">
      <c r="A4" s="66" t="s">
        <v>31</v>
      </c>
      <c r="B4" s="75">
        <f>7500+4000+5200+6500+10000+4000+500+8000+5200</f>
        <v>50900</v>
      </c>
      <c r="C4" s="78">
        <v>1.0</v>
      </c>
      <c r="D4" s="75">
        <v>0.0</v>
      </c>
      <c r="E4" s="103">
        <v>47.39</v>
      </c>
    </row>
    <row r="5">
      <c r="A5" s="66" t="s">
        <v>34</v>
      </c>
      <c r="B5" s="75">
        <f>10250+6500+10000+5200+4000+500+1750+1750+1750</f>
        <v>41700</v>
      </c>
      <c r="C5" s="78">
        <v>1.0</v>
      </c>
      <c r="D5" s="75">
        <v>0.0</v>
      </c>
      <c r="E5" s="103">
        <v>11.5</v>
      </c>
    </row>
    <row r="6">
      <c r="A6" s="66" t="s">
        <v>57</v>
      </c>
      <c r="B6" s="75">
        <f>19200++5200+1750+4000+5200+500+4000+500+500</f>
        <v>40850</v>
      </c>
      <c r="C6" s="78">
        <v>1.0</v>
      </c>
      <c r="D6" s="75">
        <v>0.0</v>
      </c>
      <c r="E6" s="103">
        <v>14.14</v>
      </c>
    </row>
    <row r="7">
      <c r="A7" s="66" t="s">
        <v>42</v>
      </c>
      <c r="B7" s="75">
        <f>14400+10000+1750+1750+1750+5200+1750+1750+1750</f>
        <v>40100</v>
      </c>
      <c r="C7" s="78">
        <v>1.0</v>
      </c>
      <c r="D7" s="75">
        <v>0.0</v>
      </c>
      <c r="E7" s="103">
        <v>29.33</v>
      </c>
    </row>
    <row r="8">
      <c r="A8" s="66" t="s">
        <v>39</v>
      </c>
      <c r="B8" s="75">
        <f>10950+5200+6500+1750+1750+500+5200+1750+5200</f>
        <v>38800</v>
      </c>
      <c r="C8" s="78">
        <v>1.0</v>
      </c>
      <c r="D8" s="78">
        <v>0.0</v>
      </c>
      <c r="E8" s="104">
        <v>53.89</v>
      </c>
    </row>
    <row r="9">
      <c r="A9" s="66" t="s">
        <v>32</v>
      </c>
      <c r="B9" s="75">
        <f>13750+500+1750+500+6500+500+6500+6500+1750</f>
        <v>38250</v>
      </c>
      <c r="C9" s="78">
        <v>1.0</v>
      </c>
      <c r="D9" s="78">
        <v>0.0</v>
      </c>
      <c r="E9" s="103">
        <v>28.87</v>
      </c>
    </row>
    <row r="10">
      <c r="A10" s="66" t="s">
        <v>33</v>
      </c>
      <c r="B10" s="75">
        <f>12200+1750+500+10000+500+10000+500+500+500</f>
        <v>36450</v>
      </c>
      <c r="C10" s="78">
        <v>1.0</v>
      </c>
      <c r="D10" s="75">
        <v>0.0</v>
      </c>
      <c r="E10" s="104">
        <v>13.3</v>
      </c>
    </row>
    <row r="11">
      <c r="A11" s="66" t="s">
        <v>38</v>
      </c>
      <c r="B11" s="75">
        <f>9750+1750+4000+500+1750+4000+8000+5200+500</f>
        <v>35450</v>
      </c>
      <c r="C11" s="78">
        <v>1.0</v>
      </c>
      <c r="D11" s="78">
        <v>0.0</v>
      </c>
      <c r="E11" s="104">
        <v>20.6</v>
      </c>
    </row>
    <row r="12">
      <c r="A12" s="66" t="s">
        <v>41</v>
      </c>
      <c r="B12" s="75">
        <f>7450+5200+1750+5200+1750+1750+5200+5200+1750</f>
        <v>35250</v>
      </c>
      <c r="C12" s="78">
        <v>1.0</v>
      </c>
      <c r="D12" s="78">
        <v>0.0</v>
      </c>
      <c r="E12" s="104">
        <v>32.3</v>
      </c>
    </row>
    <row r="13">
      <c r="A13" s="66" t="s">
        <v>50</v>
      </c>
      <c r="B13" s="75">
        <f>7500+1750+1750+1750+1750+5200+1750+500+10000</f>
        <v>31950</v>
      </c>
      <c r="C13" s="78">
        <v>1.0</v>
      </c>
      <c r="D13" s="75">
        <v>0.0</v>
      </c>
      <c r="E13" s="104">
        <v>73.33</v>
      </c>
    </row>
    <row r="14">
      <c r="A14" s="66" t="s">
        <v>61</v>
      </c>
      <c r="B14" s="75">
        <f>8700+1750+8000+1750+4000+500+500+4000+1750</f>
        <v>30950</v>
      </c>
      <c r="C14" s="78">
        <v>1.0</v>
      </c>
      <c r="D14" s="75">
        <v>0.0</v>
      </c>
      <c r="E14" s="104">
        <v>21.77</v>
      </c>
    </row>
    <row r="15">
      <c r="A15" s="66" t="s">
        <v>64</v>
      </c>
      <c r="B15" s="75">
        <f>7450+1750+1750+8000+500+5200+1750+4000+500</f>
        <v>30900</v>
      </c>
      <c r="C15" s="78">
        <v>1.0</v>
      </c>
      <c r="D15" s="78">
        <v>0.0</v>
      </c>
      <c r="E15" s="104">
        <v>15.27</v>
      </c>
    </row>
    <row r="16">
      <c r="A16" s="66" t="s">
        <v>47</v>
      </c>
      <c r="B16" s="75">
        <f>4000+8000+500+500+4000+6500+1750+1750+1750</f>
        <v>28750</v>
      </c>
      <c r="C16" s="78">
        <v>1.0</v>
      </c>
      <c r="D16" s="75">
        <v>0.0</v>
      </c>
      <c r="E16" s="104">
        <v>13.09</v>
      </c>
    </row>
    <row r="17">
      <c r="A17" s="66" t="s">
        <v>53</v>
      </c>
      <c r="B17" s="75">
        <f>2750+4000+500+500+1750+5200+500+6500+6500</f>
        <v>28200</v>
      </c>
      <c r="C17" s="78">
        <v>1.0</v>
      </c>
      <c r="D17" s="75">
        <v>0.0</v>
      </c>
      <c r="E17" s="104">
        <v>65.45</v>
      </c>
    </row>
    <row r="18">
      <c r="A18" s="66" t="s">
        <v>40</v>
      </c>
      <c r="B18" s="75">
        <f>11500+1750+500+1750+500+500+4000+1750+4000</f>
        <v>26250</v>
      </c>
      <c r="C18" s="78">
        <v>1.0</v>
      </c>
      <c r="D18" s="75">
        <v>0.0</v>
      </c>
      <c r="E18" s="104">
        <v>43.73</v>
      </c>
    </row>
    <row r="19">
      <c r="A19" s="66" t="s">
        <v>27</v>
      </c>
      <c r="B19" s="75">
        <f>7450+500+6500+4000+1750+500+1750+1750+1750</f>
        <v>25950</v>
      </c>
      <c r="C19" s="78">
        <v>1.0</v>
      </c>
      <c r="D19" s="75">
        <v>0.0</v>
      </c>
      <c r="E19" s="104">
        <v>24.97</v>
      </c>
    </row>
    <row r="20">
      <c r="A20" s="66" t="s">
        <v>52</v>
      </c>
      <c r="B20" s="75">
        <f>+500+8500+500+4000+4000+1750+500+1750+4000</f>
        <v>25500</v>
      </c>
      <c r="C20" s="78">
        <v>1.0</v>
      </c>
      <c r="D20" s="78">
        <v>0.0</v>
      </c>
      <c r="E20" s="104">
        <v>35.23</v>
      </c>
    </row>
    <row r="21">
      <c r="A21" s="66" t="s">
        <v>65</v>
      </c>
      <c r="B21" s="75">
        <f>2750+500+5200+4000+5200+1750+4000+500+500</f>
        <v>24400</v>
      </c>
      <c r="C21" s="78">
        <v>1.0</v>
      </c>
      <c r="D21" s="75">
        <v>0.0</v>
      </c>
      <c r="E21" s="104">
        <v>18.44</v>
      </c>
    </row>
    <row r="22">
      <c r="A22" s="66" t="s">
        <v>17</v>
      </c>
      <c r="B22" s="75">
        <f>6200+500+4000+1750+1750+1750+500+1750+5200</f>
        <v>23400</v>
      </c>
      <c r="C22" s="78">
        <v>1.0</v>
      </c>
      <c r="D22" s="78">
        <v>0.0</v>
      </c>
      <c r="E22" s="104">
        <v>45.83</v>
      </c>
    </row>
    <row r="23">
      <c r="A23" s="66" t="s">
        <v>67</v>
      </c>
      <c r="B23" s="75">
        <f>4000+1750+4000+500+1750+500+1750+500+6500</f>
        <v>21250</v>
      </c>
      <c r="C23" s="78">
        <v>1.0</v>
      </c>
      <c r="D23" s="75">
        <v>0.0</v>
      </c>
      <c r="E23" s="105">
        <v>64.19</v>
      </c>
    </row>
    <row r="24">
      <c r="A24" s="66" t="s">
        <v>59</v>
      </c>
      <c r="B24" s="75">
        <f>4000+1750+5200+1750+1750+4000+1750+500+500</f>
        <v>21200</v>
      </c>
      <c r="C24" s="78">
        <v>1.0</v>
      </c>
      <c r="D24" s="78">
        <v>0.0</v>
      </c>
      <c r="E24" s="104">
        <v>20.3</v>
      </c>
    </row>
    <row r="25">
      <c r="A25" s="66" t="s">
        <v>55</v>
      </c>
      <c r="B25" s="75">
        <f>500+4000+1750+500+500+1750+5200+5200+1750</f>
        <v>21150</v>
      </c>
      <c r="C25" s="78">
        <v>1.0</v>
      </c>
      <c r="D25" s="75">
        <v>0.0</v>
      </c>
      <c r="E25" s="104">
        <v>20.3</v>
      </c>
    </row>
    <row r="26">
      <c r="A26" s="66" t="s">
        <v>54</v>
      </c>
      <c r="B26" s="75">
        <f>5000+4000+1750+500+5200+1750+500+500+500+500</f>
        <v>20200</v>
      </c>
      <c r="C26" s="78">
        <v>1.0</v>
      </c>
      <c r="D26" s="75">
        <v>0.0</v>
      </c>
      <c r="E26" s="105">
        <v>10.76</v>
      </c>
    </row>
    <row r="27">
      <c r="A27" s="51" t="s">
        <v>66</v>
      </c>
      <c r="B27" s="75">
        <f>1500+500+5200+1750+500+500+1750+4000+4000</f>
        <v>19700</v>
      </c>
      <c r="C27" s="78">
        <v>1.0</v>
      </c>
      <c r="D27" s="78">
        <v>0.0</v>
      </c>
      <c r="E27" s="105">
        <v>42.98</v>
      </c>
    </row>
    <row r="28">
      <c r="A28" s="66" t="s">
        <v>37</v>
      </c>
      <c r="B28" s="75">
        <f>8700+500+1750+1750+500+500+500+500+4000</f>
        <v>18700</v>
      </c>
      <c r="C28" s="78">
        <v>1.0</v>
      </c>
      <c r="D28" s="75">
        <v>0.0</v>
      </c>
      <c r="E28" s="105">
        <v>37.94</v>
      </c>
    </row>
    <row r="29">
      <c r="A29" s="66" t="s">
        <v>69</v>
      </c>
      <c r="B29" s="75">
        <f>8750+500+500+1750+500+1750+500+500+1750</f>
        <v>16500</v>
      </c>
      <c r="C29" s="78">
        <v>0.0</v>
      </c>
      <c r="D29" s="78">
        <v>0.0</v>
      </c>
      <c r="E29" s="105">
        <v>18.84</v>
      </c>
    </row>
    <row r="30">
      <c r="A30" s="66" t="s">
        <v>68</v>
      </c>
      <c r="B30" s="75">
        <f>7500+500+500+1750+500+500+500+1750+500</f>
        <v>14000</v>
      </c>
      <c r="C30" s="78">
        <v>1.0</v>
      </c>
      <c r="D30" s="75">
        <v>0.0</v>
      </c>
      <c r="E30" s="105">
        <v>22.0</v>
      </c>
    </row>
    <row r="31">
      <c r="A31" s="82" t="s">
        <v>56</v>
      </c>
      <c r="B31" s="83">
        <f>4000+1750+500+1750+500+4000+500</f>
        <v>13000</v>
      </c>
      <c r="C31" s="91">
        <v>1.0</v>
      </c>
      <c r="D31" s="83">
        <v>0.0</v>
      </c>
      <c r="E31" s="93"/>
    </row>
    <row r="32">
      <c r="A32" s="66" t="s">
        <v>35</v>
      </c>
      <c r="B32" s="75">
        <f>2750+1750+500+1750+500+4000+500+500+500</f>
        <v>12750</v>
      </c>
      <c r="C32" s="78">
        <v>1.0</v>
      </c>
      <c r="D32" s="75">
        <v>0.0</v>
      </c>
      <c r="E32" s="105">
        <v>14.66</v>
      </c>
    </row>
    <row r="33">
      <c r="A33" s="66" t="s">
        <v>45</v>
      </c>
      <c r="B33" s="75">
        <f>1500+1750+500+500+500+1750+500+4000+1750</f>
        <v>12750</v>
      </c>
      <c r="C33" s="78">
        <v>1.0</v>
      </c>
      <c r="D33" s="75">
        <v>0.0</v>
      </c>
      <c r="E33" s="105">
        <v>22.0</v>
      </c>
    </row>
    <row r="34">
      <c r="A34" s="66" t="s">
        <v>63</v>
      </c>
      <c r="B34" s="75">
        <f>1500+500+500+500+1750+1750+1750+1750+1750</f>
        <v>11750</v>
      </c>
      <c r="C34" s="78">
        <v>1.0</v>
      </c>
      <c r="D34" s="75">
        <v>0.0</v>
      </c>
      <c r="E34" s="105">
        <v>25.34</v>
      </c>
    </row>
    <row r="35">
      <c r="A35" s="66" t="s">
        <v>36</v>
      </c>
      <c r="B35" s="75">
        <f>2750+500+4000+500+500+500+1750+500+500</f>
        <v>11500</v>
      </c>
      <c r="C35" s="78">
        <v>1.0</v>
      </c>
      <c r="D35" s="78">
        <v>1.0</v>
      </c>
      <c r="E35" s="105">
        <v>1.5</v>
      </c>
    </row>
    <row r="36">
      <c r="A36" s="82" t="s">
        <v>169</v>
      </c>
      <c r="B36" s="91">
        <f>6500+500</f>
        <v>7000</v>
      </c>
      <c r="C36" s="91">
        <v>0.0</v>
      </c>
      <c r="D36" s="83">
        <v>0.0</v>
      </c>
      <c r="E36" s="93"/>
    </row>
    <row r="37">
      <c r="A37" s="82" t="s">
        <v>298</v>
      </c>
      <c r="B37" s="91">
        <v>5200.0</v>
      </c>
      <c r="C37" s="91">
        <v>0.0</v>
      </c>
      <c r="D37" s="83">
        <v>0.0</v>
      </c>
      <c r="E37" s="93"/>
    </row>
    <row r="38">
      <c r="A38" s="82" t="s">
        <v>142</v>
      </c>
      <c r="B38" s="83">
        <f>1750+500</f>
        <v>2250</v>
      </c>
      <c r="C38" s="91">
        <v>0.0</v>
      </c>
      <c r="D38" s="83">
        <v>0.0</v>
      </c>
      <c r="E38" s="93"/>
    </row>
    <row r="39">
      <c r="A39" s="93" t="s">
        <v>262</v>
      </c>
      <c r="B39" s="83">
        <v>1750.0</v>
      </c>
      <c r="C39" s="91">
        <v>0.0</v>
      </c>
      <c r="D39" s="83">
        <v>0.0</v>
      </c>
      <c r="E39" s="93"/>
    </row>
    <row r="40">
      <c r="A40" s="93" t="s">
        <v>46</v>
      </c>
      <c r="B40" s="83">
        <v>1750.0</v>
      </c>
      <c r="C40" s="91">
        <v>0.0</v>
      </c>
      <c r="D40" s="83">
        <v>0.0</v>
      </c>
      <c r="E40" s="93"/>
    </row>
    <row r="41">
      <c r="A41" s="82" t="s">
        <v>173</v>
      </c>
      <c r="B41" s="91">
        <v>1750.0</v>
      </c>
      <c r="C41" s="91">
        <v>0.0</v>
      </c>
      <c r="D41" s="91">
        <v>0.0</v>
      </c>
      <c r="E41" s="93"/>
    </row>
    <row r="42">
      <c r="A42" s="82" t="s">
        <v>116</v>
      </c>
      <c r="B42" s="91">
        <v>1750.0</v>
      </c>
      <c r="C42" s="91">
        <v>0.0</v>
      </c>
      <c r="D42" s="91">
        <v>0.0</v>
      </c>
      <c r="E42" s="93"/>
    </row>
    <row r="43">
      <c r="A43" s="82" t="s">
        <v>119</v>
      </c>
      <c r="B43" s="83">
        <f>+1750</f>
        <v>1750</v>
      </c>
      <c r="C43" s="91">
        <v>0.0</v>
      </c>
      <c r="D43" s="91">
        <v>0.0</v>
      </c>
      <c r="E43" s="93"/>
    </row>
    <row r="44">
      <c r="A44" s="82" t="s">
        <v>168</v>
      </c>
      <c r="B44" s="91">
        <f>0+500+500</f>
        <v>1000</v>
      </c>
      <c r="C44" s="91">
        <v>0.0</v>
      </c>
      <c r="D44" s="91">
        <v>0.0</v>
      </c>
      <c r="E44" s="93"/>
    </row>
    <row r="45">
      <c r="A45" s="82" t="s">
        <v>144</v>
      </c>
      <c r="B45" s="83">
        <v>500.0</v>
      </c>
      <c r="C45" s="91">
        <v>0.0</v>
      </c>
      <c r="D45" s="91">
        <v>0.0</v>
      </c>
      <c r="E45" s="93"/>
    </row>
    <row r="46">
      <c r="A46" s="82" t="s">
        <v>143</v>
      </c>
      <c r="B46" s="83">
        <v>500.0</v>
      </c>
      <c r="C46" s="91">
        <v>0.0</v>
      </c>
      <c r="D46" s="91">
        <v>0.0</v>
      </c>
      <c r="E46" s="93"/>
    </row>
    <row r="47">
      <c r="A47" s="82" t="s">
        <v>82</v>
      </c>
      <c r="B47" s="91">
        <v>500.0</v>
      </c>
      <c r="C47" s="91">
        <v>0.0</v>
      </c>
      <c r="D47" s="91">
        <v>0.0</v>
      </c>
      <c r="E47" s="93"/>
    </row>
    <row r="48">
      <c r="A48" s="82" t="s">
        <v>110</v>
      </c>
      <c r="B48" s="91">
        <v>500.0</v>
      </c>
      <c r="C48" s="91">
        <v>0.0</v>
      </c>
      <c r="D48" s="91">
        <v>0.0</v>
      </c>
      <c r="E48" s="93"/>
    </row>
    <row r="49">
      <c r="A49" s="82" t="s">
        <v>286</v>
      </c>
      <c r="B49" s="91">
        <v>500.0</v>
      </c>
      <c r="C49" s="91">
        <v>0.0</v>
      </c>
      <c r="D49" s="91">
        <v>0.0</v>
      </c>
      <c r="E49" s="93"/>
    </row>
    <row r="50">
      <c r="A50" s="82" t="s">
        <v>107</v>
      </c>
      <c r="B50" s="91">
        <v>500.0</v>
      </c>
      <c r="C50" s="91">
        <v>0.0</v>
      </c>
      <c r="D50" s="91">
        <v>0.0</v>
      </c>
      <c r="E50" s="93"/>
    </row>
    <row r="51">
      <c r="A51" s="82" t="s">
        <v>115</v>
      </c>
      <c r="B51" s="91">
        <v>500.0</v>
      </c>
      <c r="C51" s="91">
        <v>0.0</v>
      </c>
      <c r="D51" s="91">
        <v>0.0</v>
      </c>
      <c r="E51" s="93"/>
    </row>
    <row r="52">
      <c r="A52" s="82" t="s">
        <v>25</v>
      </c>
      <c r="B52" s="91">
        <v>500.0</v>
      </c>
      <c r="C52" s="91">
        <v>0.0</v>
      </c>
      <c r="D52" s="91">
        <v>0.0</v>
      </c>
      <c r="E52" s="93"/>
    </row>
    <row r="53">
      <c r="A53" s="82" t="s">
        <v>72</v>
      </c>
      <c r="B53" s="91">
        <v>500.0</v>
      </c>
      <c r="C53" s="91">
        <v>0.0</v>
      </c>
      <c r="D53" s="91">
        <v>0.0</v>
      </c>
      <c r="E53" s="93"/>
    </row>
    <row r="54">
      <c r="A54" s="66" t="s">
        <v>70</v>
      </c>
      <c r="B54" s="78">
        <v>500.0</v>
      </c>
      <c r="C54" s="78">
        <v>1.0</v>
      </c>
      <c r="D54" s="78">
        <v>0.0</v>
      </c>
      <c r="E54" s="105">
        <v>15.33</v>
      </c>
    </row>
    <row r="55">
      <c r="A55" s="66" t="s">
        <v>302</v>
      </c>
      <c r="B55" s="78">
        <v>500.0</v>
      </c>
      <c r="C55" s="78">
        <v>1.0</v>
      </c>
      <c r="D55" s="78">
        <v>0.0</v>
      </c>
      <c r="E55" s="105">
        <v>19.51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2024-04-26T14:46:47Z</dcterms:created>
  <dc:creator>user</dc:creator>
</cp:coreProperties>
</file>