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5"/>
  </bookViews>
  <sheets>
    <sheet name="Ejemplos" sheetId="2" r:id="rId1"/>
    <sheet name="E1" sheetId="6" r:id="rId2"/>
    <sheet name="E2" sheetId="3" r:id="rId3"/>
    <sheet name="E3" sheetId="1" r:id="rId4"/>
    <sheet name="E4" sheetId="4" r:id="rId5"/>
    <sheet name="E5" sheetId="5" r:id="rId6"/>
  </sheets>
  <calcPr calcId="144525"/>
</workbook>
</file>

<file path=xl/calcChain.xml><?xml version="1.0" encoding="utf-8"?>
<calcChain xmlns="http://schemas.openxmlformats.org/spreadsheetml/2006/main">
  <c r="K7" i="5" l="1"/>
  <c r="D11" i="5" s="1"/>
  <c r="M22" i="4" l="1"/>
  <c r="M23" i="4"/>
  <c r="M24" i="4"/>
  <c r="M25" i="4"/>
  <c r="M26" i="4"/>
  <c r="M27" i="4"/>
  <c r="M28" i="4"/>
  <c r="M29" i="4"/>
  <c r="M30" i="4"/>
  <c r="M31" i="4"/>
  <c r="M32" i="4"/>
  <c r="N21" i="4"/>
  <c r="M21" i="4"/>
  <c r="I20" i="4"/>
  <c r="B20" i="4"/>
  <c r="B17" i="4"/>
  <c r="C16" i="4"/>
  <c r="D16" i="4"/>
  <c r="E16" i="4"/>
  <c r="F16" i="4"/>
  <c r="G16" i="4"/>
  <c r="H16" i="4"/>
  <c r="I16" i="4"/>
  <c r="J16" i="4"/>
  <c r="K16" i="4"/>
  <c r="L16" i="4"/>
  <c r="M16" i="4"/>
  <c r="B16" i="4"/>
  <c r="A16" i="4"/>
  <c r="F20" i="4"/>
  <c r="I19" i="1"/>
  <c r="M23" i="1"/>
  <c r="N23" i="1"/>
  <c r="O23" i="1"/>
  <c r="P23" i="1" s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22" i="1"/>
  <c r="N21" i="1"/>
  <c r="M21" i="1"/>
  <c r="B19" i="1"/>
  <c r="O21" i="4" l="1"/>
  <c r="P21" i="4" s="1"/>
  <c r="N22" i="4" s="1"/>
  <c r="O22" i="4" s="1"/>
  <c r="P22" i="4" s="1"/>
  <c r="N23" i="4" s="1"/>
  <c r="O23" i="4" s="1"/>
  <c r="P23" i="4" s="1"/>
  <c r="N24" i="1"/>
  <c r="O24" i="1" s="1"/>
  <c r="P24" i="1"/>
  <c r="O21" i="1"/>
  <c r="P21" i="1" s="1"/>
  <c r="N22" i="1"/>
  <c r="O22" i="1"/>
  <c r="P22" i="1" s="1"/>
  <c r="N24" i="4" l="1"/>
  <c r="O24" i="4" s="1"/>
  <c r="P24" i="4" s="1"/>
  <c r="N25" i="1"/>
  <c r="O25" i="1" s="1"/>
  <c r="P25" i="1"/>
  <c r="N25" i="4" l="1"/>
  <c r="O25" i="4" s="1"/>
  <c r="P25" i="4" s="1"/>
  <c r="N26" i="1"/>
  <c r="O26" i="1" s="1"/>
  <c r="P26" i="1"/>
  <c r="N26" i="4" l="1"/>
  <c r="O26" i="4" s="1"/>
  <c r="P26" i="4" s="1"/>
  <c r="N27" i="1"/>
  <c r="O27" i="1" s="1"/>
  <c r="P27" i="1"/>
  <c r="N27" i="4" l="1"/>
  <c r="O27" i="4" s="1"/>
  <c r="P27" i="4" s="1"/>
  <c r="N28" i="1"/>
  <c r="O28" i="1" s="1"/>
  <c r="P28" i="1"/>
  <c r="N28" i="4" l="1"/>
  <c r="O28" i="4" s="1"/>
  <c r="P28" i="4" s="1"/>
  <c r="N29" i="1"/>
  <c r="O29" i="1" s="1"/>
  <c r="P29" i="1"/>
  <c r="N29" i="4" l="1"/>
  <c r="O29" i="4" s="1"/>
  <c r="P29" i="4" s="1"/>
  <c r="N30" i="1"/>
  <c r="O30" i="1" s="1"/>
  <c r="P30" i="1"/>
  <c r="N30" i="4" l="1"/>
  <c r="O30" i="4" s="1"/>
  <c r="P30" i="4" s="1"/>
  <c r="N31" i="1"/>
  <c r="O31" i="1" s="1"/>
  <c r="P31" i="1"/>
  <c r="N31" i="4" l="1"/>
  <c r="O31" i="4" s="1"/>
  <c r="P31" i="4" s="1"/>
  <c r="N32" i="1"/>
  <c r="O32" i="1" s="1"/>
  <c r="P32" i="1"/>
  <c r="N32" i="4" l="1"/>
  <c r="O32" i="4" s="1"/>
  <c r="P32" i="4" s="1"/>
  <c r="N33" i="1"/>
  <c r="O33" i="1" s="1"/>
  <c r="P33" i="1"/>
  <c r="N34" i="1" l="1"/>
  <c r="O34" i="1" s="1"/>
  <c r="P34" i="1"/>
  <c r="N35" i="1" l="1"/>
  <c r="O35" i="1" s="1"/>
  <c r="P35" i="1"/>
  <c r="N36" i="1" l="1"/>
  <c r="O36" i="1" s="1"/>
  <c r="P36" i="1"/>
  <c r="N37" i="1" l="1"/>
  <c r="O37" i="1" s="1"/>
  <c r="P37" i="1"/>
  <c r="N38" i="1" l="1"/>
  <c r="O38" i="1" s="1"/>
  <c r="P38" i="1"/>
  <c r="N39" i="1" l="1"/>
  <c r="O39" i="1" s="1"/>
  <c r="P39" i="1"/>
  <c r="N40" i="1" l="1"/>
  <c r="O40" i="1" s="1"/>
  <c r="P40" i="1"/>
  <c r="N41" i="1" l="1"/>
  <c r="O41" i="1" s="1"/>
  <c r="P41" i="1"/>
  <c r="N42" i="1" l="1"/>
  <c r="O42" i="1" s="1"/>
  <c r="P42" i="1"/>
  <c r="N43" i="1" l="1"/>
  <c r="O43" i="1" s="1"/>
  <c r="P43" i="1"/>
  <c r="N44" i="1" l="1"/>
  <c r="O44" i="1" s="1"/>
  <c r="P44" i="1"/>
  <c r="N45" i="1" l="1"/>
  <c r="O45" i="1" s="1"/>
  <c r="P45" i="1"/>
  <c r="N46" i="1" l="1"/>
  <c r="O46" i="1" s="1"/>
  <c r="P46" i="1"/>
  <c r="N47" i="1" l="1"/>
  <c r="O47" i="1" s="1"/>
  <c r="P47" i="1"/>
  <c r="N48" i="1" l="1"/>
  <c r="O48" i="1" s="1"/>
  <c r="P48" i="1"/>
  <c r="N49" i="1" l="1"/>
  <c r="O49" i="1" s="1"/>
  <c r="P49" i="1"/>
  <c r="N50" i="1" l="1"/>
  <c r="O50" i="1" s="1"/>
  <c r="P50" i="1"/>
  <c r="N51" i="1" l="1"/>
  <c r="O51" i="1" s="1"/>
  <c r="P51" i="1"/>
  <c r="N52" i="1" l="1"/>
  <c r="O52" i="1" s="1"/>
  <c r="P52" i="1"/>
  <c r="N53" i="1" l="1"/>
  <c r="O53" i="1" s="1"/>
  <c r="P53" i="1"/>
  <c r="N54" i="1" l="1"/>
  <c r="O54" i="1" s="1"/>
  <c r="P54" i="1"/>
  <c r="N55" i="1" l="1"/>
  <c r="O55" i="1" s="1"/>
  <c r="P55" i="1"/>
  <c r="N56" i="1" l="1"/>
  <c r="O56" i="1" s="1"/>
  <c r="P56" i="1"/>
  <c r="N57" i="1" l="1"/>
  <c r="O57" i="1" s="1"/>
  <c r="P57" i="1"/>
  <c r="N58" i="1" l="1"/>
  <c r="O58" i="1" s="1"/>
  <c r="P58" i="1"/>
  <c r="N59" i="1" l="1"/>
  <c r="O59" i="1" s="1"/>
  <c r="P59" i="1"/>
  <c r="N60" i="1" l="1"/>
  <c r="O60" i="1" s="1"/>
  <c r="P60" i="1"/>
  <c r="N61" i="1" l="1"/>
  <c r="O61" i="1" s="1"/>
  <c r="P61" i="1"/>
  <c r="N62" i="1" l="1"/>
  <c r="O62" i="1" s="1"/>
  <c r="P62" i="1"/>
  <c r="N63" i="1" l="1"/>
  <c r="O63" i="1" s="1"/>
  <c r="P63" i="1"/>
  <c r="N64" i="1" l="1"/>
  <c r="O64" i="1" s="1"/>
  <c r="P64" i="1"/>
  <c r="N65" i="1" l="1"/>
  <c r="O65" i="1" s="1"/>
  <c r="P65" i="1"/>
  <c r="N66" i="1" l="1"/>
  <c r="O66" i="1" s="1"/>
  <c r="P66" i="1"/>
  <c r="N67" i="1" l="1"/>
  <c r="O67" i="1" s="1"/>
  <c r="P67" i="1"/>
  <c r="N68" i="1" l="1"/>
  <c r="O68" i="1" s="1"/>
  <c r="P68" i="1"/>
  <c r="N69" i="1" l="1"/>
  <c r="O69" i="1" s="1"/>
  <c r="P69" i="1"/>
  <c r="N70" i="1" l="1"/>
  <c r="O70" i="1" s="1"/>
  <c r="P70" i="1"/>
  <c r="N71" i="1" l="1"/>
  <c r="O71" i="1" s="1"/>
  <c r="P71" i="1"/>
  <c r="N72" i="1" l="1"/>
  <c r="O72" i="1" s="1"/>
  <c r="P72" i="1"/>
  <c r="N73" i="1" l="1"/>
  <c r="O73" i="1" s="1"/>
  <c r="P73" i="1"/>
  <c r="N74" i="1" l="1"/>
  <c r="O74" i="1" s="1"/>
  <c r="P74" i="1"/>
  <c r="N75" i="1" l="1"/>
  <c r="O75" i="1" s="1"/>
  <c r="P75" i="1"/>
  <c r="N76" i="1" l="1"/>
  <c r="O76" i="1" s="1"/>
  <c r="P76" i="1"/>
  <c r="N77" i="1" l="1"/>
  <c r="O77" i="1" s="1"/>
  <c r="P77" i="1"/>
  <c r="N78" i="1" l="1"/>
  <c r="O78" i="1" s="1"/>
  <c r="P78" i="1"/>
  <c r="N79" i="1" l="1"/>
  <c r="O79" i="1" s="1"/>
  <c r="P79" i="1"/>
  <c r="N80" i="1" l="1"/>
  <c r="O80" i="1" s="1"/>
  <c r="P80" i="1"/>
  <c r="N81" i="1" l="1"/>
  <c r="O81" i="1" s="1"/>
  <c r="P81" i="1"/>
  <c r="N82" i="1" l="1"/>
  <c r="O82" i="1" s="1"/>
  <c r="P82" i="1"/>
  <c r="N83" i="1" l="1"/>
  <c r="O83" i="1" s="1"/>
  <c r="P83" i="1"/>
  <c r="N84" i="1" l="1"/>
  <c r="O84" i="1" s="1"/>
  <c r="P84" i="1"/>
  <c r="N85" i="1" l="1"/>
  <c r="O85" i="1" s="1"/>
  <c r="P85" i="1"/>
  <c r="N86" i="1" l="1"/>
  <c r="O86" i="1" s="1"/>
  <c r="P86" i="1"/>
  <c r="N87" i="1" l="1"/>
  <c r="O87" i="1" s="1"/>
  <c r="P87" i="1"/>
  <c r="N88" i="1" l="1"/>
  <c r="O88" i="1" s="1"/>
  <c r="P88" i="1"/>
  <c r="N89" i="1" l="1"/>
  <c r="O89" i="1" s="1"/>
  <c r="P89" i="1"/>
  <c r="N90" i="1" l="1"/>
  <c r="O90" i="1" s="1"/>
  <c r="P90" i="1"/>
  <c r="N91" i="1" l="1"/>
  <c r="O91" i="1" s="1"/>
  <c r="P91" i="1"/>
  <c r="N92" i="1" l="1"/>
  <c r="O92" i="1" s="1"/>
  <c r="P92" i="1"/>
  <c r="N93" i="1" l="1"/>
  <c r="O93" i="1" s="1"/>
  <c r="P93" i="1"/>
  <c r="N94" i="1" l="1"/>
  <c r="O94" i="1" s="1"/>
  <c r="P94" i="1"/>
  <c r="N95" i="1" l="1"/>
  <c r="O95" i="1" s="1"/>
  <c r="P95" i="1"/>
  <c r="N96" i="1" l="1"/>
  <c r="O96" i="1" s="1"/>
  <c r="P96" i="1"/>
  <c r="N97" i="1" l="1"/>
  <c r="O97" i="1" s="1"/>
  <c r="P97" i="1"/>
  <c r="N98" i="1" l="1"/>
  <c r="O98" i="1" s="1"/>
  <c r="P98" i="1"/>
  <c r="N99" i="1" l="1"/>
  <c r="O99" i="1" s="1"/>
  <c r="P99" i="1"/>
  <c r="N100" i="1" l="1"/>
  <c r="O100" i="1" s="1"/>
  <c r="P100" i="1"/>
  <c r="N101" i="1" l="1"/>
  <c r="O101" i="1" s="1"/>
  <c r="P101" i="1"/>
  <c r="N102" i="1" l="1"/>
  <c r="O102" i="1" s="1"/>
  <c r="P102" i="1"/>
  <c r="N103" i="1" l="1"/>
  <c r="O103" i="1" s="1"/>
  <c r="P103" i="1"/>
  <c r="N104" i="1" l="1"/>
  <c r="O104" i="1" s="1"/>
  <c r="P104" i="1"/>
  <c r="N105" i="1" l="1"/>
  <c r="O105" i="1" s="1"/>
  <c r="P105" i="1"/>
  <c r="N106" i="1" l="1"/>
  <c r="O106" i="1" s="1"/>
  <c r="P106" i="1"/>
  <c r="N107" i="1" l="1"/>
  <c r="O107" i="1" s="1"/>
  <c r="P107" i="1"/>
  <c r="N108" i="1" l="1"/>
  <c r="O108" i="1" s="1"/>
  <c r="P108" i="1"/>
  <c r="N109" i="1" l="1"/>
  <c r="O109" i="1" s="1"/>
  <c r="P109" i="1"/>
  <c r="N110" i="1" l="1"/>
  <c r="O110" i="1" s="1"/>
  <c r="P110" i="1"/>
  <c r="N111" i="1" l="1"/>
  <c r="O111" i="1" s="1"/>
  <c r="P111" i="1"/>
  <c r="N112" i="1" l="1"/>
  <c r="O112" i="1" s="1"/>
  <c r="P112" i="1"/>
  <c r="N113" i="1" l="1"/>
  <c r="O113" i="1" s="1"/>
  <c r="P113" i="1"/>
  <c r="N114" i="1" l="1"/>
  <c r="O114" i="1" s="1"/>
  <c r="P114" i="1"/>
  <c r="N115" i="1" l="1"/>
  <c r="O115" i="1" s="1"/>
  <c r="P115" i="1"/>
  <c r="N116" i="1" l="1"/>
  <c r="O116" i="1" s="1"/>
  <c r="P116" i="1"/>
  <c r="N117" i="1" l="1"/>
  <c r="O117" i="1" s="1"/>
  <c r="P117" i="1"/>
  <c r="N118" i="1" l="1"/>
  <c r="O118" i="1" s="1"/>
  <c r="P118" i="1"/>
  <c r="N119" i="1" l="1"/>
  <c r="O119" i="1" s="1"/>
  <c r="P119" i="1"/>
  <c r="N120" i="1" l="1"/>
  <c r="O120" i="1" s="1"/>
  <c r="P120" i="1"/>
  <c r="N121" i="1" l="1"/>
  <c r="O121" i="1" s="1"/>
  <c r="P121" i="1" s="1"/>
  <c r="N122" i="1" l="1"/>
  <c r="O122" i="1" s="1"/>
  <c r="P122" i="1"/>
  <c r="N123" i="1" l="1"/>
  <c r="O123" i="1" s="1"/>
  <c r="P123" i="1"/>
  <c r="N124" i="1" l="1"/>
  <c r="O124" i="1" s="1"/>
  <c r="P124" i="1"/>
  <c r="N125" i="1" l="1"/>
  <c r="O125" i="1" s="1"/>
  <c r="P125" i="1"/>
  <c r="N126" i="1" l="1"/>
  <c r="O126" i="1" s="1"/>
  <c r="P126" i="1" s="1"/>
  <c r="N127" i="1" l="1"/>
  <c r="O127" i="1" s="1"/>
  <c r="P127" i="1"/>
  <c r="N128" i="1" l="1"/>
  <c r="O128" i="1" s="1"/>
  <c r="P128" i="1"/>
  <c r="N129" i="1" l="1"/>
  <c r="O129" i="1" s="1"/>
  <c r="P129" i="1" s="1"/>
  <c r="N130" i="1" l="1"/>
  <c r="O130" i="1" s="1"/>
  <c r="P130" i="1"/>
  <c r="N131" i="1" l="1"/>
  <c r="O131" i="1" s="1"/>
  <c r="P131" i="1"/>
  <c r="N132" i="1" l="1"/>
  <c r="O132" i="1" s="1"/>
  <c r="P132" i="1" s="1"/>
  <c r="N133" i="1" l="1"/>
  <c r="O133" i="1" s="1"/>
  <c r="P133" i="1" s="1"/>
  <c r="B15" i="3"/>
  <c r="B21" i="3"/>
  <c r="B20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O22" i="3"/>
  <c r="P22" i="3" s="1"/>
  <c r="N22" i="3"/>
  <c r="I20" i="3"/>
  <c r="F20" i="3"/>
  <c r="C15" i="6"/>
  <c r="D16" i="6" s="1"/>
  <c r="D15" i="6"/>
  <c r="E15" i="6"/>
  <c r="F15" i="6"/>
  <c r="G15" i="6"/>
  <c r="H15" i="6"/>
  <c r="I15" i="6"/>
  <c r="J15" i="6"/>
  <c r="K15" i="6"/>
  <c r="L15" i="6"/>
  <c r="M15" i="6"/>
  <c r="B15" i="6"/>
  <c r="N22" i="6"/>
  <c r="O22" i="6"/>
  <c r="P22" i="6"/>
  <c r="N23" i="6"/>
  <c r="O23" i="6"/>
  <c r="P23" i="6"/>
  <c r="N24" i="6"/>
  <c r="O24" i="6"/>
  <c r="P24" i="6"/>
  <c r="P25" i="6" s="1"/>
  <c r="N25" i="6"/>
  <c r="O25" i="6"/>
  <c r="O21" i="6"/>
  <c r="P21" i="6"/>
  <c r="N21" i="6"/>
  <c r="H20" i="6"/>
  <c r="D20" i="6"/>
  <c r="N134" i="1" l="1"/>
  <c r="O134" i="1" s="1"/>
  <c r="P134" i="1"/>
  <c r="N23" i="3"/>
  <c r="O23" i="3" s="1"/>
  <c r="P23" i="3" s="1"/>
  <c r="N26" i="6"/>
  <c r="O26" i="6" s="1"/>
  <c r="P26" i="6"/>
  <c r="N6" i="1"/>
  <c r="N135" i="1" l="1"/>
  <c r="O135" i="1" s="1"/>
  <c r="P135" i="1" s="1"/>
  <c r="N24" i="3"/>
  <c r="O24" i="3" s="1"/>
  <c r="P24" i="3" s="1"/>
  <c r="N27" i="6"/>
  <c r="O27" i="6" s="1"/>
  <c r="P27" i="6"/>
  <c r="N4" i="1"/>
  <c r="A11" i="2"/>
  <c r="A20" i="2"/>
  <c r="J5" i="2"/>
  <c r="B19" i="2" s="1"/>
  <c r="C20" i="2" s="1"/>
  <c r="M22" i="2"/>
  <c r="N136" i="1" l="1"/>
  <c r="O136" i="1" s="1"/>
  <c r="P136" i="1" s="1"/>
  <c r="N25" i="3"/>
  <c r="O25" i="3" s="1"/>
  <c r="P25" i="3" s="1"/>
  <c r="N26" i="3" s="1"/>
  <c r="O26" i="3" s="1"/>
  <c r="P26" i="3" s="1"/>
  <c r="N27" i="3" s="1"/>
  <c r="O27" i="3" s="1"/>
  <c r="P27" i="3" s="1"/>
  <c r="N28" i="6"/>
  <c r="O28" i="6" s="1"/>
  <c r="P28" i="6"/>
  <c r="C21" i="2"/>
  <c r="M51" i="2"/>
  <c r="N28" i="3" l="1"/>
  <c r="O28" i="3" s="1"/>
  <c r="P28" i="3"/>
  <c r="N29" i="3" s="1"/>
  <c r="O29" i="3" s="1"/>
  <c r="P29" i="3" s="1"/>
  <c r="N30" i="3" s="1"/>
  <c r="O30" i="3" s="1"/>
  <c r="N29" i="6"/>
  <c r="O29" i="6" s="1"/>
  <c r="P29" i="6"/>
  <c r="O50" i="2"/>
  <c r="P30" i="3" l="1"/>
  <c r="N31" i="3" s="1"/>
  <c r="O31" i="3" s="1"/>
  <c r="P31" i="3" s="1"/>
  <c r="N30" i="6"/>
  <c r="O30" i="6" s="1"/>
  <c r="P30" i="6" s="1"/>
  <c r="N51" i="2"/>
  <c r="O51" i="2" s="1"/>
  <c r="M53" i="2" s="1"/>
  <c r="N53" i="2" s="1"/>
  <c r="M52" i="2"/>
  <c r="N52" i="2" s="1"/>
  <c r="J3" i="6"/>
  <c r="J24" i="2"/>
  <c r="J3" i="2"/>
  <c r="J7" i="2"/>
  <c r="N32" i="3" l="1"/>
  <c r="O32" i="3" s="1"/>
  <c r="P32" i="3"/>
  <c r="N31" i="6"/>
  <c r="O31" i="6" s="1"/>
  <c r="P31" i="6" s="1"/>
  <c r="O52" i="2"/>
  <c r="O53" i="2" s="1"/>
  <c r="D27" i="2"/>
  <c r="N33" i="3" l="1"/>
  <c r="O33" i="3" s="1"/>
  <c r="P33" i="3" s="1"/>
  <c r="N32" i="6"/>
  <c r="O32" i="6" s="1"/>
  <c r="P32" i="6" s="1"/>
  <c r="M54" i="2"/>
  <c r="N54" i="2" s="1"/>
  <c r="M55" i="2"/>
  <c r="N55" i="2" s="1"/>
  <c r="O54" i="2"/>
  <c r="N34" i="3" l="1"/>
  <c r="O34" i="3" s="1"/>
  <c r="P34" i="3"/>
  <c r="O55" i="2"/>
  <c r="M56" i="2"/>
  <c r="N56" i="2" s="1"/>
  <c r="N35" i="3" l="1"/>
  <c r="O35" i="3" s="1"/>
  <c r="P35" i="3" s="1"/>
  <c r="M57" i="2"/>
  <c r="N57" i="2" s="1"/>
  <c r="O56" i="2"/>
  <c r="N36" i="3" l="1"/>
  <c r="O36" i="3" s="1"/>
  <c r="P36" i="3" s="1"/>
  <c r="O57" i="2"/>
  <c r="M58" i="2"/>
  <c r="N58" i="2" s="1"/>
  <c r="N37" i="3" l="1"/>
  <c r="O37" i="3" s="1"/>
  <c r="P37" i="3"/>
  <c r="M59" i="2"/>
  <c r="N59" i="2" s="1"/>
  <c r="O58" i="2"/>
  <c r="N38" i="3" l="1"/>
  <c r="O38" i="3" s="1"/>
  <c r="P38" i="3" s="1"/>
  <c r="O59" i="2"/>
  <c r="M60" i="2"/>
  <c r="N60" i="2" s="1"/>
  <c r="N39" i="3" l="1"/>
  <c r="O39" i="3" s="1"/>
  <c r="P39" i="3" s="1"/>
  <c r="M61" i="2"/>
  <c r="N61" i="2" s="1"/>
  <c r="O60" i="2"/>
  <c r="N40" i="3" l="1"/>
  <c r="O40" i="3" s="1"/>
  <c r="P40" i="3" s="1"/>
  <c r="O61" i="2"/>
  <c r="M62" i="2"/>
  <c r="N62" i="2" s="1"/>
  <c r="N41" i="3" l="1"/>
  <c r="O41" i="3" s="1"/>
  <c r="P41" i="3"/>
  <c r="O62" i="2"/>
  <c r="M63" i="2"/>
  <c r="N63" i="2" s="1"/>
  <c r="N42" i="3" l="1"/>
  <c r="O42" i="3" s="1"/>
  <c r="P42" i="3"/>
  <c r="M64" i="2"/>
  <c r="N64" i="2" s="1"/>
  <c r="O63" i="2"/>
  <c r="N43" i="3" l="1"/>
  <c r="O43" i="3" s="1"/>
  <c r="P43" i="3"/>
  <c r="O64" i="2"/>
  <c r="M65" i="2"/>
  <c r="N65" i="2" s="1"/>
  <c r="N44" i="3" l="1"/>
  <c r="O44" i="3" s="1"/>
  <c r="P44" i="3"/>
  <c r="M66" i="2"/>
  <c r="N66" i="2" s="1"/>
  <c r="O65" i="2"/>
  <c r="N45" i="3" l="1"/>
  <c r="O45" i="3" s="1"/>
  <c r="P45" i="3"/>
  <c r="O66" i="2"/>
  <c r="M67" i="2"/>
  <c r="N67" i="2" s="1"/>
  <c r="M68" i="2" l="1"/>
  <c r="N68" i="2" s="1"/>
  <c r="O67" i="2"/>
  <c r="O68" i="2" l="1"/>
  <c r="M69" i="2"/>
  <c r="N69" i="2" s="1"/>
  <c r="M70" i="2" l="1"/>
  <c r="N70" i="2" s="1"/>
  <c r="O69" i="2"/>
  <c r="O70" i="2" l="1"/>
  <c r="M71" i="2"/>
  <c r="N71" i="2" s="1"/>
  <c r="M72" i="2" l="1"/>
  <c r="N72" i="2" s="1"/>
  <c r="O71" i="2"/>
  <c r="O72" i="2" l="1"/>
  <c r="M73" i="2"/>
  <c r="N73" i="2" s="1"/>
  <c r="M74" i="2" l="1"/>
  <c r="N74" i="2" s="1"/>
  <c r="O73" i="2"/>
  <c r="O74" i="2" l="1"/>
  <c r="M75" i="2"/>
  <c r="N75" i="2" s="1"/>
  <c r="M76" i="2" l="1"/>
  <c r="N76" i="2" s="1"/>
  <c r="O75" i="2"/>
  <c r="O76" i="2" l="1"/>
  <c r="M77" i="2"/>
  <c r="N77" i="2" s="1"/>
  <c r="M78" i="2" l="1"/>
  <c r="N78" i="2" s="1"/>
  <c r="O77" i="2"/>
  <c r="O78" i="2" l="1"/>
  <c r="M79" i="2"/>
  <c r="N79" i="2" s="1"/>
  <c r="M80" i="2" l="1"/>
  <c r="N80" i="2" s="1"/>
  <c r="O79" i="2"/>
  <c r="O80" i="2" l="1"/>
  <c r="M81" i="2"/>
  <c r="N81" i="2" s="1"/>
  <c r="M82" i="2" l="1"/>
  <c r="N82" i="2" s="1"/>
  <c r="O81" i="2"/>
  <c r="O82" i="2" l="1"/>
  <c r="M83" i="2"/>
  <c r="N83" i="2" s="1"/>
  <c r="M84" i="2" l="1"/>
  <c r="N84" i="2" s="1"/>
  <c r="O83" i="2"/>
  <c r="O84" i="2" l="1"/>
  <c r="M85" i="2"/>
  <c r="N85" i="2" s="1"/>
  <c r="O85" i="2" l="1"/>
</calcChain>
</file>

<file path=xl/sharedStrings.xml><?xml version="1.0" encoding="utf-8"?>
<sst xmlns="http://schemas.openxmlformats.org/spreadsheetml/2006/main" count="220" uniqueCount="100">
  <si>
    <t>P</t>
  </si>
  <si>
    <t xml:space="preserve"> = </t>
  </si>
  <si>
    <t>meses</t>
  </si>
  <si>
    <t>Un lote de terreno que cuesta $20.000.000 se propone comprar con una cuota inicial de 10%</t>
  </si>
  <si>
    <t>y 12 cuotas mensuales con una tasa de interes del 2% mensual.</t>
  </si>
  <si>
    <t>Calcular el valor de las cuotas.</t>
  </si>
  <si>
    <t>A</t>
  </si>
  <si>
    <t>b) Calcular A con Función de Excel PAGO</t>
  </si>
  <si>
    <t>i</t>
  </si>
  <si>
    <t>?</t>
  </si>
  <si>
    <t>mensual</t>
  </si>
  <si>
    <t>(1+i)^n</t>
  </si>
  <si>
    <t>n</t>
  </si>
  <si>
    <t>Lote</t>
  </si>
  <si>
    <t>Cuota Inicial</t>
  </si>
  <si>
    <t>Función</t>
  </si>
  <si>
    <t>PAGO(J5;J6;J2;0)</t>
  </si>
  <si>
    <t>la entidad paga una tasa del 3% mensual.</t>
  </si>
  <si>
    <t>a</t>
  </si>
  <si>
    <t>b</t>
  </si>
  <si>
    <t>Calcular con formula</t>
  </si>
  <si>
    <t>Calcular con la función Vf</t>
  </si>
  <si>
    <t>F=?</t>
  </si>
  <si>
    <t>Vf</t>
  </si>
  <si>
    <t>Juan deposita $120.000 cada fin de mes, durante un año, en una entidad financiera</t>
  </si>
  <si>
    <t>¿Cuánto dinero tendrá acumulado al final de este tiempo?</t>
  </si>
  <si>
    <t>¿Cuánto se debe depositar al final de cada mes, durante dos años</t>
  </si>
  <si>
    <t>para reunir la suma de $8.500.000</t>
  </si>
  <si>
    <t xml:space="preserve">en una cuenta de ahorros que reconoce una tasa del 2,50% mensual </t>
  </si>
  <si>
    <t>si la tasa de interés cobrada es del 36% capitalizable mensualmente.</t>
  </si>
  <si>
    <t>¿con cuántos pagos se cancela la deuda?</t>
  </si>
  <si>
    <t>Un empleado deposita en una entidad bancaria al final de cada mes $250.000</t>
  </si>
  <si>
    <t>¿Qué tasa nominal capitalizable mensualmente ha ganado?</t>
  </si>
  <si>
    <t xml:space="preserve">Se compró un vehiculo con una cuota inicial de $1.000.000 </t>
  </si>
  <si>
    <t>y 12 cuotas mensuales iguales de $200.000</t>
  </si>
  <si>
    <t>La agencia cobra el 2.5% mensual sobre saldos.</t>
  </si>
  <si>
    <t>Calcular el valor del vehiculo con formula</t>
  </si>
  <si>
    <t>VP</t>
  </si>
  <si>
    <t>c</t>
  </si>
  <si>
    <t>Calcular con la función NPER</t>
  </si>
  <si>
    <t>Construya la tabla de amortización</t>
  </si>
  <si>
    <t xml:space="preserve">¿En cuánto tiempo debemos retirar una inversión realizada en el día de hoy, </t>
  </si>
  <si>
    <t>a una tasa nominal del 41,91% capitalizable mensualmente, si deseamos que se triplique?</t>
  </si>
  <si>
    <t>F</t>
  </si>
  <si>
    <t>Calcular el número de períodos con función</t>
  </si>
  <si>
    <t>Al los tres años tiene un saldo disponible de $13.500.000</t>
  </si>
  <si>
    <t>No</t>
  </si>
  <si>
    <t>Depósito</t>
  </si>
  <si>
    <t>Interés</t>
  </si>
  <si>
    <t>Saldo</t>
  </si>
  <si>
    <t>Buscar Objetivo</t>
  </si>
  <si>
    <t>Calcular con la función Pago</t>
  </si>
  <si>
    <t>Formula</t>
  </si>
  <si>
    <t>Calcular el valor del vehiculo con función Va</t>
  </si>
  <si>
    <t>Tabla</t>
  </si>
  <si>
    <t xml:space="preserve">inom </t>
  </si>
  <si>
    <t>vp</t>
  </si>
  <si>
    <t>Tasa</t>
  </si>
  <si>
    <t>Depósito
 + Intereés</t>
  </si>
  <si>
    <t>VP=</t>
  </si>
  <si>
    <t>A/(1+0,02)^-</t>
  </si>
  <si>
    <t>A/(1+0,02)^2</t>
  </si>
  <si>
    <t>A/(1+0,02)^3</t>
  </si>
  <si>
    <t>A/(1+0,02)^4</t>
  </si>
  <si>
    <t>A/(1+0,02)^5</t>
  </si>
  <si>
    <t>A/(1+0,02)^6</t>
  </si>
  <si>
    <t>A/(1+0,02)^7</t>
  </si>
  <si>
    <t>A/(1+0,02)^8</t>
  </si>
  <si>
    <t>A/(1+0,02)^9</t>
  </si>
  <si>
    <t>A/(1+0,02)^10</t>
  </si>
  <si>
    <t>A/(1+0,02)^11</t>
  </si>
  <si>
    <t>A7(1+0,02)^12</t>
  </si>
  <si>
    <t>Ecuación de Valor</t>
  </si>
  <si>
    <t>a) Calcular A con formula</t>
  </si>
  <si>
    <t xml:space="preserve"> =A*(</t>
  </si>
  <si>
    <t>)</t>
  </si>
  <si>
    <t xml:space="preserve">A= </t>
  </si>
  <si>
    <t>Una deuda de $20.000.000 se debe cancelar con cuotas mensuales iguales de $620.000 cada una.</t>
  </si>
  <si>
    <t>tasa efectiva anual</t>
  </si>
  <si>
    <t>tasa efectiva periódica</t>
  </si>
  <si>
    <t>n =</t>
  </si>
  <si>
    <t>logA-log(a-(p*i))</t>
  </si>
  <si>
    <t>log (1+i)</t>
  </si>
  <si>
    <t>Ecuación valor</t>
  </si>
  <si>
    <t>cuota</t>
  </si>
  <si>
    <t>interes</t>
  </si>
  <si>
    <t>abono</t>
  </si>
  <si>
    <t>saldo</t>
  </si>
  <si>
    <t>VF</t>
  </si>
  <si>
    <t>FF</t>
  </si>
  <si>
    <t>A=</t>
  </si>
  <si>
    <t>TEM</t>
  </si>
  <si>
    <t>anual</t>
  </si>
  <si>
    <t>Conclusión:</t>
  </si>
  <si>
    <t>Al final de los 12 meses y con una tasa del 3%, obtendra un acumulado de $1.703.043.</t>
  </si>
  <si>
    <t>Se debe depsitar $262.759 en un lapso de dos años con una tasa del 2,50% mensual para al final obtener $8.500.000.</t>
  </si>
  <si>
    <t xml:space="preserve">Conclusión: </t>
  </si>
  <si>
    <t>La deuda se cancela con 116 meses con una tasa efectiva mensual del 3% dando un abono de $620.000.</t>
  </si>
  <si>
    <t>Las cuotas son de $200.000 durante 12 meses al 2,5% mensual.</t>
  </si>
  <si>
    <t>La inversión se puede a los 32 meses con un valor de $1.000.000 a una tasa efectiva mensual del 3,4925% para obtener el triplicado del dinero que es de $3.000.000.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</si>
</sst>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164" formatCode="&quot;$&quot;\ #,##0;[Red]\-&quot;$&quot;\ #,##0"/>
    <numFmt numFmtId="165" formatCode="&quot;$&quot;\ #,##0.00;[Red]\-&quot;$&quot;\ #,##0.00"/>
    <numFmt numFmtId="166" formatCode="&quot;$&quot;\ #,##0_);[Red]\(&quot;$&quot;\ #,##0\)"/>
    <numFmt numFmtId="167" formatCode="&quot;$&quot;\ #,##0.00_);[Red]\(&quot;$&quot;\ #,##0.00\)"/>
    <numFmt numFmtId="168" formatCode="_(&quot;$&quot;\ * #,##0.00_);_(&quot;$&quot;\ * \(#,##0.00\);_(&quot;$&quot;\ * &quot;-&quot;??_);_(@_)"/>
    <numFmt numFmtId="169" formatCode="_(* #,##0.00_);_(* \(#,##0.00\);_(* &quot;-&quot;??_);_(@_)"/>
    <numFmt numFmtId="170" formatCode="_(* #,##0_);_(* \(#,##0\);_(* &quot;-&quot;??_);_(@_)"/>
    <numFmt numFmtId="171" formatCode="0.0%"/>
    <numFmt numFmtId="172" formatCode="&quot;$&quot;\ #,##0.00"/>
    <numFmt numFmtId="173" formatCode="&quot;$&quot;#,##0.00"/>
    <numFmt numFmtId="174" formatCode="&quot;$&quot;#,##0"/>
    <numFmt numFmtId="175" formatCode="0.000"/>
    <numFmt numFmtId="176" formatCode="&quot;$&quot;#,##0.000"/>
    <numFmt numFmtId="177" formatCode="0.00000"/>
    <numFmt numFmtId="178" formatCode="_(&quot;$&quot;\ * #,##0_);_(&quot;$&quot;\ * \(#,##0\);_(&quot;$&quot;\ * &quot;-&quot;??_);_(@_)"/>
    <numFmt numFmtId="179" formatCode="_-&quot;$&quot;* #,##0.0_-;\-&quot;$&quot;* #,##0.0_-;_-&quot;$&quot;* &quot;-&quot;?_-;_-@_-"/>
    <numFmt numFmtId="180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170" fontId="0" fillId="0" borderId="0" xfId="1" applyNumberFormat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/>
    <xf numFmtId="170" fontId="0" fillId="0" borderId="0" xfId="1" applyNumberFormat="1" applyFont="1" applyFill="1"/>
    <xf numFmtId="170" fontId="3" fillId="0" borderId="0" xfId="1" applyNumberFormat="1" applyFont="1" applyFill="1"/>
    <xf numFmtId="169" fontId="0" fillId="0" borderId="0" xfId="1" applyNumberFormat="1" applyFont="1" applyFill="1"/>
    <xf numFmtId="167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/>
    <xf numFmtId="0" fontId="4" fillId="0" borderId="0" xfId="0" applyFont="1"/>
    <xf numFmtId="172" fontId="0" fillId="0" borderId="0" xfId="0" applyNumberFormat="1"/>
    <xf numFmtId="167" fontId="0" fillId="0" borderId="0" xfId="0" applyNumberFormat="1"/>
    <xf numFmtId="172" fontId="5" fillId="0" borderId="0" xfId="0" applyNumberFormat="1" applyFon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8" fontId="0" fillId="0" borderId="0" xfId="2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 indent="1"/>
    </xf>
    <xf numFmtId="168" fontId="0" fillId="0" borderId="0" xfId="2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/>
    <xf numFmtId="173" fontId="0" fillId="0" borderId="0" xfId="0" applyNumberFormat="1"/>
    <xf numFmtId="174" fontId="0" fillId="0" borderId="0" xfId="0" applyNumberFormat="1" applyFill="1" applyBorder="1"/>
    <xf numFmtId="173" fontId="0" fillId="0" borderId="0" xfId="0" applyNumberFormat="1" applyAlignment="1">
      <alignment horizontal="right"/>
    </xf>
    <xf numFmtId="6" fontId="6" fillId="0" borderId="0" xfId="0" applyNumberFormat="1" applyFont="1"/>
    <xf numFmtId="17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/>
    <xf numFmtId="172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right"/>
    </xf>
    <xf numFmtId="174" fontId="6" fillId="0" borderId="0" xfId="0" applyNumberFormat="1" applyFont="1" applyFill="1" applyBorder="1"/>
    <xf numFmtId="170" fontId="6" fillId="0" borderId="0" xfId="1" applyNumberFormat="1" applyFont="1" applyFill="1" applyBorder="1" applyAlignment="1">
      <alignment horizontal="right"/>
    </xf>
    <xf numFmtId="174" fontId="6" fillId="0" borderId="0" xfId="0" applyNumberFormat="1" applyFont="1" applyFill="1" applyBorder="1" applyAlignment="1">
      <alignment horizontal="right"/>
    </xf>
    <xf numFmtId="170" fontId="6" fillId="0" borderId="0" xfId="1" applyNumberFormat="1" applyFont="1" applyFill="1" applyBorder="1" applyAlignment="1"/>
    <xf numFmtId="173" fontId="0" fillId="0" borderId="0" xfId="0" applyNumberFormat="1" applyBorder="1"/>
    <xf numFmtId="0" fontId="0" fillId="3" borderId="0" xfId="0" applyFill="1"/>
    <xf numFmtId="175" fontId="0" fillId="0" borderId="0" xfId="0" applyNumberFormat="1"/>
    <xf numFmtId="176" fontId="0" fillId="0" borderId="0" xfId="0" applyNumberFormat="1"/>
    <xf numFmtId="0" fontId="5" fillId="0" borderId="0" xfId="0" applyFont="1"/>
    <xf numFmtId="171" fontId="5" fillId="0" borderId="0" xfId="0" applyNumberFormat="1" applyFont="1" applyFill="1" applyBorder="1"/>
    <xf numFmtId="0" fontId="0" fillId="0" borderId="0" xfId="0" applyFill="1" applyBorder="1" applyAlignment="1">
      <alignment wrapText="1"/>
    </xf>
    <xf numFmtId="168" fontId="0" fillId="0" borderId="0" xfId="2" applyFont="1" applyBorder="1"/>
    <xf numFmtId="168" fontId="0" fillId="3" borderId="0" xfId="2" applyFont="1" applyFill="1" applyBorder="1"/>
    <xf numFmtId="0" fontId="0" fillId="3" borderId="0" xfId="0" applyFill="1" applyBorder="1"/>
    <xf numFmtId="172" fontId="0" fillId="0" borderId="0" xfId="0" applyNumberFormat="1" applyAlignment="1">
      <alignment horizontal="right"/>
    </xf>
    <xf numFmtId="168" fontId="0" fillId="0" borderId="0" xfId="2" applyFont="1" applyAlignment="1">
      <alignment horizontal="right"/>
    </xf>
    <xf numFmtId="172" fontId="6" fillId="0" borderId="0" xfId="0" applyNumberFormat="1" applyFont="1" applyBorder="1" applyAlignment="1">
      <alignment horizontal="right"/>
    </xf>
    <xf numFmtId="173" fontId="5" fillId="0" borderId="0" xfId="0" applyNumberFormat="1" applyFont="1" applyAlignment="1">
      <alignment horizontal="right"/>
    </xf>
    <xf numFmtId="173" fontId="5" fillId="0" borderId="0" xfId="0" applyNumberFormat="1" applyFont="1"/>
    <xf numFmtId="0" fontId="6" fillId="3" borderId="0" xfId="0" applyFont="1" applyFill="1" applyAlignment="1">
      <alignment horizontal="right"/>
    </xf>
    <xf numFmtId="0" fontId="7" fillId="0" borderId="0" xfId="0" applyFont="1"/>
    <xf numFmtId="175" fontId="0" fillId="0" borderId="0" xfId="0" applyNumberFormat="1" applyFill="1" applyBorder="1"/>
    <xf numFmtId="171" fontId="0" fillId="0" borderId="0" xfId="3" applyNumberFormat="1" applyFont="1" applyFill="1" applyBorder="1"/>
    <xf numFmtId="171" fontId="0" fillId="0" borderId="0" xfId="0" applyNumberFormat="1" applyFill="1" applyBorder="1"/>
    <xf numFmtId="167" fontId="0" fillId="0" borderId="0" xfId="0" applyNumberFormat="1" applyFill="1" applyBorder="1"/>
    <xf numFmtId="1" fontId="0" fillId="0" borderId="0" xfId="0" applyNumberFormat="1" applyFill="1" applyBorder="1"/>
    <xf numFmtId="173" fontId="0" fillId="0" borderId="0" xfId="2" applyNumberFormat="1" applyFont="1"/>
    <xf numFmtId="0" fontId="0" fillId="4" borderId="0" xfId="0" applyFill="1"/>
    <xf numFmtId="0" fontId="0" fillId="0" borderId="1" xfId="0" applyFill="1" applyBorder="1" applyAlignment="1">
      <alignment horizontal="left"/>
    </xf>
    <xf numFmtId="178" fontId="0" fillId="0" borderId="0" xfId="2" applyNumberFormat="1" applyFont="1" applyFill="1" applyBorder="1"/>
    <xf numFmtId="178" fontId="0" fillId="0" borderId="0" xfId="0" applyNumberFormat="1" applyFill="1" applyBorder="1"/>
    <xf numFmtId="0" fontId="0" fillId="0" borderId="7" xfId="0" applyFill="1" applyBorder="1"/>
    <xf numFmtId="178" fontId="0" fillId="0" borderId="7" xfId="2" applyNumberFormat="1" applyFont="1" applyFill="1" applyBorder="1"/>
    <xf numFmtId="0" fontId="0" fillId="4" borderId="7" xfId="0" applyFill="1" applyBorder="1"/>
    <xf numFmtId="178" fontId="0" fillId="4" borderId="7" xfId="2" applyNumberFormat="1" applyFont="1" applyFill="1" applyBorder="1"/>
    <xf numFmtId="178" fontId="5" fillId="4" borderId="7" xfId="0" applyNumberFormat="1" applyFont="1" applyFill="1" applyBorder="1"/>
    <xf numFmtId="165" fontId="0" fillId="4" borderId="7" xfId="0" applyNumberFormat="1" applyFill="1" applyBorder="1"/>
    <xf numFmtId="168" fontId="5" fillId="4" borderId="7" xfId="2" applyFont="1" applyFill="1" applyBorder="1"/>
    <xf numFmtId="178" fontId="5" fillId="0" borderId="7" xfId="2" applyNumberFormat="1" applyFont="1" applyFill="1" applyBorder="1"/>
    <xf numFmtId="178" fontId="5" fillId="4" borderId="7" xfId="2" applyNumberFormat="1" applyFont="1" applyFill="1" applyBorder="1"/>
    <xf numFmtId="166" fontId="0" fillId="0" borderId="7" xfId="0" applyNumberFormat="1" applyBorder="1"/>
    <xf numFmtId="0" fontId="0" fillId="0" borderId="7" xfId="0" applyBorder="1"/>
    <xf numFmtId="0" fontId="2" fillId="4" borderId="7" xfId="0" applyFont="1" applyFill="1" applyBorder="1" applyAlignment="1">
      <alignment vertical="center" wrapText="1"/>
    </xf>
    <xf numFmtId="0" fontId="0" fillId="0" borderId="7" xfId="0" applyBorder="1" applyAlignment="1">
      <alignment horizontal="right"/>
    </xf>
    <xf numFmtId="178" fontId="0" fillId="0" borderId="7" xfId="2" applyNumberFormat="1" applyFont="1" applyBorder="1"/>
    <xf numFmtId="10" fontId="0" fillId="0" borderId="7" xfId="3" applyNumberFormat="1" applyFont="1" applyBorder="1"/>
    <xf numFmtId="170" fontId="3" fillId="0" borderId="0" xfId="1" applyNumberFormat="1" applyFont="1" applyFill="1" applyBorder="1" applyAlignment="1"/>
    <xf numFmtId="164" fontId="0" fillId="4" borderId="7" xfId="0" applyNumberFormat="1" applyFill="1" applyBorder="1"/>
    <xf numFmtId="173" fontId="0" fillId="0" borderId="7" xfId="0" applyNumberFormat="1" applyBorder="1"/>
    <xf numFmtId="0" fontId="2" fillId="0" borderId="7" xfId="0" applyFont="1" applyBorder="1" applyAlignment="1">
      <alignment vertical="center" wrapText="1"/>
    </xf>
    <xf numFmtId="9" fontId="2" fillId="0" borderId="7" xfId="0" applyNumberFormat="1" applyFont="1" applyBorder="1" applyAlignment="1">
      <alignment vertical="center" wrapText="1"/>
    </xf>
    <xf numFmtId="177" fontId="0" fillId="2" borderId="7" xfId="0" applyNumberFormat="1" applyFill="1" applyBorder="1"/>
    <xf numFmtId="42" fontId="0" fillId="0" borderId="7" xfId="4" applyFont="1" applyFill="1" applyBorder="1"/>
    <xf numFmtId="42" fontId="0" fillId="0" borderId="7" xfId="4" applyFont="1" applyBorder="1"/>
    <xf numFmtId="42" fontId="5" fillId="0" borderId="7" xfId="4" applyFont="1" applyFill="1" applyBorder="1"/>
    <xf numFmtId="42" fontId="5" fillId="0" borderId="7" xfId="4" applyFont="1" applyBorder="1"/>
    <xf numFmtId="0" fontId="5" fillId="4" borderId="7" xfId="0" applyFont="1" applyFill="1" applyBorder="1"/>
    <xf numFmtId="0" fontId="0" fillId="3" borderId="7" xfId="0" applyFill="1" applyBorder="1"/>
    <xf numFmtId="1" fontId="0" fillId="4" borderId="7" xfId="0" applyNumberFormat="1" applyFill="1" applyBorder="1"/>
    <xf numFmtId="0" fontId="0" fillId="0" borderId="8" xfId="0" applyBorder="1"/>
    <xf numFmtId="171" fontId="0" fillId="0" borderId="7" xfId="0" applyNumberFormat="1" applyBorder="1"/>
    <xf numFmtId="0" fontId="0" fillId="0" borderId="9" xfId="0" applyBorder="1"/>
    <xf numFmtId="0" fontId="0" fillId="0" borderId="10" xfId="0" applyBorder="1"/>
    <xf numFmtId="8" fontId="0" fillId="4" borderId="7" xfId="0" applyNumberFormat="1" applyFill="1" applyBorder="1"/>
    <xf numFmtId="0" fontId="0" fillId="3" borderId="11" xfId="0" applyFill="1" applyBorder="1"/>
    <xf numFmtId="42" fontId="5" fillId="0" borderId="7" xfId="0" applyNumberFormat="1" applyFont="1" applyBorder="1"/>
    <xf numFmtId="179" fontId="0" fillId="4" borderId="7" xfId="0" applyNumberFormat="1" applyFill="1" applyBorder="1"/>
    <xf numFmtId="180" fontId="0" fillId="0" borderId="7" xfId="3" applyNumberFormat="1" applyFont="1" applyBorder="1"/>
    <xf numFmtId="0" fontId="0" fillId="4" borderId="0" xfId="0" applyFill="1" applyBorder="1"/>
    <xf numFmtId="0" fontId="5" fillId="0" borderId="0" xfId="0" applyFont="1" applyFill="1" applyBorder="1"/>
    <xf numFmtId="0" fontId="5" fillId="0" borderId="0" xfId="0" applyFont="1" applyFill="1"/>
    <xf numFmtId="0" fontId="0" fillId="3" borderId="7" xfId="0" applyFill="1" applyBorder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5">
    <cellStyle name="Millares" xfId="1" builtinId="3"/>
    <cellStyle name="Moneda" xfId="2" builtinId="4"/>
    <cellStyle name="Moneda [0]" xfId="4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2</xdr:col>
      <xdr:colOff>9526</xdr:colOff>
      <xdr:row>14</xdr:row>
      <xdr:rowOff>38100</xdr:rowOff>
    </xdr:to>
    <xdr:cxnSp macro="">
      <xdr:nvCxnSpPr>
        <xdr:cNvPr id="6" name="Conector recto de flecha 5"/>
        <xdr:cNvCxnSpPr/>
      </xdr:nvCxnSpPr>
      <xdr:spPr>
        <a:xfrm flipH="1">
          <a:off x="1533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171450</xdr:rowOff>
    </xdr:from>
    <xdr:to>
      <xdr:col>3</xdr:col>
      <xdr:colOff>9526</xdr:colOff>
      <xdr:row>14</xdr:row>
      <xdr:rowOff>19050</xdr:rowOff>
    </xdr:to>
    <xdr:cxnSp macro="">
      <xdr:nvCxnSpPr>
        <xdr:cNvPr id="9" name="Conector recto de flecha 8"/>
        <xdr:cNvCxnSpPr/>
      </xdr:nvCxnSpPr>
      <xdr:spPr>
        <a:xfrm flipH="1">
          <a:off x="22955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1</xdr:colOff>
      <xdr:row>14</xdr:row>
      <xdr:rowOff>47625</xdr:rowOff>
    </xdr:to>
    <xdr:cxnSp macro="">
      <xdr:nvCxnSpPr>
        <xdr:cNvPr id="10" name="Conector recto de flecha 9"/>
        <xdr:cNvCxnSpPr/>
      </xdr:nvCxnSpPr>
      <xdr:spPr>
        <a:xfrm flipH="1">
          <a:off x="30480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19050</xdr:rowOff>
    </xdr:from>
    <xdr:to>
      <xdr:col>5</xdr:col>
      <xdr:colOff>1</xdr:colOff>
      <xdr:row>14</xdr:row>
      <xdr:rowOff>57150</xdr:rowOff>
    </xdr:to>
    <xdr:cxnSp macro="">
      <xdr:nvCxnSpPr>
        <xdr:cNvPr id="11" name="Conector recto de flecha 10"/>
        <xdr:cNvCxnSpPr/>
      </xdr:nvCxnSpPr>
      <xdr:spPr>
        <a:xfrm flipH="1">
          <a:off x="3810000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9525</xdr:rowOff>
    </xdr:from>
    <xdr:to>
      <xdr:col>6</xdr:col>
      <xdr:colOff>9526</xdr:colOff>
      <xdr:row>14</xdr:row>
      <xdr:rowOff>47625</xdr:rowOff>
    </xdr:to>
    <xdr:cxnSp macro="">
      <xdr:nvCxnSpPr>
        <xdr:cNvPr id="12" name="Conector recto de flecha 11"/>
        <xdr:cNvCxnSpPr/>
      </xdr:nvCxnSpPr>
      <xdr:spPr>
        <a:xfrm flipH="1">
          <a:off x="458152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0</xdr:rowOff>
    </xdr:from>
    <xdr:to>
      <xdr:col>7</xdr:col>
      <xdr:colOff>9526</xdr:colOff>
      <xdr:row>14</xdr:row>
      <xdr:rowOff>38100</xdr:rowOff>
    </xdr:to>
    <xdr:cxnSp macro="">
      <xdr:nvCxnSpPr>
        <xdr:cNvPr id="13" name="Conector recto de flecha 12"/>
        <xdr:cNvCxnSpPr/>
      </xdr:nvCxnSpPr>
      <xdr:spPr>
        <a:xfrm flipH="1">
          <a:off x="5343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</xdr:row>
      <xdr:rowOff>0</xdr:rowOff>
    </xdr:from>
    <xdr:to>
      <xdr:col>8</xdr:col>
      <xdr:colOff>9526</xdr:colOff>
      <xdr:row>14</xdr:row>
      <xdr:rowOff>38100</xdr:rowOff>
    </xdr:to>
    <xdr:cxnSp macro="">
      <xdr:nvCxnSpPr>
        <xdr:cNvPr id="14" name="Conector recto de flecha 13"/>
        <xdr:cNvCxnSpPr/>
      </xdr:nvCxnSpPr>
      <xdr:spPr>
        <a:xfrm flipH="1">
          <a:off x="61055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0</xdr:rowOff>
    </xdr:from>
    <xdr:to>
      <xdr:col>9</xdr:col>
      <xdr:colOff>9526</xdr:colOff>
      <xdr:row>14</xdr:row>
      <xdr:rowOff>38100</xdr:rowOff>
    </xdr:to>
    <xdr:cxnSp macro="">
      <xdr:nvCxnSpPr>
        <xdr:cNvPr id="15" name="Conector recto de flecha 14"/>
        <xdr:cNvCxnSpPr/>
      </xdr:nvCxnSpPr>
      <xdr:spPr>
        <a:xfrm flipH="1">
          <a:off x="74390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9525</xdr:rowOff>
    </xdr:from>
    <xdr:to>
      <xdr:col>10</xdr:col>
      <xdr:colOff>1</xdr:colOff>
      <xdr:row>14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76200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180975</xdr:rowOff>
    </xdr:from>
    <xdr:to>
      <xdr:col>11</xdr:col>
      <xdr:colOff>9526</xdr:colOff>
      <xdr:row>14</xdr:row>
      <xdr:rowOff>28575</xdr:rowOff>
    </xdr:to>
    <xdr:cxnSp macro="">
      <xdr:nvCxnSpPr>
        <xdr:cNvPr id="17" name="Conector recto de flecha 16"/>
        <xdr:cNvCxnSpPr/>
      </xdr:nvCxnSpPr>
      <xdr:spPr>
        <a:xfrm flipH="1">
          <a:off x="8391525" y="22764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11</xdr:row>
      <xdr:rowOff>161925</xdr:rowOff>
    </xdr:from>
    <xdr:to>
      <xdr:col>12</xdr:col>
      <xdr:colOff>9526</xdr:colOff>
      <xdr:row>14</xdr:row>
      <xdr:rowOff>9525</xdr:rowOff>
    </xdr:to>
    <xdr:cxnSp macro="">
      <xdr:nvCxnSpPr>
        <xdr:cNvPr id="18" name="Conector recto de flecha 17"/>
        <xdr:cNvCxnSpPr/>
      </xdr:nvCxnSpPr>
      <xdr:spPr>
        <a:xfrm flipH="1">
          <a:off x="9153525" y="22574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</xdr:colOff>
      <xdr:row>14</xdr:row>
      <xdr:rowOff>38100</xdr:rowOff>
    </xdr:to>
    <xdr:cxnSp macro="">
      <xdr:nvCxnSpPr>
        <xdr:cNvPr id="19" name="Conector recto de flecha 18"/>
        <xdr:cNvCxnSpPr/>
      </xdr:nvCxnSpPr>
      <xdr:spPr>
        <a:xfrm flipH="1">
          <a:off x="9906000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750125</xdr:colOff>
      <xdr:row>23</xdr:row>
      <xdr:rowOff>18065</xdr:rowOff>
    </xdr:from>
    <xdr:ext cx="987643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426525" y="3256565"/>
              <a:ext cx="98764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𝑣𝑝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d>
                          <m:dPr>
                            <m:ctrlPr>
                              <a:rPr lang="es-CO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d>
                        <m:r>
                          <a:rPr lang="es-CO" sz="1100" b="0" i="1" baseline="30000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</m:d>
                        <m:r>
                          <a:rPr lang="es-CO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−1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426525" y="3256565"/>
              <a:ext cx="98764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𝑣𝑝  𝑖(1+𝑖)</a:t>
              </a:r>
              <a:r>
                <a:rPr lang="es-CO" sz="1100" b="0" i="0" baseline="30000">
                  <a:latin typeface="Cambria Math" panose="02040503050406030204" pitchFamily="18" charset="0"/>
                </a:rPr>
                <a:t>𝑛/(</a:t>
              </a:r>
              <a:r>
                <a:rPr lang="es-CO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1+𝑖)</a:t>
              </a:r>
              <a:r>
                <a:rPr lang="es-CO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−1) </a:t>
              </a:r>
              <a:r>
                <a:rPr lang="es-CO" sz="1100" b="0" i="0">
                  <a:latin typeface="Cambria Math" panose="02040503050406030204" pitchFamily="18" charset="0"/>
                </a:rPr>
                <a:t>  </a:t>
              </a:r>
              <a:endParaRPr lang="es-CO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</xdr:col>
      <xdr:colOff>752475</xdr:colOff>
      <xdr:row>41</xdr:row>
      <xdr:rowOff>9525</xdr:rowOff>
    </xdr:from>
    <xdr:to>
      <xdr:col>1</xdr:col>
      <xdr:colOff>752476</xdr:colOff>
      <xdr:row>43</xdr:row>
      <xdr:rowOff>47625</xdr:rowOff>
    </xdr:to>
    <xdr:cxnSp macro="">
      <xdr:nvCxnSpPr>
        <xdr:cNvPr id="26" name="Conector recto de flecha 25"/>
        <xdr:cNvCxnSpPr/>
      </xdr:nvCxnSpPr>
      <xdr:spPr>
        <a:xfrm flipH="1">
          <a:off x="1666875" y="6677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171450</xdr:rowOff>
    </xdr:from>
    <xdr:to>
      <xdr:col>3</xdr:col>
      <xdr:colOff>9526</xdr:colOff>
      <xdr:row>43</xdr:row>
      <xdr:rowOff>19050</xdr:rowOff>
    </xdr:to>
    <xdr:cxnSp macro="">
      <xdr:nvCxnSpPr>
        <xdr:cNvPr id="27" name="Conector recto de flecha 26"/>
        <xdr:cNvCxnSpPr/>
      </xdr:nvCxnSpPr>
      <xdr:spPr>
        <a:xfrm flipH="1">
          <a:off x="24479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9525</xdr:rowOff>
    </xdr:from>
    <xdr:to>
      <xdr:col>4</xdr:col>
      <xdr:colOff>1</xdr:colOff>
      <xdr:row>43</xdr:row>
      <xdr:rowOff>47625</xdr:rowOff>
    </xdr:to>
    <xdr:cxnSp macro="">
      <xdr:nvCxnSpPr>
        <xdr:cNvPr id="28" name="Conector recto de flecha 27"/>
        <xdr:cNvCxnSpPr/>
      </xdr:nvCxnSpPr>
      <xdr:spPr>
        <a:xfrm flipH="1">
          <a:off x="33147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41</xdr:row>
      <xdr:rowOff>19050</xdr:rowOff>
    </xdr:from>
    <xdr:to>
      <xdr:col>5</xdr:col>
      <xdr:colOff>1</xdr:colOff>
      <xdr:row>43</xdr:row>
      <xdr:rowOff>57150</xdr:rowOff>
    </xdr:to>
    <xdr:cxnSp macro="">
      <xdr:nvCxnSpPr>
        <xdr:cNvPr id="29" name="Conector recto de flecha 28"/>
        <xdr:cNvCxnSpPr/>
      </xdr:nvCxnSpPr>
      <xdr:spPr>
        <a:xfrm flipH="1">
          <a:off x="4076700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41</xdr:row>
      <xdr:rowOff>9525</xdr:rowOff>
    </xdr:from>
    <xdr:to>
      <xdr:col>6</xdr:col>
      <xdr:colOff>9526</xdr:colOff>
      <xdr:row>43</xdr:row>
      <xdr:rowOff>47625</xdr:rowOff>
    </xdr:to>
    <xdr:cxnSp macro="">
      <xdr:nvCxnSpPr>
        <xdr:cNvPr id="30" name="Conector recto de flecha 29"/>
        <xdr:cNvCxnSpPr/>
      </xdr:nvCxnSpPr>
      <xdr:spPr>
        <a:xfrm flipH="1">
          <a:off x="484822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40</xdr:row>
      <xdr:rowOff>180975</xdr:rowOff>
    </xdr:from>
    <xdr:to>
      <xdr:col>7</xdr:col>
      <xdr:colOff>9526</xdr:colOff>
      <xdr:row>43</xdr:row>
      <xdr:rowOff>28575</xdr:rowOff>
    </xdr:to>
    <xdr:cxnSp macro="">
      <xdr:nvCxnSpPr>
        <xdr:cNvPr id="31" name="Conector recto de flecha 30"/>
        <xdr:cNvCxnSpPr/>
      </xdr:nvCxnSpPr>
      <xdr:spPr>
        <a:xfrm flipH="1">
          <a:off x="5610225" y="6657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40</xdr:row>
      <xdr:rowOff>9525</xdr:rowOff>
    </xdr:from>
    <xdr:to>
      <xdr:col>7</xdr:col>
      <xdr:colOff>466725</xdr:colOff>
      <xdr:row>41</xdr:row>
      <xdr:rowOff>142875</xdr:rowOff>
    </xdr:to>
    <xdr:cxnSp macro="">
      <xdr:nvCxnSpPr>
        <xdr:cNvPr id="3" name="Conector recto 2"/>
        <xdr:cNvCxnSpPr/>
      </xdr:nvCxnSpPr>
      <xdr:spPr>
        <a:xfrm flipH="1">
          <a:off x="5934075" y="6486525"/>
          <a:ext cx="13335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40</xdr:row>
      <xdr:rowOff>180975</xdr:rowOff>
    </xdr:from>
    <xdr:to>
      <xdr:col>7</xdr:col>
      <xdr:colOff>752476</xdr:colOff>
      <xdr:row>43</xdr:row>
      <xdr:rowOff>28575</xdr:rowOff>
    </xdr:to>
    <xdr:cxnSp macro="">
      <xdr:nvCxnSpPr>
        <xdr:cNvPr id="33" name="Conector recto de flecha 32"/>
        <xdr:cNvCxnSpPr/>
      </xdr:nvCxnSpPr>
      <xdr:spPr>
        <a:xfrm flipH="1">
          <a:off x="6353175" y="6657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</xdr:rowOff>
    </xdr:from>
    <xdr:to>
      <xdr:col>8</xdr:col>
      <xdr:colOff>9525</xdr:colOff>
      <xdr:row>41</xdr:row>
      <xdr:rowOff>28575</xdr:rowOff>
    </xdr:to>
    <xdr:cxnSp macro="">
      <xdr:nvCxnSpPr>
        <xdr:cNvPr id="34" name="Conector recto de flecha 33"/>
        <xdr:cNvCxnSpPr/>
      </xdr:nvCxnSpPr>
      <xdr:spPr>
        <a:xfrm flipV="1">
          <a:off x="6362700" y="6296025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9526</xdr:colOff>
      <xdr:row>14</xdr:row>
      <xdr:rowOff>47625</xdr:rowOff>
    </xdr:to>
    <xdr:cxnSp macro="">
      <xdr:nvCxnSpPr>
        <xdr:cNvPr id="25" name="Conector recto de flecha 24"/>
        <xdr:cNvCxnSpPr/>
      </xdr:nvCxnSpPr>
      <xdr:spPr>
        <a:xfrm flipH="1">
          <a:off x="981075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9</xdr:row>
      <xdr:rowOff>180975</xdr:rowOff>
    </xdr:from>
    <xdr:to>
      <xdr:col>1</xdr:col>
      <xdr:colOff>704851</xdr:colOff>
      <xdr:row>12</xdr:row>
      <xdr:rowOff>28575</xdr:rowOff>
    </xdr:to>
    <xdr:cxnSp macro="">
      <xdr:nvCxnSpPr>
        <xdr:cNvPr id="8" name="Conector recto de flecha 7"/>
        <xdr:cNvCxnSpPr/>
      </xdr:nvCxnSpPr>
      <xdr:spPr>
        <a:xfrm flipH="1">
          <a:off x="1743075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180975</xdr:rowOff>
    </xdr:from>
    <xdr:to>
      <xdr:col>3</xdr:col>
      <xdr:colOff>9526</xdr:colOff>
      <xdr:row>12</xdr:row>
      <xdr:rowOff>28575</xdr:rowOff>
    </xdr:to>
    <xdr:cxnSp macro="">
      <xdr:nvCxnSpPr>
        <xdr:cNvPr id="9" name="Conector recto de flecha 8"/>
        <xdr:cNvCxnSpPr/>
      </xdr:nvCxnSpPr>
      <xdr:spPr>
        <a:xfrm flipH="1">
          <a:off x="2476500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</xdr:rowOff>
    </xdr:from>
    <xdr:to>
      <xdr:col>7</xdr:col>
      <xdr:colOff>1</xdr:colOff>
      <xdr:row>12</xdr:row>
      <xdr:rowOff>47625</xdr:rowOff>
    </xdr:to>
    <xdr:cxnSp macro="">
      <xdr:nvCxnSpPr>
        <xdr:cNvPr id="10" name="Conector recto de flecha 9"/>
        <xdr:cNvCxnSpPr/>
      </xdr:nvCxnSpPr>
      <xdr:spPr>
        <a:xfrm flipH="1">
          <a:off x="5324475" y="1724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17</xdr:row>
      <xdr:rowOff>9525</xdr:rowOff>
    </xdr:from>
    <xdr:ext cx="657226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2524125" y="3248025"/>
              <a:ext cx="657226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200" b="0">
                  <a:latin typeface="Arial" panose="020B0604020202020204" pitchFamily="34" charset="0"/>
                  <a:cs typeface="Arial" panose="020B0604020202020204" pitchFamily="34" charset="0"/>
                </a:rPr>
                <a:t>A</a:t>
              </a:r>
              <a14:m>
                <m:oMath xmlns:m="http://schemas.openxmlformats.org/officeDocument/2006/math">
                  <m:r>
                    <a:rPr lang="es-CO" sz="12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s-CO" sz="1200" i="1">
                          <a:latin typeface="Cambria Math"/>
                        </a:rPr>
                      </m:ctrlPr>
                    </m:fPr>
                    <m:num>
                      <m:d>
                        <m:dPr>
                          <m:ctrlPr>
                            <a:rPr lang="es-CO" sz="120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lang="es-CO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r>
                            <a:rPr lang="es-CO" sz="12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d>
                      <m:r>
                        <a:rPr lang="es-CO" sz="1200" b="0" i="1" baseline="3000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s-CO" sz="1200" b="0" i="1" baseline="30000">
                          <a:latin typeface="Cambria Math" panose="02040503050406030204" pitchFamily="18" charset="0"/>
                        </a:rPr>
                        <m:t> −1</m:t>
                      </m:r>
                    </m:num>
                    <m:den>
                      <m:r>
                        <a:rPr lang="es-CO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den>
                  </m:f>
                  <m:r>
                    <a:rPr lang="es-CO" sz="1200" b="0" i="1">
                      <a:latin typeface="Cambria Math" panose="02040503050406030204" pitchFamily="18" charset="0"/>
                    </a:rPr>
                    <m:t>  </m:t>
                  </m:r>
                </m:oMath>
              </a14:m>
              <a:endParaRPr lang="es-CO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524125" y="3248025"/>
              <a:ext cx="657226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200" b="0">
                  <a:latin typeface="Arial" panose="020B0604020202020204" pitchFamily="34" charset="0"/>
                  <a:cs typeface="Arial" panose="020B0604020202020204" pitchFamily="34" charset="0"/>
                </a:rPr>
                <a:t>A</a:t>
              </a:r>
              <a:r>
                <a:rPr lang="es-CO" sz="1200" b="0" i="0">
                  <a:latin typeface="Cambria Math" panose="02040503050406030204" pitchFamily="18" charset="0"/>
                </a:rPr>
                <a:t> </a:t>
              </a:r>
              <a:r>
                <a:rPr lang="es-CO" sz="1200" i="0">
                  <a:latin typeface="Cambria Math" panose="02040503050406030204" pitchFamily="18" charset="0"/>
                </a:rPr>
                <a:t> ((</a:t>
              </a:r>
              <a:r>
                <a:rPr lang="es-CO" sz="1200" b="0" i="0">
                  <a:latin typeface="Cambria Math" panose="02040503050406030204" pitchFamily="18" charset="0"/>
                </a:rPr>
                <a:t>1+𝑖)</a:t>
              </a:r>
              <a:r>
                <a:rPr lang="es-CO" sz="1200" b="0" i="0" baseline="30000">
                  <a:latin typeface="Cambria Math" panose="02040503050406030204" pitchFamily="18" charset="0"/>
                </a:rPr>
                <a:t>𝑛 −1)/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200" b="0" i="0">
                  <a:latin typeface="Cambria Math" panose="02040503050406030204" pitchFamily="18" charset="0"/>
                </a:rPr>
                <a:t>  </a:t>
              </a:r>
              <a:endParaRPr lang="es-CO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4</xdr:col>
      <xdr:colOff>0</xdr:colOff>
      <xdr:row>10</xdr:row>
      <xdr:rowOff>0</xdr:rowOff>
    </xdr:from>
    <xdr:to>
      <xdr:col>4</xdr:col>
      <xdr:colOff>1</xdr:colOff>
      <xdr:row>12</xdr:row>
      <xdr:rowOff>38100</xdr:rowOff>
    </xdr:to>
    <xdr:cxnSp macro="">
      <xdr:nvCxnSpPr>
        <xdr:cNvPr id="12" name="Conector recto de flecha 11"/>
        <xdr:cNvCxnSpPr/>
      </xdr:nvCxnSpPr>
      <xdr:spPr>
        <a:xfrm flipH="1">
          <a:off x="3438525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</xdr:colOff>
      <xdr:row>12</xdr:row>
      <xdr:rowOff>38100</xdr:rowOff>
    </xdr:to>
    <xdr:cxnSp macro="">
      <xdr:nvCxnSpPr>
        <xdr:cNvPr id="15" name="Conector recto de flecha 14"/>
        <xdr:cNvCxnSpPr/>
      </xdr:nvCxnSpPr>
      <xdr:spPr>
        <a:xfrm flipH="1">
          <a:off x="4152900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6</xdr:col>
      <xdr:colOff>1</xdr:colOff>
      <xdr:row>12</xdr:row>
      <xdr:rowOff>38100</xdr:rowOff>
    </xdr:to>
    <xdr:cxnSp macro="">
      <xdr:nvCxnSpPr>
        <xdr:cNvPr id="16" name="Conector recto de flecha 15"/>
        <xdr:cNvCxnSpPr/>
      </xdr:nvCxnSpPr>
      <xdr:spPr>
        <a:xfrm flipH="1">
          <a:off x="4867275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</xdr:colOff>
      <xdr:row>12</xdr:row>
      <xdr:rowOff>38100</xdr:rowOff>
    </xdr:to>
    <xdr:cxnSp macro="">
      <xdr:nvCxnSpPr>
        <xdr:cNvPr id="18" name="Conector recto de flecha 17"/>
        <xdr:cNvCxnSpPr/>
      </xdr:nvCxnSpPr>
      <xdr:spPr>
        <a:xfrm flipH="1">
          <a:off x="6296025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</xdr:colOff>
      <xdr:row>12</xdr:row>
      <xdr:rowOff>38100</xdr:rowOff>
    </xdr:to>
    <xdr:cxnSp macro="">
      <xdr:nvCxnSpPr>
        <xdr:cNvPr id="19" name="Conector recto de flecha 18"/>
        <xdr:cNvCxnSpPr/>
      </xdr:nvCxnSpPr>
      <xdr:spPr>
        <a:xfrm flipH="1">
          <a:off x="7267575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</xdr:colOff>
      <xdr:row>12</xdr:row>
      <xdr:rowOff>38100</xdr:rowOff>
    </xdr:to>
    <xdr:cxnSp macro="">
      <xdr:nvCxnSpPr>
        <xdr:cNvPr id="20" name="Conector recto de flecha 19"/>
        <xdr:cNvCxnSpPr/>
      </xdr:nvCxnSpPr>
      <xdr:spPr>
        <a:xfrm flipH="1">
          <a:off x="7981950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1</xdr:colOff>
      <xdr:row>12</xdr:row>
      <xdr:rowOff>38100</xdr:rowOff>
    </xdr:to>
    <xdr:cxnSp macro="">
      <xdr:nvCxnSpPr>
        <xdr:cNvPr id="21" name="Conector recto de flecha 20"/>
        <xdr:cNvCxnSpPr/>
      </xdr:nvCxnSpPr>
      <xdr:spPr>
        <a:xfrm flipH="1">
          <a:off x="8696325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</xdr:colOff>
      <xdr:row>12</xdr:row>
      <xdr:rowOff>38100</xdr:rowOff>
    </xdr:to>
    <xdr:cxnSp macro="">
      <xdr:nvCxnSpPr>
        <xdr:cNvPr id="22" name="Conector recto de flecha 21"/>
        <xdr:cNvCxnSpPr/>
      </xdr:nvCxnSpPr>
      <xdr:spPr>
        <a:xfrm flipH="1">
          <a:off x="9410700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2</xdr:colOff>
      <xdr:row>10</xdr:row>
      <xdr:rowOff>47625</xdr:rowOff>
    </xdr:to>
    <xdr:cxnSp macro="">
      <xdr:nvCxnSpPr>
        <xdr:cNvPr id="24" name="Conector recto de flecha 23"/>
        <xdr:cNvCxnSpPr/>
      </xdr:nvCxnSpPr>
      <xdr:spPr>
        <a:xfrm flipH="1" flipV="1">
          <a:off x="9734550" y="152400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1</xdr:colOff>
      <xdr:row>12</xdr:row>
      <xdr:rowOff>38100</xdr:rowOff>
    </xdr:to>
    <xdr:cxnSp macro="">
      <xdr:nvCxnSpPr>
        <xdr:cNvPr id="25" name="Conector recto de flecha 24"/>
        <xdr:cNvCxnSpPr/>
      </xdr:nvCxnSpPr>
      <xdr:spPr>
        <a:xfrm flipH="1">
          <a:off x="9734550" y="1905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180975</xdr:rowOff>
    </xdr:from>
    <xdr:to>
      <xdr:col>2</xdr:col>
      <xdr:colOff>1</xdr:colOff>
      <xdr:row>13</xdr:row>
      <xdr:rowOff>28575</xdr:rowOff>
    </xdr:to>
    <xdr:cxnSp macro="">
      <xdr:nvCxnSpPr>
        <xdr:cNvPr id="2" name="Conector recto de flecha 1"/>
        <xdr:cNvCxnSpPr/>
      </xdr:nvCxnSpPr>
      <xdr:spPr>
        <a:xfrm flipH="1">
          <a:off x="1524000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0</xdr:rowOff>
    </xdr:from>
    <xdr:to>
      <xdr:col>3</xdr:col>
      <xdr:colOff>752476</xdr:colOff>
      <xdr:row>13</xdr:row>
      <xdr:rowOff>38100</xdr:rowOff>
    </xdr:to>
    <xdr:cxnSp macro="">
      <xdr:nvCxnSpPr>
        <xdr:cNvPr id="3" name="Conector recto de flecha 2"/>
        <xdr:cNvCxnSpPr/>
      </xdr:nvCxnSpPr>
      <xdr:spPr>
        <a:xfrm flipH="1">
          <a:off x="3038475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</xdr:row>
      <xdr:rowOff>9525</xdr:rowOff>
    </xdr:from>
    <xdr:to>
      <xdr:col>7</xdr:col>
      <xdr:colOff>9526</xdr:colOff>
      <xdr:row>13</xdr:row>
      <xdr:rowOff>47625</xdr:rowOff>
    </xdr:to>
    <xdr:cxnSp macro="">
      <xdr:nvCxnSpPr>
        <xdr:cNvPr id="4" name="Conector recto de flecha 3"/>
        <xdr:cNvCxnSpPr/>
      </xdr:nvCxnSpPr>
      <xdr:spPr>
        <a:xfrm flipH="1">
          <a:off x="5343525" y="2105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10</xdr:row>
      <xdr:rowOff>180975</xdr:rowOff>
    </xdr:from>
    <xdr:to>
      <xdr:col>2</xdr:col>
      <xdr:colOff>752476</xdr:colOff>
      <xdr:row>13</xdr:row>
      <xdr:rowOff>28575</xdr:rowOff>
    </xdr:to>
    <xdr:cxnSp macro="">
      <xdr:nvCxnSpPr>
        <xdr:cNvPr id="6" name="Conector recto de flecha 5"/>
        <xdr:cNvCxnSpPr/>
      </xdr:nvCxnSpPr>
      <xdr:spPr>
        <a:xfrm flipH="1">
          <a:off x="2276475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1</xdr:colOff>
      <xdr:row>13</xdr:row>
      <xdr:rowOff>38100</xdr:rowOff>
    </xdr:to>
    <xdr:cxnSp macro="">
      <xdr:nvCxnSpPr>
        <xdr:cNvPr id="7" name="Conector recto de flecha 6"/>
        <xdr:cNvCxnSpPr/>
      </xdr:nvCxnSpPr>
      <xdr:spPr>
        <a:xfrm flipH="1">
          <a:off x="3810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</xdr:colOff>
      <xdr:row>13</xdr:row>
      <xdr:rowOff>38100</xdr:rowOff>
    </xdr:to>
    <xdr:cxnSp macro="">
      <xdr:nvCxnSpPr>
        <xdr:cNvPr id="8" name="Conector recto de flecha 7"/>
        <xdr:cNvCxnSpPr/>
      </xdr:nvCxnSpPr>
      <xdr:spPr>
        <a:xfrm flipH="1">
          <a:off x="4572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</xdr:colOff>
      <xdr:row>13</xdr:row>
      <xdr:rowOff>38100</xdr:rowOff>
    </xdr:to>
    <xdr:cxnSp macro="">
      <xdr:nvCxnSpPr>
        <xdr:cNvPr id="9" name="Conector recto de flecha 8"/>
        <xdr:cNvCxnSpPr/>
      </xdr:nvCxnSpPr>
      <xdr:spPr>
        <a:xfrm flipH="1">
          <a:off x="6096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</xdr:colOff>
      <xdr:row>13</xdr:row>
      <xdr:rowOff>38100</xdr:rowOff>
    </xdr:to>
    <xdr:cxnSp macro="">
      <xdr:nvCxnSpPr>
        <xdr:cNvPr id="10" name="Conector recto de flecha 9"/>
        <xdr:cNvCxnSpPr/>
      </xdr:nvCxnSpPr>
      <xdr:spPr>
        <a:xfrm flipH="1">
          <a:off x="6858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</xdr:colOff>
      <xdr:row>13</xdr:row>
      <xdr:rowOff>38100</xdr:rowOff>
    </xdr:to>
    <xdr:cxnSp macro="">
      <xdr:nvCxnSpPr>
        <xdr:cNvPr id="11" name="Conector recto de flecha 10"/>
        <xdr:cNvCxnSpPr/>
      </xdr:nvCxnSpPr>
      <xdr:spPr>
        <a:xfrm flipH="1">
          <a:off x="7620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1</xdr:colOff>
      <xdr:row>13</xdr:row>
      <xdr:rowOff>38100</xdr:rowOff>
    </xdr:to>
    <xdr:cxnSp macro="">
      <xdr:nvCxnSpPr>
        <xdr:cNvPr id="12" name="Conector recto de flecha 11"/>
        <xdr:cNvCxnSpPr/>
      </xdr:nvCxnSpPr>
      <xdr:spPr>
        <a:xfrm flipH="1">
          <a:off x="8382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1</xdr:colOff>
      <xdr:row>13</xdr:row>
      <xdr:rowOff>38100</xdr:rowOff>
    </xdr:to>
    <xdr:cxnSp macro="">
      <xdr:nvCxnSpPr>
        <xdr:cNvPr id="13" name="Conector recto de flecha 12"/>
        <xdr:cNvCxnSpPr/>
      </xdr:nvCxnSpPr>
      <xdr:spPr>
        <a:xfrm flipH="1">
          <a:off x="9144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1</xdr:colOff>
      <xdr:row>13</xdr:row>
      <xdr:rowOff>38100</xdr:rowOff>
    </xdr:to>
    <xdr:cxnSp macro="">
      <xdr:nvCxnSpPr>
        <xdr:cNvPr id="14" name="Conector recto de flecha 13"/>
        <xdr:cNvCxnSpPr/>
      </xdr:nvCxnSpPr>
      <xdr:spPr>
        <a:xfrm flipH="1">
          <a:off x="9906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0</xdr:rowOff>
    </xdr:from>
    <xdr:to>
      <xdr:col>14</xdr:col>
      <xdr:colOff>1</xdr:colOff>
      <xdr:row>13</xdr:row>
      <xdr:rowOff>38100</xdr:rowOff>
    </xdr:to>
    <xdr:cxnSp macro="">
      <xdr:nvCxnSpPr>
        <xdr:cNvPr id="15" name="Conector recto de flecha 14"/>
        <xdr:cNvCxnSpPr/>
      </xdr:nvCxnSpPr>
      <xdr:spPr>
        <a:xfrm flipH="1">
          <a:off x="10668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1</xdr:colOff>
      <xdr:row>13</xdr:row>
      <xdr:rowOff>38100</xdr:rowOff>
    </xdr:to>
    <xdr:cxnSp macro="">
      <xdr:nvCxnSpPr>
        <xdr:cNvPr id="16" name="Conector recto de flecha 15"/>
        <xdr:cNvCxnSpPr/>
      </xdr:nvCxnSpPr>
      <xdr:spPr>
        <a:xfrm flipH="1">
          <a:off x="11430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11</xdr:row>
      <xdr:rowOff>0</xdr:rowOff>
    </xdr:from>
    <xdr:to>
      <xdr:col>16</xdr:col>
      <xdr:colOff>1</xdr:colOff>
      <xdr:row>13</xdr:row>
      <xdr:rowOff>38100</xdr:rowOff>
    </xdr:to>
    <xdr:cxnSp macro="">
      <xdr:nvCxnSpPr>
        <xdr:cNvPr id="17" name="Conector recto de flecha 16"/>
        <xdr:cNvCxnSpPr/>
      </xdr:nvCxnSpPr>
      <xdr:spPr>
        <a:xfrm flipH="1">
          <a:off x="12192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0</xdr:rowOff>
    </xdr:from>
    <xdr:to>
      <xdr:col>17</xdr:col>
      <xdr:colOff>1</xdr:colOff>
      <xdr:row>13</xdr:row>
      <xdr:rowOff>38100</xdr:rowOff>
    </xdr:to>
    <xdr:cxnSp macro="">
      <xdr:nvCxnSpPr>
        <xdr:cNvPr id="18" name="Conector recto de flecha 17"/>
        <xdr:cNvCxnSpPr/>
      </xdr:nvCxnSpPr>
      <xdr:spPr>
        <a:xfrm flipH="1">
          <a:off x="12954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1</xdr:colOff>
      <xdr:row>13</xdr:row>
      <xdr:rowOff>38100</xdr:rowOff>
    </xdr:to>
    <xdr:cxnSp macro="">
      <xdr:nvCxnSpPr>
        <xdr:cNvPr id="19" name="Conector recto de flecha 18"/>
        <xdr:cNvCxnSpPr/>
      </xdr:nvCxnSpPr>
      <xdr:spPr>
        <a:xfrm flipH="1">
          <a:off x="13716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1</xdr:colOff>
      <xdr:row>13</xdr:row>
      <xdr:rowOff>38100</xdr:rowOff>
    </xdr:to>
    <xdr:cxnSp macro="">
      <xdr:nvCxnSpPr>
        <xdr:cNvPr id="20" name="Conector recto de flecha 19"/>
        <xdr:cNvCxnSpPr/>
      </xdr:nvCxnSpPr>
      <xdr:spPr>
        <a:xfrm flipH="1">
          <a:off x="14478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</xdr:row>
      <xdr:rowOff>0</xdr:rowOff>
    </xdr:from>
    <xdr:to>
      <xdr:col>20</xdr:col>
      <xdr:colOff>1</xdr:colOff>
      <xdr:row>13</xdr:row>
      <xdr:rowOff>38100</xdr:rowOff>
    </xdr:to>
    <xdr:cxnSp macro="">
      <xdr:nvCxnSpPr>
        <xdr:cNvPr id="21" name="Conector recto de flecha 20"/>
        <xdr:cNvCxnSpPr/>
      </xdr:nvCxnSpPr>
      <xdr:spPr>
        <a:xfrm flipH="1">
          <a:off x="15240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0</xdr:rowOff>
    </xdr:from>
    <xdr:to>
      <xdr:col>21</xdr:col>
      <xdr:colOff>1</xdr:colOff>
      <xdr:row>13</xdr:row>
      <xdr:rowOff>38100</xdr:rowOff>
    </xdr:to>
    <xdr:cxnSp macro="">
      <xdr:nvCxnSpPr>
        <xdr:cNvPr id="22" name="Conector recto de flecha 21"/>
        <xdr:cNvCxnSpPr/>
      </xdr:nvCxnSpPr>
      <xdr:spPr>
        <a:xfrm flipH="1">
          <a:off x="16002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</xdr:colOff>
      <xdr:row>13</xdr:row>
      <xdr:rowOff>38100</xdr:rowOff>
    </xdr:to>
    <xdr:cxnSp macro="">
      <xdr:nvCxnSpPr>
        <xdr:cNvPr id="23" name="Conector recto de flecha 22"/>
        <xdr:cNvCxnSpPr/>
      </xdr:nvCxnSpPr>
      <xdr:spPr>
        <a:xfrm flipH="1">
          <a:off x="16764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</xdr:colOff>
      <xdr:row>13</xdr:row>
      <xdr:rowOff>38100</xdr:rowOff>
    </xdr:to>
    <xdr:cxnSp macro="">
      <xdr:nvCxnSpPr>
        <xdr:cNvPr id="24" name="Conector recto de flecha 23"/>
        <xdr:cNvCxnSpPr/>
      </xdr:nvCxnSpPr>
      <xdr:spPr>
        <a:xfrm flipH="1">
          <a:off x="17526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0</xdr:rowOff>
    </xdr:from>
    <xdr:to>
      <xdr:col>24</xdr:col>
      <xdr:colOff>1</xdr:colOff>
      <xdr:row>13</xdr:row>
      <xdr:rowOff>38100</xdr:rowOff>
    </xdr:to>
    <xdr:cxnSp macro="">
      <xdr:nvCxnSpPr>
        <xdr:cNvPr id="25" name="Conector recto de flecha 24"/>
        <xdr:cNvCxnSpPr/>
      </xdr:nvCxnSpPr>
      <xdr:spPr>
        <a:xfrm flipH="1">
          <a:off x="18288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1</xdr:colOff>
      <xdr:row>13</xdr:row>
      <xdr:rowOff>38100</xdr:rowOff>
    </xdr:to>
    <xdr:cxnSp macro="">
      <xdr:nvCxnSpPr>
        <xdr:cNvPr id="26" name="Conector recto de flecha 25"/>
        <xdr:cNvCxnSpPr/>
      </xdr:nvCxnSpPr>
      <xdr:spPr>
        <a:xfrm flipH="1">
          <a:off x="19050000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2</xdr:colOff>
      <xdr:row>11</xdr:row>
      <xdr:rowOff>47625</xdr:rowOff>
    </xdr:to>
    <xdr:cxnSp macro="">
      <xdr:nvCxnSpPr>
        <xdr:cNvPr id="27" name="Conector recto de flecha 26"/>
        <xdr:cNvCxnSpPr/>
      </xdr:nvCxnSpPr>
      <xdr:spPr>
        <a:xfrm flipH="1" flipV="1">
          <a:off x="19050000" y="171450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142875</xdr:rowOff>
    </xdr:from>
    <xdr:to>
      <xdr:col>1</xdr:col>
      <xdr:colOff>9525</xdr:colOff>
      <xdr:row>11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762000" y="1095375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11</xdr:row>
      <xdr:rowOff>38100</xdr:rowOff>
    </xdr:from>
    <xdr:to>
      <xdr:col>7</xdr:col>
      <xdr:colOff>752475</xdr:colOff>
      <xdr:row>13</xdr:row>
      <xdr:rowOff>152400</xdr:rowOff>
    </xdr:to>
    <xdr:cxnSp macro="">
      <xdr:nvCxnSpPr>
        <xdr:cNvPr id="5" name="Conector recto de flecha 4"/>
        <xdr:cNvCxnSpPr/>
      </xdr:nvCxnSpPr>
      <xdr:spPr>
        <a:xfrm>
          <a:off x="6410325" y="156210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10</xdr:row>
      <xdr:rowOff>180975</xdr:rowOff>
    </xdr:from>
    <xdr:to>
      <xdr:col>4</xdr:col>
      <xdr:colOff>0</xdr:colOff>
      <xdr:row>13</xdr:row>
      <xdr:rowOff>104775</xdr:rowOff>
    </xdr:to>
    <xdr:cxnSp macro="">
      <xdr:nvCxnSpPr>
        <xdr:cNvPr id="6" name="Conector recto de flecha 5"/>
        <xdr:cNvCxnSpPr/>
      </xdr:nvCxnSpPr>
      <xdr:spPr>
        <a:xfrm>
          <a:off x="3209925" y="151447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866775</xdr:colOff>
      <xdr:row>11</xdr:row>
      <xdr:rowOff>0</xdr:rowOff>
    </xdr:from>
    <xdr:to>
      <xdr:col>2</xdr:col>
      <xdr:colOff>0</xdr:colOff>
      <xdr:row>13</xdr:row>
      <xdr:rowOff>114300</xdr:rowOff>
    </xdr:to>
    <xdr:cxnSp macro="">
      <xdr:nvCxnSpPr>
        <xdr:cNvPr id="7" name="Conector recto de flecha 6"/>
        <xdr:cNvCxnSpPr/>
      </xdr:nvCxnSpPr>
      <xdr:spPr>
        <a:xfrm>
          <a:off x="1628775" y="152400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11</xdr:row>
      <xdr:rowOff>9525</xdr:rowOff>
    </xdr:from>
    <xdr:to>
      <xdr:col>3</xdr:col>
      <xdr:colOff>0</xdr:colOff>
      <xdr:row>13</xdr:row>
      <xdr:rowOff>123825</xdr:rowOff>
    </xdr:to>
    <xdr:cxnSp macro="">
      <xdr:nvCxnSpPr>
        <xdr:cNvPr id="9" name="Conector recto de flecha 8"/>
        <xdr:cNvCxnSpPr/>
      </xdr:nvCxnSpPr>
      <xdr:spPr>
        <a:xfrm>
          <a:off x="2447925" y="153352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10</xdr:row>
      <xdr:rowOff>19050</xdr:rowOff>
    </xdr:from>
    <xdr:to>
      <xdr:col>5</xdr:col>
      <xdr:colOff>733425</xdr:colOff>
      <xdr:row>11</xdr:row>
      <xdr:rowOff>133350</xdr:rowOff>
    </xdr:to>
    <xdr:cxnSp macro="">
      <xdr:nvCxnSpPr>
        <xdr:cNvPr id="4" name="Conector recto 3"/>
        <xdr:cNvCxnSpPr/>
      </xdr:nvCxnSpPr>
      <xdr:spPr>
        <a:xfrm flipH="1">
          <a:off x="4314825" y="1352550"/>
          <a:ext cx="56197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28575</xdr:rowOff>
    </xdr:from>
    <xdr:to>
      <xdr:col>2</xdr:col>
      <xdr:colOff>1</xdr:colOff>
      <xdr:row>14</xdr:row>
      <xdr:rowOff>66675</xdr:rowOff>
    </xdr:to>
    <xdr:cxnSp macro="">
      <xdr:nvCxnSpPr>
        <xdr:cNvPr id="2" name="Conector recto de flecha 1"/>
        <xdr:cNvCxnSpPr/>
      </xdr:nvCxnSpPr>
      <xdr:spPr>
        <a:xfrm flipH="1">
          <a:off x="1524000" y="17430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171450</xdr:rowOff>
    </xdr:from>
    <xdr:to>
      <xdr:col>3</xdr:col>
      <xdr:colOff>9526</xdr:colOff>
      <xdr:row>14</xdr:row>
      <xdr:rowOff>19050</xdr:rowOff>
    </xdr:to>
    <xdr:cxnSp macro="">
      <xdr:nvCxnSpPr>
        <xdr:cNvPr id="3" name="Conector recto de flecha 2"/>
        <xdr:cNvCxnSpPr/>
      </xdr:nvCxnSpPr>
      <xdr:spPr>
        <a:xfrm flipH="1">
          <a:off x="22955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1</xdr:colOff>
      <xdr:row>14</xdr:row>
      <xdr:rowOff>47625</xdr:rowOff>
    </xdr:to>
    <xdr:cxnSp macro="">
      <xdr:nvCxnSpPr>
        <xdr:cNvPr id="4" name="Conector recto de flecha 3"/>
        <xdr:cNvCxnSpPr/>
      </xdr:nvCxnSpPr>
      <xdr:spPr>
        <a:xfrm flipH="1">
          <a:off x="31623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180975</xdr:rowOff>
    </xdr:from>
    <xdr:to>
      <xdr:col>6</xdr:col>
      <xdr:colOff>1</xdr:colOff>
      <xdr:row>14</xdr:row>
      <xdr:rowOff>28575</xdr:rowOff>
    </xdr:to>
    <xdr:cxnSp macro="">
      <xdr:nvCxnSpPr>
        <xdr:cNvPr id="5" name="Conector recto de flecha 4"/>
        <xdr:cNvCxnSpPr/>
      </xdr:nvCxnSpPr>
      <xdr:spPr>
        <a:xfrm flipH="1">
          <a:off x="4572000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9</xdr:row>
      <xdr:rowOff>104775</xdr:rowOff>
    </xdr:from>
    <xdr:to>
      <xdr:col>1</xdr:col>
      <xdr:colOff>9525</xdr:colOff>
      <xdr:row>11</xdr:row>
      <xdr:rowOff>152400</xdr:rowOff>
    </xdr:to>
    <xdr:cxnSp macro="">
      <xdr:nvCxnSpPr>
        <xdr:cNvPr id="6" name="Conector recto de flecha 5"/>
        <xdr:cNvCxnSpPr/>
      </xdr:nvCxnSpPr>
      <xdr:spPr>
        <a:xfrm flipV="1">
          <a:off x="762002" y="1247775"/>
          <a:ext cx="9523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19050</xdr:rowOff>
    </xdr:from>
    <xdr:to>
      <xdr:col>1</xdr:col>
      <xdr:colOff>9526</xdr:colOff>
      <xdr:row>14</xdr:row>
      <xdr:rowOff>57150</xdr:rowOff>
    </xdr:to>
    <xdr:cxnSp macro="">
      <xdr:nvCxnSpPr>
        <xdr:cNvPr id="8" name="Conector recto de flecha 7"/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19050</xdr:rowOff>
    </xdr:from>
    <xdr:to>
      <xdr:col>2</xdr:col>
      <xdr:colOff>9526</xdr:colOff>
      <xdr:row>14</xdr:row>
      <xdr:rowOff>57150</xdr:rowOff>
    </xdr:to>
    <xdr:cxnSp macro="">
      <xdr:nvCxnSpPr>
        <xdr:cNvPr id="9" name="Conector recto de flecha 8"/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</xdr:row>
      <xdr:rowOff>19050</xdr:rowOff>
    </xdr:from>
    <xdr:to>
      <xdr:col>3</xdr:col>
      <xdr:colOff>9526</xdr:colOff>
      <xdr:row>14</xdr:row>
      <xdr:rowOff>57150</xdr:rowOff>
    </xdr:to>
    <xdr:cxnSp macro="">
      <xdr:nvCxnSpPr>
        <xdr:cNvPr id="10" name="Conector recto de flecha 9"/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19050</xdr:rowOff>
    </xdr:from>
    <xdr:to>
      <xdr:col>4</xdr:col>
      <xdr:colOff>9526</xdr:colOff>
      <xdr:row>14</xdr:row>
      <xdr:rowOff>57150</xdr:rowOff>
    </xdr:to>
    <xdr:cxnSp macro="">
      <xdr:nvCxnSpPr>
        <xdr:cNvPr id="11" name="Conector recto de flecha 10"/>
        <xdr:cNvCxnSpPr/>
      </xdr:nvCxnSpPr>
      <xdr:spPr>
        <a:xfrm flipH="1">
          <a:off x="771525" y="17335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1</xdr:colOff>
      <xdr:row>14</xdr:row>
      <xdr:rowOff>38100</xdr:rowOff>
    </xdr:to>
    <xdr:cxnSp macro="">
      <xdr:nvCxnSpPr>
        <xdr:cNvPr id="12" name="Conector recto de flecha 10"/>
        <xdr:cNvCxnSpPr/>
      </xdr:nvCxnSpPr>
      <xdr:spPr>
        <a:xfrm flipH="1">
          <a:off x="3810000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</xdr:colOff>
      <xdr:row>14</xdr:row>
      <xdr:rowOff>38100</xdr:rowOff>
    </xdr:to>
    <xdr:cxnSp macro="">
      <xdr:nvCxnSpPr>
        <xdr:cNvPr id="13" name="Conector recto de flecha 10"/>
        <xdr:cNvCxnSpPr/>
      </xdr:nvCxnSpPr>
      <xdr:spPr>
        <a:xfrm flipH="1">
          <a:off x="5467350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</xdr:colOff>
      <xdr:row>14</xdr:row>
      <xdr:rowOff>38100</xdr:rowOff>
    </xdr:to>
    <xdr:cxnSp macro="">
      <xdr:nvCxnSpPr>
        <xdr:cNvPr id="15" name="Conector recto de flecha 10"/>
        <xdr:cNvCxnSpPr/>
      </xdr:nvCxnSpPr>
      <xdr:spPr>
        <a:xfrm flipH="1">
          <a:off x="6257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</xdr:colOff>
      <xdr:row>14</xdr:row>
      <xdr:rowOff>38100</xdr:rowOff>
    </xdr:to>
    <xdr:cxnSp macro="">
      <xdr:nvCxnSpPr>
        <xdr:cNvPr id="16" name="Conector recto de flecha 10"/>
        <xdr:cNvCxnSpPr/>
      </xdr:nvCxnSpPr>
      <xdr:spPr>
        <a:xfrm flipH="1">
          <a:off x="7019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</xdr:colOff>
      <xdr:row>14</xdr:row>
      <xdr:rowOff>38100</xdr:rowOff>
    </xdr:to>
    <xdr:cxnSp macro="">
      <xdr:nvCxnSpPr>
        <xdr:cNvPr id="17" name="Conector recto de flecha 10"/>
        <xdr:cNvCxnSpPr/>
      </xdr:nvCxnSpPr>
      <xdr:spPr>
        <a:xfrm flipH="1">
          <a:off x="7781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</xdr:colOff>
      <xdr:row>14</xdr:row>
      <xdr:rowOff>38100</xdr:rowOff>
    </xdr:to>
    <xdr:cxnSp macro="">
      <xdr:nvCxnSpPr>
        <xdr:cNvPr id="18" name="Conector recto de flecha 10"/>
        <xdr:cNvCxnSpPr/>
      </xdr:nvCxnSpPr>
      <xdr:spPr>
        <a:xfrm flipH="1">
          <a:off x="8543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1</xdr:colOff>
      <xdr:row>14</xdr:row>
      <xdr:rowOff>38100</xdr:rowOff>
    </xdr:to>
    <xdr:cxnSp macro="">
      <xdr:nvCxnSpPr>
        <xdr:cNvPr id="19" name="Conector recto de flecha 10"/>
        <xdr:cNvCxnSpPr/>
      </xdr:nvCxnSpPr>
      <xdr:spPr>
        <a:xfrm flipH="1">
          <a:off x="9305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1</xdr:colOff>
      <xdr:row>14</xdr:row>
      <xdr:rowOff>38100</xdr:rowOff>
    </xdr:to>
    <xdr:cxnSp macro="">
      <xdr:nvCxnSpPr>
        <xdr:cNvPr id="20" name="Conector recto de flecha 10"/>
        <xdr:cNvCxnSpPr/>
      </xdr:nvCxnSpPr>
      <xdr:spPr>
        <a:xfrm flipH="1">
          <a:off x="10067925" y="22860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19050</xdr:rowOff>
    </xdr:from>
    <xdr:to>
      <xdr:col>4</xdr:col>
      <xdr:colOff>9526</xdr:colOff>
      <xdr:row>14</xdr:row>
      <xdr:rowOff>57150</xdr:rowOff>
    </xdr:to>
    <xdr:cxnSp macro="">
      <xdr:nvCxnSpPr>
        <xdr:cNvPr id="21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19050</xdr:rowOff>
    </xdr:from>
    <xdr:to>
      <xdr:col>6</xdr:col>
      <xdr:colOff>9526</xdr:colOff>
      <xdr:row>14</xdr:row>
      <xdr:rowOff>57150</xdr:rowOff>
    </xdr:to>
    <xdr:cxnSp macro="">
      <xdr:nvCxnSpPr>
        <xdr:cNvPr id="22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9526</xdr:colOff>
      <xdr:row>14</xdr:row>
      <xdr:rowOff>57150</xdr:rowOff>
    </xdr:to>
    <xdr:cxnSp macro="">
      <xdr:nvCxnSpPr>
        <xdr:cNvPr id="23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</xdr:row>
      <xdr:rowOff>19050</xdr:rowOff>
    </xdr:from>
    <xdr:to>
      <xdr:col>8</xdr:col>
      <xdr:colOff>9526</xdr:colOff>
      <xdr:row>14</xdr:row>
      <xdr:rowOff>57150</xdr:rowOff>
    </xdr:to>
    <xdr:cxnSp macro="">
      <xdr:nvCxnSpPr>
        <xdr:cNvPr id="24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19050</xdr:rowOff>
    </xdr:from>
    <xdr:to>
      <xdr:col>9</xdr:col>
      <xdr:colOff>9526</xdr:colOff>
      <xdr:row>14</xdr:row>
      <xdr:rowOff>57150</xdr:rowOff>
    </xdr:to>
    <xdr:cxnSp macro="">
      <xdr:nvCxnSpPr>
        <xdr:cNvPr id="26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12</xdr:row>
      <xdr:rowOff>19050</xdr:rowOff>
    </xdr:from>
    <xdr:to>
      <xdr:col>10</xdr:col>
      <xdr:colOff>9526</xdr:colOff>
      <xdr:row>14</xdr:row>
      <xdr:rowOff>57150</xdr:rowOff>
    </xdr:to>
    <xdr:cxnSp macro="">
      <xdr:nvCxnSpPr>
        <xdr:cNvPr id="27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12</xdr:row>
      <xdr:rowOff>19050</xdr:rowOff>
    </xdr:from>
    <xdr:to>
      <xdr:col>11</xdr:col>
      <xdr:colOff>9526</xdr:colOff>
      <xdr:row>14</xdr:row>
      <xdr:rowOff>57150</xdr:rowOff>
    </xdr:to>
    <xdr:cxnSp macro="">
      <xdr:nvCxnSpPr>
        <xdr:cNvPr id="28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12</xdr:row>
      <xdr:rowOff>19050</xdr:rowOff>
    </xdr:from>
    <xdr:to>
      <xdr:col>12</xdr:col>
      <xdr:colOff>9526</xdr:colOff>
      <xdr:row>14</xdr:row>
      <xdr:rowOff>57150</xdr:rowOff>
    </xdr:to>
    <xdr:cxnSp macro="">
      <xdr:nvCxnSpPr>
        <xdr:cNvPr id="29" name="Conector recto de flecha 9"/>
        <xdr:cNvCxnSpPr/>
      </xdr:nvCxnSpPr>
      <xdr:spPr>
        <a:xfrm flipH="1">
          <a:off x="2295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A35" sqref="A35"/>
    </sheetView>
  </sheetViews>
  <sheetFormatPr baseColWidth="10" defaultRowHeight="15" x14ac:dyDescent="0.25"/>
  <cols>
    <col min="1" max="1" width="16.42578125" customWidth="1"/>
    <col min="2" max="2" width="12.7109375" customWidth="1"/>
    <col min="3" max="3" width="13" customWidth="1"/>
    <col min="4" max="4" width="13.140625" bestFit="1" customWidth="1"/>
    <col min="5" max="5" width="13" customWidth="1"/>
    <col min="6" max="6" width="13.5703125" customWidth="1"/>
    <col min="7" max="7" width="13.7109375" bestFit="1" customWidth="1"/>
    <col min="8" max="8" width="13.28515625" customWidth="1"/>
    <col min="9" max="9" width="13.7109375" bestFit="1" customWidth="1"/>
    <col min="10" max="10" width="15.42578125" bestFit="1" customWidth="1"/>
    <col min="11" max="11" width="13.28515625" customWidth="1"/>
    <col min="12" max="12" width="13" bestFit="1" customWidth="1"/>
    <col min="13" max="13" width="14.28515625" bestFit="1" customWidth="1"/>
    <col min="14" max="14" width="13.28515625" bestFit="1" customWidth="1"/>
    <col min="15" max="15" width="15.5703125" bestFit="1" customWidth="1"/>
    <col min="17" max="17" width="14.7109375" bestFit="1" customWidth="1"/>
  </cols>
  <sheetData>
    <row r="1" spans="1:14" x14ac:dyDescent="0.25">
      <c r="I1" t="s">
        <v>13</v>
      </c>
      <c r="J1" s="28">
        <v>20000000</v>
      </c>
    </row>
    <row r="2" spans="1:14" x14ac:dyDescent="0.25">
      <c r="A2" t="s">
        <v>3</v>
      </c>
      <c r="I2" t="s">
        <v>56</v>
      </c>
      <c r="J2" s="28">
        <v>18000000</v>
      </c>
    </row>
    <row r="3" spans="1:14" x14ac:dyDescent="0.25">
      <c r="A3" t="s">
        <v>4</v>
      </c>
      <c r="I3" t="s">
        <v>14</v>
      </c>
      <c r="J3" s="28">
        <f>J1*0.1</f>
        <v>2000000</v>
      </c>
    </row>
    <row r="4" spans="1:14" x14ac:dyDescent="0.25">
      <c r="A4" t="s">
        <v>5</v>
      </c>
      <c r="I4" t="s">
        <v>6</v>
      </c>
      <c r="J4" t="s">
        <v>9</v>
      </c>
    </row>
    <row r="5" spans="1:14" x14ac:dyDescent="0.25">
      <c r="I5" t="s">
        <v>8</v>
      </c>
      <c r="J5">
        <f>2/100</f>
        <v>0.02</v>
      </c>
      <c r="K5" t="s">
        <v>10</v>
      </c>
    </row>
    <row r="6" spans="1:14" x14ac:dyDescent="0.25">
      <c r="I6" t="s">
        <v>12</v>
      </c>
      <c r="J6">
        <v>12</v>
      </c>
    </row>
    <row r="7" spans="1:14" x14ac:dyDescent="0.25">
      <c r="I7" t="s">
        <v>11</v>
      </c>
      <c r="J7">
        <f>(1+J5)^J6</f>
        <v>1.2682417945625453</v>
      </c>
    </row>
    <row r="8" spans="1:14" x14ac:dyDescent="0.25">
      <c r="A8" t="s">
        <v>73</v>
      </c>
    </row>
    <row r="9" spans="1:14" x14ac:dyDescent="0.25">
      <c r="A9" t="s">
        <v>7</v>
      </c>
    </row>
    <row r="10" spans="1:14" x14ac:dyDescent="0.25">
      <c r="A10" s="40"/>
    </row>
    <row r="11" spans="1:14" x14ac:dyDescent="0.25">
      <c r="A11" s="65">
        <f>J1</f>
        <v>20000000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 x14ac:dyDescent="0.25">
      <c r="A12" s="3"/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N12" t="s">
        <v>2</v>
      </c>
    </row>
    <row r="13" spans="1:14" x14ac:dyDescent="0.25">
      <c r="A13" s="3">
        <v>0</v>
      </c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4" x14ac:dyDescent="0.25">
      <c r="B14" s="9" t="s">
        <v>6</v>
      </c>
      <c r="C14" s="9" t="s">
        <v>6</v>
      </c>
      <c r="D14" s="9" t="s">
        <v>6</v>
      </c>
      <c r="E14" s="9" t="s">
        <v>6</v>
      </c>
      <c r="F14" s="9" t="s">
        <v>6</v>
      </c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9" t="s">
        <v>6</v>
      </c>
      <c r="M14" s="9" t="s">
        <v>6</v>
      </c>
    </row>
    <row r="15" spans="1:14" x14ac:dyDescent="0.25">
      <c r="A15" s="64">
        <v>2000000</v>
      </c>
    </row>
    <row r="16" spans="1:14" x14ac:dyDescent="0.25">
      <c r="A16" s="9"/>
    </row>
    <row r="17" spans="1:17" x14ac:dyDescent="0.25">
      <c r="A17" s="54"/>
      <c r="B17" s="68" t="s">
        <v>72</v>
      </c>
    </row>
    <row r="18" spans="1:17" x14ac:dyDescent="0.25">
      <c r="A18" s="9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  <c r="I18" t="s">
        <v>67</v>
      </c>
      <c r="J18" t="s">
        <v>68</v>
      </c>
      <c r="K18" t="s">
        <v>69</v>
      </c>
      <c r="L18" t="s">
        <v>70</v>
      </c>
      <c r="M18" t="s">
        <v>71</v>
      </c>
    </row>
    <row r="19" spans="1:17" x14ac:dyDescent="0.25">
      <c r="A19" s="9"/>
      <c r="B19" s="69">
        <f>1/(1+J5)</f>
        <v>0.98039215686274506</v>
      </c>
    </row>
    <row r="20" spans="1:17" x14ac:dyDescent="0.25">
      <c r="A20" s="63">
        <f>J2</f>
        <v>18000000</v>
      </c>
      <c r="B20" s="9" t="s">
        <v>74</v>
      </c>
      <c r="C20">
        <f>($B$19^B12)+($B$19^C12)+($B$19^D12)+($B$19^E12)+($B$19^F12)+($B$19^G12)+($B$19^H12)+($B$19^I12)+($B$19^J12)+($B$19^K12)+($B$19^L12)+($B$19^M12)</f>
        <v>10.57534122091718</v>
      </c>
      <c r="D20" t="s">
        <v>75</v>
      </c>
    </row>
    <row r="21" spans="1:17" x14ac:dyDescent="0.25">
      <c r="A21" s="66"/>
      <c r="B21" s="9" t="s">
        <v>76</v>
      </c>
      <c r="C21" s="67">
        <f>A20/C20</f>
        <v>1702072.7392131272</v>
      </c>
    </row>
    <row r="22" spans="1:17" x14ac:dyDescent="0.25">
      <c r="M22" s="28">
        <f>J1</f>
        <v>20000000</v>
      </c>
    </row>
    <row r="23" spans="1:17" x14ac:dyDescent="0.25">
      <c r="B23" s="54" t="s">
        <v>52</v>
      </c>
      <c r="I23" s="54" t="s">
        <v>15</v>
      </c>
      <c r="J23" t="s">
        <v>16</v>
      </c>
    </row>
    <row r="24" spans="1:17" x14ac:dyDescent="0.25">
      <c r="B24" t="s">
        <v>6</v>
      </c>
      <c r="C24" t="s">
        <v>1</v>
      </c>
      <c r="D24" s="4"/>
      <c r="E24" s="4"/>
      <c r="F24" s="4"/>
      <c r="G24" s="4"/>
      <c r="H24" s="4"/>
      <c r="I24" t="s">
        <v>6</v>
      </c>
      <c r="J24" s="29">
        <f>PMT(J5,J6,J2,0)</f>
        <v>-1702072.7392131267</v>
      </c>
      <c r="N24" s="28"/>
      <c r="Q24" s="40"/>
    </row>
    <row r="25" spans="1:17" x14ac:dyDescent="0.25">
      <c r="D25" s="4"/>
      <c r="E25" s="4"/>
      <c r="F25" s="4"/>
      <c r="G25" s="4"/>
      <c r="H25" s="4"/>
      <c r="N25" s="57"/>
      <c r="O25" s="55"/>
      <c r="P25" s="55"/>
      <c r="Q25" s="56"/>
    </row>
    <row r="26" spans="1:17" x14ac:dyDescent="0.25">
      <c r="O26" s="55"/>
      <c r="P26" s="55"/>
      <c r="Q26" s="56"/>
    </row>
    <row r="27" spans="1:17" x14ac:dyDescent="0.25">
      <c r="B27" t="s">
        <v>6</v>
      </c>
      <c r="C27" t="s">
        <v>1</v>
      </c>
      <c r="D27" s="30">
        <f>J2*(J5*J7)/(J7-1)</f>
        <v>1702072.7392131269</v>
      </c>
      <c r="O27" s="55"/>
      <c r="P27" s="55"/>
      <c r="Q27" s="56"/>
    </row>
    <row r="28" spans="1:17" x14ac:dyDescent="0.25">
      <c r="O28" s="55"/>
      <c r="P28" s="55"/>
      <c r="Q28" s="56"/>
    </row>
    <row r="29" spans="1:17" x14ac:dyDescent="0.25">
      <c r="O29" s="55"/>
      <c r="P29" s="55"/>
      <c r="Q29" s="56"/>
    </row>
    <row r="30" spans="1:17" x14ac:dyDescent="0.25">
      <c r="O30" s="55"/>
      <c r="P30" s="55"/>
      <c r="Q30" s="56"/>
    </row>
    <row r="31" spans="1:17" x14ac:dyDescent="0.25">
      <c r="O31" s="55"/>
      <c r="P31" s="55"/>
      <c r="Q31" s="56"/>
    </row>
    <row r="32" spans="1:17" x14ac:dyDescent="0.25">
      <c r="A32" s="10"/>
      <c r="B32" s="4"/>
      <c r="C32" s="4"/>
      <c r="D32" s="4"/>
      <c r="E32" s="4"/>
      <c r="F32" s="4"/>
      <c r="G32" s="4"/>
      <c r="H32" s="4"/>
      <c r="O32" s="55"/>
      <c r="P32" s="55"/>
      <c r="Q32" s="56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O33" s="55"/>
      <c r="P33" s="55"/>
      <c r="Q33" s="56"/>
    </row>
    <row r="34" spans="1:17" x14ac:dyDescent="0.25">
      <c r="A34" s="4"/>
      <c r="B34" s="26" t="s">
        <v>31</v>
      </c>
      <c r="C34" s="4"/>
      <c r="D34" s="4"/>
      <c r="E34" s="4"/>
      <c r="F34" s="4"/>
      <c r="G34" s="4"/>
      <c r="H34" s="4"/>
      <c r="I34" s="4"/>
      <c r="J34" s="4"/>
      <c r="K34" s="4"/>
      <c r="L34" s="4"/>
      <c r="O34" s="55"/>
      <c r="P34" s="55"/>
      <c r="Q34" s="56"/>
    </row>
    <row r="35" spans="1:17" x14ac:dyDescent="0.25">
      <c r="B35" s="26" t="s">
        <v>45</v>
      </c>
      <c r="C35" s="4"/>
      <c r="D35" s="4"/>
      <c r="E35" s="4"/>
      <c r="F35" s="10"/>
      <c r="G35" s="4"/>
      <c r="H35" s="4"/>
      <c r="I35" s="4"/>
      <c r="J35" s="4"/>
      <c r="K35" s="4"/>
      <c r="L35" s="10"/>
      <c r="O35" s="55"/>
      <c r="P35" s="55"/>
      <c r="Q35" s="56"/>
    </row>
    <row r="36" spans="1:17" x14ac:dyDescent="0.25">
      <c r="A36" s="9"/>
      <c r="B36" t="s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  <c r="O36" s="55"/>
      <c r="P36" s="55"/>
      <c r="Q36" s="56"/>
    </row>
    <row r="37" spans="1:1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x14ac:dyDescent="0.25">
      <c r="B38" s="4"/>
      <c r="C38" s="4"/>
      <c r="D38" s="14"/>
      <c r="E38" s="4"/>
      <c r="F38" s="14"/>
      <c r="G38" s="4"/>
      <c r="H38" s="4"/>
      <c r="I38" s="4"/>
    </row>
    <row r="39" spans="1:17" x14ac:dyDescent="0.25">
      <c r="B39" s="4"/>
      <c r="C39" s="4"/>
      <c r="D39" s="4"/>
      <c r="E39" s="4"/>
      <c r="F39" s="4"/>
      <c r="G39" s="4"/>
      <c r="H39" s="4"/>
      <c r="I39" s="53">
        <v>13500000</v>
      </c>
    </row>
    <row r="40" spans="1:17" x14ac:dyDescent="0.25">
      <c r="A40" s="48" t="s">
        <v>37</v>
      </c>
      <c r="B40" s="4"/>
      <c r="C40" s="4"/>
      <c r="D40" s="4"/>
      <c r="E40" s="4"/>
      <c r="F40" s="4"/>
      <c r="G40" s="4"/>
      <c r="H40" s="4"/>
      <c r="I40" s="4"/>
    </row>
    <row r="41" spans="1:17" x14ac:dyDescent="0.25">
      <c r="A41" s="3"/>
      <c r="B41" s="7">
        <v>1</v>
      </c>
      <c r="C41" s="7">
        <v>2</v>
      </c>
      <c r="D41" s="7">
        <v>3</v>
      </c>
      <c r="E41" s="7">
        <v>4</v>
      </c>
      <c r="F41" s="7">
        <v>5</v>
      </c>
      <c r="G41" s="7">
        <v>6</v>
      </c>
      <c r="H41" s="5"/>
      <c r="I41" s="32">
        <v>36</v>
      </c>
      <c r="J41" s="4" t="s">
        <v>2</v>
      </c>
    </row>
    <row r="42" spans="1:17" x14ac:dyDescent="0.25">
      <c r="A42" s="3">
        <v>0</v>
      </c>
      <c r="B42" s="8"/>
      <c r="C42" s="6"/>
      <c r="D42" s="6"/>
      <c r="E42" s="6"/>
      <c r="F42" s="6"/>
      <c r="G42" s="6"/>
      <c r="H42" s="6"/>
      <c r="I42" s="4"/>
    </row>
    <row r="43" spans="1:17" x14ac:dyDescent="0.25">
      <c r="B43" s="42">
        <v>250000</v>
      </c>
      <c r="C43" s="42">
        <v>250000</v>
      </c>
      <c r="D43" s="42">
        <v>250000</v>
      </c>
      <c r="E43" s="42">
        <v>250000</v>
      </c>
      <c r="F43" s="42">
        <v>250000</v>
      </c>
      <c r="G43" s="42">
        <v>250000</v>
      </c>
      <c r="H43" s="9"/>
      <c r="I43" s="4"/>
    </row>
    <row r="44" spans="1:17" x14ac:dyDescent="0.25">
      <c r="A44" s="9"/>
      <c r="I44" s="4"/>
    </row>
    <row r="45" spans="1:17" x14ac:dyDescent="0.25">
      <c r="B45" s="4"/>
      <c r="C45" s="4"/>
      <c r="D45" s="4"/>
      <c r="E45" s="4"/>
      <c r="F45" s="4"/>
      <c r="G45" s="4"/>
      <c r="H45" s="10"/>
      <c r="I45" s="4"/>
    </row>
    <row r="46" spans="1:17" x14ac:dyDescent="0.25">
      <c r="B46" s="32"/>
      <c r="C46" s="32"/>
      <c r="D46" s="32"/>
      <c r="E46" s="32"/>
      <c r="F46" s="32"/>
      <c r="G46" s="4"/>
      <c r="H46" s="4"/>
      <c r="I46" s="4"/>
      <c r="J46" s="62" t="s">
        <v>50</v>
      </c>
      <c r="K46" s="4" t="s">
        <v>57</v>
      </c>
      <c r="L46" s="4"/>
      <c r="M46" s="58">
        <v>0.02</v>
      </c>
      <c r="N46" s="4"/>
      <c r="O46" s="4"/>
      <c r="P46" s="4"/>
    </row>
    <row r="47" spans="1:17" x14ac:dyDescent="0.25">
      <c r="B47" s="19"/>
      <c r="C47" s="32"/>
      <c r="D47" s="32"/>
      <c r="E47" s="19"/>
      <c r="F47" s="32"/>
      <c r="G47" s="4"/>
      <c r="H47" s="4"/>
      <c r="I47" s="4"/>
      <c r="K47" s="4"/>
      <c r="L47" s="4"/>
      <c r="M47" s="4"/>
      <c r="N47" s="4"/>
      <c r="O47" s="4"/>
      <c r="P47" s="4"/>
    </row>
    <row r="48" spans="1:17" ht="30" x14ac:dyDescent="0.25">
      <c r="B48" s="19"/>
      <c r="C48" s="32"/>
      <c r="D48" s="32"/>
      <c r="E48" s="32"/>
      <c r="F48" s="32"/>
      <c r="G48" s="4"/>
      <c r="H48" s="4"/>
      <c r="I48" s="4"/>
      <c r="K48" s="4" t="s">
        <v>46</v>
      </c>
      <c r="L48" s="4" t="s">
        <v>47</v>
      </c>
      <c r="M48" s="4" t="s">
        <v>48</v>
      </c>
      <c r="N48" s="59" t="s">
        <v>58</v>
      </c>
      <c r="O48" s="32" t="s">
        <v>49</v>
      </c>
    </row>
    <row r="49" spans="2:15" x14ac:dyDescent="0.25">
      <c r="B49" s="19"/>
      <c r="C49" s="32"/>
      <c r="D49" s="70"/>
      <c r="E49" s="32"/>
      <c r="F49" s="32"/>
      <c r="G49" s="4"/>
      <c r="H49" s="4"/>
      <c r="I49" s="4"/>
      <c r="K49" s="4">
        <v>0</v>
      </c>
      <c r="L49" s="60"/>
      <c r="M49" s="60"/>
      <c r="N49" s="60"/>
      <c r="O49" s="60">
        <v>250000</v>
      </c>
    </row>
    <row r="50" spans="2:15" x14ac:dyDescent="0.25">
      <c r="B50" s="32"/>
      <c r="C50" s="32"/>
      <c r="D50" s="71"/>
      <c r="E50" s="32"/>
      <c r="F50" s="32"/>
      <c r="G50" s="4"/>
      <c r="H50" s="4"/>
      <c r="I50" s="4"/>
      <c r="K50" s="4">
        <v>1</v>
      </c>
      <c r="L50" s="60">
        <v>250000</v>
      </c>
      <c r="M50" s="60"/>
      <c r="N50" s="60"/>
      <c r="O50" s="60">
        <f t="shared" ref="O50:O85" si="0">O49+N50</f>
        <v>250000</v>
      </c>
    </row>
    <row r="51" spans="2:15" x14ac:dyDescent="0.25">
      <c r="B51" s="4"/>
      <c r="C51" s="4"/>
      <c r="D51" s="4"/>
      <c r="E51" s="4"/>
      <c r="F51" s="4"/>
      <c r="G51" s="4"/>
      <c r="H51" s="4"/>
      <c r="I51" s="4"/>
      <c r="K51" s="4">
        <v>2</v>
      </c>
      <c r="L51" s="60">
        <v>250000</v>
      </c>
      <c r="M51" s="60">
        <f t="shared" ref="M51:M85" si="1">O49*M$46</f>
        <v>5000</v>
      </c>
      <c r="N51" s="60">
        <f>L51+M51</f>
        <v>255000</v>
      </c>
      <c r="O51" s="60">
        <f t="shared" si="0"/>
        <v>505000</v>
      </c>
    </row>
    <row r="52" spans="2:15" x14ac:dyDescent="0.25">
      <c r="H52" s="4"/>
      <c r="I52" s="4"/>
      <c r="K52" s="4">
        <v>3</v>
      </c>
      <c r="L52" s="60">
        <v>250000</v>
      </c>
      <c r="M52" s="60">
        <f t="shared" si="1"/>
        <v>5000</v>
      </c>
      <c r="N52" s="60">
        <f t="shared" ref="N52:N85" si="2">L52+M52</f>
        <v>255000</v>
      </c>
      <c r="O52" s="60">
        <f t="shared" si="0"/>
        <v>760000</v>
      </c>
    </row>
    <row r="53" spans="2:15" x14ac:dyDescent="0.25">
      <c r="H53" s="4"/>
      <c r="I53" s="4"/>
      <c r="K53" s="4">
        <v>4</v>
      </c>
      <c r="L53" s="60">
        <v>250000</v>
      </c>
      <c r="M53" s="60">
        <f t="shared" si="1"/>
        <v>10100</v>
      </c>
      <c r="N53" s="60">
        <f t="shared" si="2"/>
        <v>260100</v>
      </c>
      <c r="O53" s="60">
        <f t="shared" si="0"/>
        <v>1020100</v>
      </c>
    </row>
    <row r="54" spans="2:15" x14ac:dyDescent="0.25">
      <c r="H54" s="4"/>
      <c r="I54" s="4"/>
      <c r="K54" s="4">
        <v>5</v>
      </c>
      <c r="L54" s="60">
        <v>250000</v>
      </c>
      <c r="M54" s="60">
        <f t="shared" si="1"/>
        <v>15200</v>
      </c>
      <c r="N54" s="60">
        <f t="shared" si="2"/>
        <v>265200</v>
      </c>
      <c r="O54" s="60">
        <f t="shared" si="0"/>
        <v>1285300</v>
      </c>
    </row>
    <row r="55" spans="2:15" x14ac:dyDescent="0.25">
      <c r="H55" s="4"/>
      <c r="I55" s="4"/>
      <c r="K55" s="4">
        <v>6</v>
      </c>
      <c r="L55" s="60">
        <v>250000</v>
      </c>
      <c r="M55" s="60">
        <f t="shared" si="1"/>
        <v>20402</v>
      </c>
      <c r="N55" s="60">
        <f t="shared" si="2"/>
        <v>270402</v>
      </c>
      <c r="O55" s="60">
        <f t="shared" si="0"/>
        <v>1555702</v>
      </c>
    </row>
    <row r="56" spans="2:15" x14ac:dyDescent="0.25">
      <c r="H56" s="4"/>
      <c r="I56" s="4"/>
      <c r="K56" s="4">
        <v>7</v>
      </c>
      <c r="L56" s="60">
        <v>250000</v>
      </c>
      <c r="M56" s="60">
        <f t="shared" si="1"/>
        <v>25706</v>
      </c>
      <c r="N56" s="60">
        <f t="shared" si="2"/>
        <v>275706</v>
      </c>
      <c r="O56" s="60">
        <f t="shared" si="0"/>
        <v>1831408</v>
      </c>
    </row>
    <row r="57" spans="2:15" x14ac:dyDescent="0.25">
      <c r="K57" s="4">
        <v>8</v>
      </c>
      <c r="L57" s="60">
        <v>250000</v>
      </c>
      <c r="M57" s="60">
        <f t="shared" si="1"/>
        <v>31114.04</v>
      </c>
      <c r="N57" s="60">
        <f t="shared" si="2"/>
        <v>281114.03999999998</v>
      </c>
      <c r="O57" s="60">
        <f t="shared" si="0"/>
        <v>2112522.04</v>
      </c>
    </row>
    <row r="58" spans="2:15" x14ac:dyDescent="0.25">
      <c r="K58" s="4">
        <v>9</v>
      </c>
      <c r="L58" s="60">
        <v>250000</v>
      </c>
      <c r="M58" s="60">
        <f t="shared" si="1"/>
        <v>36628.160000000003</v>
      </c>
      <c r="N58" s="60">
        <f t="shared" si="2"/>
        <v>286628.16000000003</v>
      </c>
      <c r="O58" s="60">
        <f t="shared" si="0"/>
        <v>2399150.2000000002</v>
      </c>
    </row>
    <row r="59" spans="2:15" x14ac:dyDescent="0.25">
      <c r="K59" s="4">
        <v>10</v>
      </c>
      <c r="L59" s="60">
        <v>250000</v>
      </c>
      <c r="M59" s="60">
        <f t="shared" si="1"/>
        <v>42250.440800000004</v>
      </c>
      <c r="N59" s="60">
        <f t="shared" si="2"/>
        <v>292250.44079999998</v>
      </c>
      <c r="O59" s="60">
        <f t="shared" si="0"/>
        <v>2691400.6408000002</v>
      </c>
    </row>
    <row r="60" spans="2:15" x14ac:dyDescent="0.25">
      <c r="K60" s="4">
        <v>11</v>
      </c>
      <c r="L60" s="60">
        <v>250000</v>
      </c>
      <c r="M60" s="60">
        <f t="shared" si="1"/>
        <v>47983.004000000008</v>
      </c>
      <c r="N60" s="60">
        <f t="shared" si="2"/>
        <v>297983.00400000002</v>
      </c>
      <c r="O60" s="60">
        <f t="shared" si="0"/>
        <v>2989383.6448000004</v>
      </c>
    </row>
    <row r="61" spans="2:15" x14ac:dyDescent="0.25">
      <c r="K61" s="4">
        <v>12</v>
      </c>
      <c r="L61" s="60">
        <v>250000</v>
      </c>
      <c r="M61" s="60">
        <f t="shared" si="1"/>
        <v>53828.012816000002</v>
      </c>
      <c r="N61" s="60">
        <f t="shared" si="2"/>
        <v>303828.01281600003</v>
      </c>
      <c r="O61" s="60">
        <f t="shared" si="0"/>
        <v>3293211.6576160006</v>
      </c>
    </row>
    <row r="62" spans="2:15" x14ac:dyDescent="0.25">
      <c r="K62" s="4">
        <v>13</v>
      </c>
      <c r="L62" s="60">
        <v>250000</v>
      </c>
      <c r="M62" s="60">
        <f t="shared" si="1"/>
        <v>59787.672896000011</v>
      </c>
      <c r="N62" s="60">
        <f t="shared" si="2"/>
        <v>309787.67289600003</v>
      </c>
      <c r="O62" s="60">
        <f t="shared" si="0"/>
        <v>3602999.3305120007</v>
      </c>
    </row>
    <row r="63" spans="2:15" x14ac:dyDescent="0.25">
      <c r="K63" s="4">
        <v>14</v>
      </c>
      <c r="L63" s="60">
        <v>250000</v>
      </c>
      <c r="M63" s="60">
        <f t="shared" si="1"/>
        <v>65864.233152320012</v>
      </c>
      <c r="N63" s="60">
        <f t="shared" si="2"/>
        <v>315864.23315232003</v>
      </c>
      <c r="O63" s="60">
        <f t="shared" si="0"/>
        <v>3918863.5636643209</v>
      </c>
    </row>
    <row r="64" spans="2:15" x14ac:dyDescent="0.25">
      <c r="K64" s="4">
        <v>15</v>
      </c>
      <c r="L64" s="60">
        <v>250000</v>
      </c>
      <c r="M64" s="60">
        <f t="shared" si="1"/>
        <v>72059.986610240012</v>
      </c>
      <c r="N64" s="60">
        <f t="shared" si="2"/>
        <v>322059.98661024001</v>
      </c>
      <c r="O64" s="60">
        <f t="shared" si="0"/>
        <v>4240923.5502745612</v>
      </c>
    </row>
    <row r="65" spans="11:15" x14ac:dyDescent="0.25">
      <c r="K65" s="4">
        <v>16</v>
      </c>
      <c r="L65" s="60">
        <v>250000</v>
      </c>
      <c r="M65" s="60">
        <f t="shared" si="1"/>
        <v>78377.271273286417</v>
      </c>
      <c r="N65" s="60">
        <f t="shared" si="2"/>
        <v>328377.27127328643</v>
      </c>
      <c r="O65" s="60">
        <f t="shared" si="0"/>
        <v>4569300.8215478472</v>
      </c>
    </row>
    <row r="66" spans="11:15" x14ac:dyDescent="0.25">
      <c r="K66" s="4">
        <v>17</v>
      </c>
      <c r="L66" s="60">
        <v>250000</v>
      </c>
      <c r="M66" s="60">
        <f t="shared" si="1"/>
        <v>84818.471005491228</v>
      </c>
      <c r="N66" s="60">
        <f t="shared" si="2"/>
        <v>334818.47100549121</v>
      </c>
      <c r="O66" s="60">
        <f t="shared" si="0"/>
        <v>4904119.2925533382</v>
      </c>
    </row>
    <row r="67" spans="11:15" x14ac:dyDescent="0.25">
      <c r="K67" s="4">
        <v>18</v>
      </c>
      <c r="L67" s="60">
        <v>250000</v>
      </c>
      <c r="M67" s="60">
        <f t="shared" si="1"/>
        <v>91386.016430956952</v>
      </c>
      <c r="N67" s="60">
        <f t="shared" si="2"/>
        <v>341386.01643095695</v>
      </c>
      <c r="O67" s="60">
        <f t="shared" si="0"/>
        <v>5245505.3089842955</v>
      </c>
    </row>
    <row r="68" spans="11:15" x14ac:dyDescent="0.25">
      <c r="K68" s="4">
        <v>19</v>
      </c>
      <c r="L68" s="60">
        <v>250000</v>
      </c>
      <c r="M68" s="60">
        <f t="shared" si="1"/>
        <v>98082.385851066763</v>
      </c>
      <c r="N68" s="60">
        <f t="shared" si="2"/>
        <v>348082.38585106679</v>
      </c>
      <c r="O68" s="60">
        <f t="shared" si="0"/>
        <v>5593587.694835362</v>
      </c>
    </row>
    <row r="69" spans="11:15" x14ac:dyDescent="0.25">
      <c r="K69" s="4">
        <v>20</v>
      </c>
      <c r="L69" s="60">
        <v>250000</v>
      </c>
      <c r="M69" s="60">
        <f t="shared" si="1"/>
        <v>104910.10617968591</v>
      </c>
      <c r="N69" s="60">
        <f t="shared" si="2"/>
        <v>354910.10617968591</v>
      </c>
      <c r="O69" s="60">
        <f t="shared" si="0"/>
        <v>5948497.8010150483</v>
      </c>
    </row>
    <row r="70" spans="11:15" x14ac:dyDescent="0.25">
      <c r="K70" s="4">
        <v>21</v>
      </c>
      <c r="L70" s="60">
        <v>250000</v>
      </c>
      <c r="M70" s="60">
        <f t="shared" si="1"/>
        <v>111871.75389670725</v>
      </c>
      <c r="N70" s="60">
        <f t="shared" si="2"/>
        <v>361871.75389670726</v>
      </c>
      <c r="O70" s="60">
        <f t="shared" si="0"/>
        <v>6310369.554911756</v>
      </c>
    </row>
    <row r="71" spans="11:15" x14ac:dyDescent="0.25">
      <c r="K71" s="4">
        <v>22</v>
      </c>
      <c r="L71" s="60">
        <v>250000</v>
      </c>
      <c r="M71" s="60">
        <f t="shared" si="1"/>
        <v>118969.95602030098</v>
      </c>
      <c r="N71" s="60">
        <f t="shared" si="2"/>
        <v>368969.95602030098</v>
      </c>
      <c r="O71" s="60">
        <f t="shared" si="0"/>
        <v>6679339.5109320572</v>
      </c>
    </row>
    <row r="72" spans="11:15" x14ac:dyDescent="0.25">
      <c r="K72" s="4">
        <v>23</v>
      </c>
      <c r="L72" s="60">
        <v>250000</v>
      </c>
      <c r="M72" s="60">
        <f t="shared" si="1"/>
        <v>126207.39109823512</v>
      </c>
      <c r="N72" s="60">
        <f t="shared" si="2"/>
        <v>376207.39109823515</v>
      </c>
      <c r="O72" s="60">
        <f t="shared" si="0"/>
        <v>7055546.902030292</v>
      </c>
    </row>
    <row r="73" spans="11:15" x14ac:dyDescent="0.25">
      <c r="K73" s="4">
        <v>24</v>
      </c>
      <c r="L73" s="60">
        <v>250000</v>
      </c>
      <c r="M73" s="60">
        <f t="shared" si="1"/>
        <v>133586.79021864114</v>
      </c>
      <c r="N73" s="60">
        <f t="shared" si="2"/>
        <v>383586.79021864117</v>
      </c>
      <c r="O73" s="60">
        <f t="shared" si="0"/>
        <v>7439133.692248933</v>
      </c>
    </row>
    <row r="74" spans="11:15" x14ac:dyDescent="0.25">
      <c r="K74" s="4">
        <v>25</v>
      </c>
      <c r="L74" s="60">
        <v>250000</v>
      </c>
      <c r="M74" s="60">
        <f t="shared" si="1"/>
        <v>141110.93804060583</v>
      </c>
      <c r="N74" s="60">
        <f t="shared" si="2"/>
        <v>391110.93804060586</v>
      </c>
      <c r="O74" s="60">
        <f t="shared" si="0"/>
        <v>7830244.6302895388</v>
      </c>
    </row>
    <row r="75" spans="11:15" x14ac:dyDescent="0.25">
      <c r="K75" s="4">
        <v>26</v>
      </c>
      <c r="L75" s="60">
        <v>250000</v>
      </c>
      <c r="M75" s="60">
        <f t="shared" si="1"/>
        <v>148782.67384497865</v>
      </c>
      <c r="N75" s="60">
        <f t="shared" si="2"/>
        <v>398782.67384497868</v>
      </c>
      <c r="O75" s="60">
        <f t="shared" si="0"/>
        <v>8229027.3041345179</v>
      </c>
    </row>
    <row r="76" spans="11:15" x14ac:dyDescent="0.25">
      <c r="K76" s="4">
        <v>27</v>
      </c>
      <c r="L76" s="60">
        <v>250000</v>
      </c>
      <c r="M76" s="60">
        <f t="shared" si="1"/>
        <v>156604.89260579078</v>
      </c>
      <c r="N76" s="60">
        <f t="shared" si="2"/>
        <v>406604.89260579075</v>
      </c>
      <c r="O76" s="60">
        <f t="shared" si="0"/>
        <v>8635632.1967403088</v>
      </c>
    </row>
    <row r="77" spans="11:15" x14ac:dyDescent="0.25">
      <c r="K77" s="4">
        <v>28</v>
      </c>
      <c r="L77" s="60">
        <v>250000</v>
      </c>
      <c r="M77" s="60">
        <f t="shared" si="1"/>
        <v>164580.54608269036</v>
      </c>
      <c r="N77" s="60">
        <f t="shared" si="2"/>
        <v>414580.54608269036</v>
      </c>
      <c r="O77" s="60">
        <f t="shared" si="0"/>
        <v>9050212.7428229991</v>
      </c>
    </row>
    <row r="78" spans="11:15" x14ac:dyDescent="0.25">
      <c r="K78" s="4">
        <v>29</v>
      </c>
      <c r="L78" s="60">
        <v>250000</v>
      </c>
      <c r="M78" s="60">
        <f t="shared" si="1"/>
        <v>172712.64393480617</v>
      </c>
      <c r="N78" s="60">
        <f t="shared" si="2"/>
        <v>422712.64393480617</v>
      </c>
      <c r="O78" s="60">
        <f t="shared" si="0"/>
        <v>9472925.3867578059</v>
      </c>
    </row>
    <row r="79" spans="11:15" x14ac:dyDescent="0.25">
      <c r="K79" s="4">
        <v>30</v>
      </c>
      <c r="L79" s="60">
        <v>250000</v>
      </c>
      <c r="M79" s="60">
        <f t="shared" si="1"/>
        <v>181004.25485646</v>
      </c>
      <c r="N79" s="60">
        <f t="shared" si="2"/>
        <v>431004.25485646003</v>
      </c>
      <c r="O79" s="60">
        <f t="shared" si="0"/>
        <v>9903929.6416142657</v>
      </c>
    </row>
    <row r="80" spans="11:15" x14ac:dyDescent="0.25">
      <c r="K80" s="4">
        <v>31</v>
      </c>
      <c r="L80" s="60">
        <v>250000</v>
      </c>
      <c r="M80" s="60">
        <f t="shared" si="1"/>
        <v>189458.50773515613</v>
      </c>
      <c r="N80" s="60">
        <f t="shared" si="2"/>
        <v>439458.5077351561</v>
      </c>
      <c r="O80" s="60">
        <f t="shared" si="0"/>
        <v>10343388.149349421</v>
      </c>
    </row>
    <row r="81" spans="11:15" x14ac:dyDescent="0.25">
      <c r="K81" s="4">
        <v>32</v>
      </c>
      <c r="L81" s="60">
        <v>250000</v>
      </c>
      <c r="M81" s="60">
        <f t="shared" si="1"/>
        <v>198078.59283228533</v>
      </c>
      <c r="N81" s="60">
        <f t="shared" si="2"/>
        <v>448078.59283228533</v>
      </c>
      <c r="O81" s="60">
        <f t="shared" si="0"/>
        <v>10791466.742181707</v>
      </c>
    </row>
    <row r="82" spans="11:15" x14ac:dyDescent="0.25">
      <c r="K82" s="4">
        <v>33</v>
      </c>
      <c r="L82" s="60">
        <v>250000</v>
      </c>
      <c r="M82" s="60">
        <f t="shared" si="1"/>
        <v>206867.76298698844</v>
      </c>
      <c r="N82" s="60">
        <f t="shared" si="2"/>
        <v>456867.76298698841</v>
      </c>
      <c r="O82" s="60">
        <f t="shared" si="0"/>
        <v>11248334.505168695</v>
      </c>
    </row>
    <row r="83" spans="11:15" x14ac:dyDescent="0.25">
      <c r="K83" s="4">
        <v>34</v>
      </c>
      <c r="L83" s="60">
        <v>250000</v>
      </c>
      <c r="M83" s="60">
        <f t="shared" si="1"/>
        <v>215829.33484363416</v>
      </c>
      <c r="N83" s="60">
        <f t="shared" si="2"/>
        <v>465829.33484363416</v>
      </c>
      <c r="O83" s="60">
        <f t="shared" si="0"/>
        <v>11714163.840012329</v>
      </c>
    </row>
    <row r="84" spans="11:15" x14ac:dyDescent="0.25">
      <c r="K84" s="4">
        <v>35</v>
      </c>
      <c r="L84" s="60">
        <v>250000</v>
      </c>
      <c r="M84" s="60">
        <f t="shared" si="1"/>
        <v>224966.6901033739</v>
      </c>
      <c r="N84" s="60">
        <f t="shared" si="2"/>
        <v>474966.6901033739</v>
      </c>
      <c r="O84" s="60">
        <f t="shared" si="0"/>
        <v>12189130.530115703</v>
      </c>
    </row>
    <row r="85" spans="11:15" x14ac:dyDescent="0.25">
      <c r="K85" s="4">
        <v>36</v>
      </c>
      <c r="L85" s="60">
        <v>250000</v>
      </c>
      <c r="M85" s="60">
        <f t="shared" si="1"/>
        <v>234283.27680024659</v>
      </c>
      <c r="N85" s="60">
        <f t="shared" si="2"/>
        <v>484283.27680024656</v>
      </c>
      <c r="O85" s="61">
        <f t="shared" si="0"/>
        <v>12673413.80691595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7"/>
  <sheetViews>
    <sheetView zoomScale="85" zoomScaleNormal="85" workbookViewId="0">
      <selection activeCell="H20" sqref="H20"/>
    </sheetView>
  </sheetViews>
  <sheetFormatPr baseColWidth="10" defaultRowHeight="15" x14ac:dyDescent="0.25"/>
  <cols>
    <col min="1" max="1" width="15.5703125" bestFit="1" customWidth="1"/>
    <col min="2" max="3" width="10.7109375" customWidth="1"/>
    <col min="4" max="4" width="14.5703125" bestFit="1" customWidth="1"/>
    <col min="5" max="7" width="10.7109375" customWidth="1"/>
    <col min="8" max="8" width="13.85546875" bestFit="1" customWidth="1"/>
    <col min="9" max="9" width="10.42578125" bestFit="1" customWidth="1"/>
    <col min="10" max="13" width="10.7109375" customWidth="1"/>
    <col min="14" max="14" width="10.140625" bestFit="1" customWidth="1"/>
    <col min="15" max="15" width="10.42578125" bestFit="1" customWidth="1"/>
    <col min="16" max="16" width="12.7109375" bestFit="1" customWidth="1"/>
  </cols>
  <sheetData>
    <row r="2" spans="1:19" x14ac:dyDescent="0.25">
      <c r="B2" s="13" t="s">
        <v>24</v>
      </c>
      <c r="C2" s="12"/>
      <c r="D2" s="12"/>
      <c r="E2" s="12"/>
      <c r="F2" s="12"/>
      <c r="G2" s="12"/>
      <c r="H2" s="12"/>
      <c r="I2" s="91" t="s">
        <v>6</v>
      </c>
      <c r="J2" s="89">
        <v>120000</v>
      </c>
    </row>
    <row r="3" spans="1:19" x14ac:dyDescent="0.25">
      <c r="B3" s="13" t="s">
        <v>17</v>
      </c>
      <c r="C3" s="12"/>
      <c r="D3" s="12"/>
      <c r="E3" s="12"/>
      <c r="F3" s="12"/>
      <c r="G3" s="12"/>
      <c r="H3" s="12"/>
      <c r="I3" s="91" t="s">
        <v>8</v>
      </c>
      <c r="J3" s="90">
        <f>3/100</f>
        <v>0.03</v>
      </c>
      <c r="K3" s="90" t="s">
        <v>10</v>
      </c>
    </row>
    <row r="4" spans="1:19" x14ac:dyDescent="0.25">
      <c r="B4" s="13" t="s">
        <v>25</v>
      </c>
      <c r="C4" s="12"/>
      <c r="D4" s="12"/>
      <c r="E4" s="12"/>
      <c r="F4" s="12"/>
      <c r="G4" s="12"/>
      <c r="H4" s="12"/>
      <c r="I4" s="91" t="s">
        <v>12</v>
      </c>
      <c r="J4" s="90">
        <v>12</v>
      </c>
      <c r="K4" s="90" t="s">
        <v>2</v>
      </c>
    </row>
    <row r="5" spans="1:19" x14ac:dyDescent="0.25">
      <c r="B5" s="13"/>
      <c r="C5" s="12"/>
      <c r="D5" s="12"/>
      <c r="E5" s="12"/>
      <c r="F5" s="12"/>
      <c r="G5" s="12"/>
      <c r="H5" s="12"/>
      <c r="I5" s="12"/>
    </row>
    <row r="6" spans="1:19" x14ac:dyDescent="0.25">
      <c r="A6" s="36" t="s">
        <v>18</v>
      </c>
      <c r="B6" s="13" t="s">
        <v>20</v>
      </c>
      <c r="I6" s="82" t="s">
        <v>23</v>
      </c>
      <c r="J6" s="92" t="s">
        <v>9</v>
      </c>
    </row>
    <row r="7" spans="1:19" x14ac:dyDescent="0.25">
      <c r="A7" s="36" t="s">
        <v>19</v>
      </c>
      <c r="B7" s="38" t="s">
        <v>21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x14ac:dyDescent="0.25">
      <c r="A8" s="37"/>
      <c r="B8" s="32"/>
      <c r="C8" s="34"/>
      <c r="D8" s="34"/>
      <c r="F8" s="34"/>
      <c r="H8" s="32"/>
      <c r="I8" s="32"/>
      <c r="J8" s="32"/>
      <c r="K8" s="32"/>
      <c r="L8" s="32"/>
      <c r="M8" s="50" t="s">
        <v>22</v>
      </c>
      <c r="N8" s="32"/>
      <c r="O8" s="32"/>
      <c r="P8" s="32"/>
      <c r="Q8" s="32"/>
      <c r="R8" s="32"/>
      <c r="S8" s="32"/>
    </row>
    <row r="9" spans="1:19" x14ac:dyDescent="0.25">
      <c r="A9" s="32"/>
      <c r="B9" s="35"/>
      <c r="C9" s="35"/>
      <c r="D9" s="31"/>
      <c r="E9" s="31"/>
      <c r="F9" s="31"/>
      <c r="G9" s="32"/>
      <c r="H9" s="35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x14ac:dyDescent="0.25">
      <c r="A10" s="32">
        <v>0</v>
      </c>
      <c r="B10" s="39">
        <v>1</v>
      </c>
      <c r="C10" s="39">
        <v>2</v>
      </c>
      <c r="D10" s="39">
        <v>3</v>
      </c>
      <c r="E10" s="39">
        <v>4</v>
      </c>
      <c r="F10" s="39">
        <v>5</v>
      </c>
      <c r="G10" s="39">
        <v>6</v>
      </c>
      <c r="H10" s="39">
        <v>7</v>
      </c>
      <c r="I10" s="39">
        <v>8</v>
      </c>
      <c r="J10" s="39">
        <v>9</v>
      </c>
      <c r="K10" s="39">
        <v>10</v>
      </c>
      <c r="L10" s="39">
        <v>11</v>
      </c>
      <c r="M10" s="39">
        <v>12</v>
      </c>
      <c r="N10" s="32"/>
      <c r="O10" s="32"/>
      <c r="P10" s="32"/>
      <c r="Q10" s="32"/>
      <c r="R10" s="32"/>
      <c r="S10" s="32"/>
    </row>
    <row r="11" spans="1:1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 x14ac:dyDescent="0.25">
      <c r="A12" s="33"/>
      <c r="B12" s="32"/>
      <c r="C12" s="32"/>
      <c r="D12" s="31"/>
      <c r="E12" s="31"/>
      <c r="F12" s="31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x14ac:dyDescent="0.25">
      <c r="A13" s="32"/>
      <c r="B13" s="49">
        <v>120000</v>
      </c>
      <c r="C13" s="49">
        <v>120000</v>
      </c>
      <c r="D13" s="49">
        <v>120000</v>
      </c>
      <c r="E13" s="49">
        <v>120000</v>
      </c>
      <c r="F13" s="49">
        <v>120000</v>
      </c>
      <c r="G13" s="49">
        <v>120000</v>
      </c>
      <c r="H13" s="49">
        <v>120000</v>
      </c>
      <c r="I13" s="49">
        <v>120000</v>
      </c>
      <c r="J13" s="49">
        <v>120000</v>
      </c>
      <c r="K13" s="49">
        <v>120000</v>
      </c>
      <c r="L13" s="49">
        <v>120000</v>
      </c>
      <c r="M13" s="49">
        <v>120000</v>
      </c>
      <c r="N13" s="32"/>
      <c r="O13" s="32"/>
      <c r="P13" s="32"/>
      <c r="Q13" s="32"/>
      <c r="R13" s="32"/>
      <c r="S13" s="32"/>
    </row>
    <row r="14" spans="1:19" x14ac:dyDescent="0.25">
      <c r="A14" s="32"/>
      <c r="B14" s="41"/>
      <c r="C14" s="41"/>
      <c r="E14" s="32"/>
      <c r="F14" s="32"/>
      <c r="G14" s="4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 x14ac:dyDescent="0.25">
      <c r="A15" s="32"/>
      <c r="B15" s="83">
        <f t="shared" ref="B15:M15" si="0">$J$2/(1+$J$3)^(B10-$M$10)</f>
        <v>166108.06448693346</v>
      </c>
      <c r="C15" s="83">
        <f t="shared" si="0"/>
        <v>161269.96552129462</v>
      </c>
      <c r="D15" s="83">
        <f t="shared" si="0"/>
        <v>156572.78205950934</v>
      </c>
      <c r="E15" s="83">
        <f t="shared" si="0"/>
        <v>152012.40976651391</v>
      </c>
      <c r="F15" s="83">
        <f t="shared" si="0"/>
        <v>147584.8638509844</v>
      </c>
      <c r="G15" s="83">
        <f t="shared" si="0"/>
        <v>143286.27558347999</v>
      </c>
      <c r="H15" s="83">
        <f t="shared" si="0"/>
        <v>139112.88891599997</v>
      </c>
      <c r="I15" s="83">
        <f t="shared" si="0"/>
        <v>135061.05719999998</v>
      </c>
      <c r="J15" s="83">
        <f t="shared" si="0"/>
        <v>131127.24</v>
      </c>
      <c r="K15" s="83">
        <f t="shared" si="0"/>
        <v>127308</v>
      </c>
      <c r="L15" s="83">
        <f t="shared" si="0"/>
        <v>123600</v>
      </c>
      <c r="M15" s="83">
        <f t="shared" si="0"/>
        <v>120000</v>
      </c>
      <c r="N15" s="32"/>
      <c r="O15" s="32"/>
      <c r="P15" s="32"/>
      <c r="Q15" s="32"/>
      <c r="R15" s="32"/>
      <c r="S15" s="32"/>
    </row>
    <row r="16" spans="1:19" x14ac:dyDescent="0.25">
      <c r="A16" s="62" t="s">
        <v>83</v>
      </c>
      <c r="B16" s="32"/>
      <c r="C16" s="32"/>
      <c r="D16" s="84">
        <f>SUM(B15:M15)</f>
        <v>1703043.5473847156</v>
      </c>
      <c r="P16" s="32"/>
      <c r="Q16" s="32"/>
      <c r="R16" s="32"/>
      <c r="S16" s="32"/>
    </row>
    <row r="17" spans="1:19" x14ac:dyDescent="0.25">
      <c r="A17" s="32"/>
      <c r="B17" s="32"/>
      <c r="C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x14ac:dyDescent="0.25">
      <c r="A18" s="62" t="s">
        <v>52</v>
      </c>
      <c r="B18" s="32" t="s">
        <v>23</v>
      </c>
      <c r="C18" s="32" t="s">
        <v>1</v>
      </c>
      <c r="D18" s="32"/>
      <c r="E18" s="32"/>
      <c r="F18" s="32"/>
      <c r="G18" s="32"/>
      <c r="H18" s="106" t="s">
        <v>15</v>
      </c>
      <c r="J18" s="34"/>
      <c r="K18" s="32"/>
      <c r="L18" s="120" t="s">
        <v>54</v>
      </c>
      <c r="M18" s="120"/>
      <c r="N18" s="120"/>
      <c r="O18" s="120"/>
      <c r="P18" s="120"/>
      <c r="Q18" s="32"/>
      <c r="R18" s="32"/>
      <c r="S18" s="32"/>
    </row>
    <row r="19" spans="1:19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82" t="s">
        <v>46</v>
      </c>
      <c r="M19" s="82" t="s">
        <v>84</v>
      </c>
      <c r="N19" s="82" t="s">
        <v>85</v>
      </c>
      <c r="O19" s="82" t="s">
        <v>86</v>
      </c>
      <c r="P19" s="82" t="s">
        <v>87</v>
      </c>
      <c r="Q19" s="32"/>
      <c r="R19" s="32"/>
      <c r="S19" s="32"/>
    </row>
    <row r="20" spans="1:19" x14ac:dyDescent="0.25">
      <c r="A20" s="32"/>
      <c r="B20" s="32"/>
      <c r="C20" s="32"/>
      <c r="D20" s="86">
        <f>J2*((((1+J3)^J4)-1)/J3)</f>
        <v>1703043.5473847145</v>
      </c>
      <c r="E20" s="32"/>
      <c r="F20" s="32"/>
      <c r="G20" s="32"/>
      <c r="H20" s="85">
        <f>FV(J3,J4,J2,0)</f>
        <v>-1703043.5473847145</v>
      </c>
      <c r="I20" s="32"/>
      <c r="J20" s="32"/>
      <c r="K20" s="32"/>
      <c r="L20" s="80">
        <v>0</v>
      </c>
      <c r="M20" s="80"/>
      <c r="N20" s="80"/>
      <c r="O20" s="80"/>
      <c r="P20" s="80">
        <v>0</v>
      </c>
      <c r="Q20" s="34"/>
      <c r="R20" s="32"/>
      <c r="S20" s="32"/>
    </row>
    <row r="21" spans="1:19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80">
        <v>1</v>
      </c>
      <c r="M21" s="81">
        <v>120000</v>
      </c>
      <c r="N21" s="81">
        <f>P20*$J$3</f>
        <v>0</v>
      </c>
      <c r="O21" s="81">
        <f>M21+N21</f>
        <v>120000</v>
      </c>
      <c r="P21" s="81">
        <f>P20+O21</f>
        <v>120000</v>
      </c>
      <c r="Q21" s="32"/>
      <c r="R21" s="32"/>
      <c r="S21" s="32"/>
    </row>
    <row r="22" spans="1:1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80">
        <v>2</v>
      </c>
      <c r="M22" s="81">
        <v>120000</v>
      </c>
      <c r="N22" s="81">
        <f t="shared" ref="N22:N32" si="1">P21*$J$3</f>
        <v>3600</v>
      </c>
      <c r="O22" s="81">
        <f t="shared" ref="O22:O32" si="2">M22+N22</f>
        <v>123600</v>
      </c>
      <c r="P22" s="81">
        <f t="shared" ref="P22:P32" si="3">P21+O22</f>
        <v>243600</v>
      </c>
      <c r="Q22" s="32"/>
      <c r="R22" s="32"/>
      <c r="S22" s="32"/>
    </row>
    <row r="23" spans="1:1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80">
        <v>3</v>
      </c>
      <c r="M23" s="81">
        <v>120000</v>
      </c>
      <c r="N23" s="81">
        <f t="shared" si="1"/>
        <v>7308</v>
      </c>
      <c r="O23" s="81">
        <f t="shared" si="2"/>
        <v>127308</v>
      </c>
      <c r="P23" s="81">
        <f t="shared" si="3"/>
        <v>370908</v>
      </c>
      <c r="Q23" s="32"/>
      <c r="R23" s="32"/>
      <c r="S23" s="32"/>
    </row>
    <row r="24" spans="1:1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80">
        <v>4</v>
      </c>
      <c r="M24" s="81">
        <v>120000</v>
      </c>
      <c r="N24" s="81">
        <f t="shared" si="1"/>
        <v>11127.24</v>
      </c>
      <c r="O24" s="81">
        <f t="shared" si="2"/>
        <v>131127.24</v>
      </c>
      <c r="P24" s="81">
        <f t="shared" si="3"/>
        <v>502035.24</v>
      </c>
      <c r="Q24" s="32"/>
      <c r="R24" s="32"/>
      <c r="S24" s="32"/>
    </row>
    <row r="25" spans="1:1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80">
        <v>5</v>
      </c>
      <c r="M25" s="81">
        <v>120000</v>
      </c>
      <c r="N25" s="81">
        <f t="shared" si="1"/>
        <v>15061.057199999999</v>
      </c>
      <c r="O25" s="81">
        <f t="shared" si="2"/>
        <v>135061.05720000001</v>
      </c>
      <c r="P25" s="81">
        <f t="shared" si="3"/>
        <v>637096.29720000003</v>
      </c>
      <c r="Q25" s="32"/>
      <c r="R25" s="32"/>
      <c r="S25" s="32"/>
    </row>
    <row r="26" spans="1:19" x14ac:dyDescent="0.25">
      <c r="A26" s="117" t="s">
        <v>93</v>
      </c>
      <c r="B26" s="118" t="s">
        <v>94</v>
      </c>
      <c r="C26" s="32"/>
      <c r="D26" s="32"/>
      <c r="E26" s="32"/>
      <c r="F26" s="32"/>
      <c r="G26" s="32"/>
      <c r="H26" s="32"/>
      <c r="I26" s="32"/>
      <c r="J26" s="32"/>
      <c r="K26" s="32"/>
      <c r="L26" s="80">
        <v>6</v>
      </c>
      <c r="M26" s="81">
        <v>120000</v>
      </c>
      <c r="N26" s="81">
        <f t="shared" si="1"/>
        <v>19112.888916</v>
      </c>
      <c r="O26" s="81">
        <f t="shared" si="2"/>
        <v>139112.888916</v>
      </c>
      <c r="P26" s="81">
        <f t="shared" si="3"/>
        <v>776209.18611600006</v>
      </c>
      <c r="Q26" s="32"/>
      <c r="R26" s="32"/>
      <c r="S26" s="32"/>
    </row>
    <row r="27" spans="1:1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80">
        <v>7</v>
      </c>
      <c r="M27" s="81">
        <v>120000</v>
      </c>
      <c r="N27" s="81">
        <f t="shared" si="1"/>
        <v>23286.275583480001</v>
      </c>
      <c r="O27" s="81">
        <f t="shared" si="2"/>
        <v>143286.27558347999</v>
      </c>
      <c r="P27" s="81">
        <f t="shared" si="3"/>
        <v>919495.46169948007</v>
      </c>
      <c r="Q27" s="32"/>
      <c r="R27" s="32"/>
      <c r="S27" s="32"/>
    </row>
    <row r="28" spans="1:1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80">
        <v>8</v>
      </c>
      <c r="M28" s="81">
        <v>120000</v>
      </c>
      <c r="N28" s="81">
        <f t="shared" si="1"/>
        <v>27584.863850984402</v>
      </c>
      <c r="O28" s="81">
        <f t="shared" si="2"/>
        <v>147584.8638509844</v>
      </c>
      <c r="P28" s="81">
        <f t="shared" si="3"/>
        <v>1067080.3255504644</v>
      </c>
      <c r="Q28" s="32"/>
      <c r="R28" s="32"/>
      <c r="S28" s="32"/>
    </row>
    <row r="29" spans="1:1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80">
        <v>9</v>
      </c>
      <c r="M29" s="81">
        <v>120000</v>
      </c>
      <c r="N29" s="81">
        <f t="shared" si="1"/>
        <v>32012.409766513931</v>
      </c>
      <c r="O29" s="81">
        <f t="shared" si="2"/>
        <v>152012.40976651394</v>
      </c>
      <c r="P29" s="81">
        <f t="shared" si="3"/>
        <v>1219092.7353169783</v>
      </c>
      <c r="Q29" s="32"/>
      <c r="R29" s="32"/>
      <c r="S29" s="32"/>
    </row>
    <row r="30" spans="1:1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80">
        <v>10</v>
      </c>
      <c r="M30" s="81">
        <v>120000</v>
      </c>
      <c r="N30" s="81">
        <f t="shared" si="1"/>
        <v>36572.782059509351</v>
      </c>
      <c r="O30" s="81">
        <f t="shared" si="2"/>
        <v>156572.78205950937</v>
      </c>
      <c r="P30" s="81">
        <f t="shared" si="3"/>
        <v>1375665.5173764876</v>
      </c>
      <c r="Q30" s="32"/>
      <c r="R30" s="32"/>
      <c r="S30" s="32"/>
    </row>
    <row r="31" spans="1:1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80">
        <v>11</v>
      </c>
      <c r="M31" s="81">
        <v>120000</v>
      </c>
      <c r="N31" s="81">
        <f t="shared" si="1"/>
        <v>41269.965521294624</v>
      </c>
      <c r="O31" s="81">
        <f t="shared" si="2"/>
        <v>161269.96552129462</v>
      </c>
      <c r="P31" s="81">
        <f t="shared" si="3"/>
        <v>1536935.4828977822</v>
      </c>
      <c r="Q31" s="32"/>
      <c r="R31" s="32"/>
      <c r="S31" s="32"/>
    </row>
    <row r="32" spans="1:1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80">
        <v>12</v>
      </c>
      <c r="M32" s="81">
        <v>120000</v>
      </c>
      <c r="N32" s="81">
        <f t="shared" si="1"/>
        <v>46108.064486933465</v>
      </c>
      <c r="O32" s="81">
        <f t="shared" si="2"/>
        <v>166108.06448693346</v>
      </c>
      <c r="P32" s="88">
        <f t="shared" si="3"/>
        <v>1703043.5473847156</v>
      </c>
      <c r="Q32" s="32"/>
      <c r="R32" s="32"/>
      <c r="S32" s="32"/>
    </row>
    <row r="33" spans="1:1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79"/>
      <c r="P33" s="78"/>
      <c r="Q33" s="32"/>
      <c r="R33" s="32"/>
      <c r="S33" s="32"/>
    </row>
    <row r="34" spans="1:1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pans="1:1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1:1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1:1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1:19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1:19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1:1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1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</row>
    <row r="45" spans="1:1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</row>
    <row r="46" spans="1:1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1:1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</row>
    <row r="48" spans="1:1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1:1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1:1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1:1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1:1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1:1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1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1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1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1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1:1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1:1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</row>
    <row r="66" spans="1:19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</row>
    <row r="67" spans="1:19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</row>
    <row r="68" spans="1:19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</row>
    <row r="69" spans="1:19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</row>
    <row r="70" spans="1:19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</row>
    <row r="71" spans="1:19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</row>
    <row r="72" spans="1:19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</row>
    <row r="73" spans="1:19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</row>
    <row r="74" spans="1:19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</row>
    <row r="75" spans="1:19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</row>
    <row r="76" spans="1:19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</row>
    <row r="77" spans="1:19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</row>
    <row r="78" spans="1:19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spans="1:19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</row>
    <row r="80" spans="1:19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spans="1:19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spans="1:19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spans="1:19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spans="1:19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1:19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spans="1:19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1:19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1:19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spans="1:19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spans="1:19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1:19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spans="1:19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spans="1:19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spans="1:19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spans="1:19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1:19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spans="1:19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spans="1:19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spans="1:19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spans="1:19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1:19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spans="1:19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spans="1:19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spans="1:19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spans="1:19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spans="1:19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1:19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spans="1:19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spans="1:19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spans="1:19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  <row r="111" spans="1:19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</row>
    <row r="112" spans="1:19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</row>
    <row r="113" spans="1:19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spans="1:19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</row>
    <row r="115" spans="1:19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</row>
    <row r="116" spans="1:19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</row>
    <row r="117" spans="1:19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  <row r="118" spans="1:19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spans="1:19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</row>
    <row r="120" spans="1:19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</row>
    <row r="121" spans="1:19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spans="1:19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</row>
    <row r="123" spans="1:19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</row>
    <row r="124" spans="1:19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</row>
    <row r="125" spans="1:19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</row>
    <row r="126" spans="1:19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spans="1:19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</row>
  </sheetData>
  <mergeCells count="1">
    <mergeCell ref="L18:P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5"/>
  <sheetViews>
    <sheetView zoomScale="85" zoomScaleNormal="85" workbookViewId="0">
      <selection activeCell="J19" sqref="J19"/>
    </sheetView>
  </sheetViews>
  <sheetFormatPr baseColWidth="10" defaultRowHeight="15" x14ac:dyDescent="0.25"/>
  <cols>
    <col min="2" max="2" width="14.28515625" customWidth="1"/>
    <col min="3" max="3" width="11.85546875" bestFit="1" customWidth="1"/>
    <col min="6" max="6" width="10.42578125" bestFit="1" customWidth="1"/>
    <col min="9" max="9" width="12" bestFit="1" customWidth="1"/>
    <col min="13" max="15" width="12" bestFit="1" customWidth="1"/>
    <col min="16" max="16" width="14" bestFit="1" customWidth="1"/>
  </cols>
  <sheetData>
    <row r="2" spans="1:25" x14ac:dyDescent="0.25">
      <c r="B2" s="26" t="s">
        <v>26</v>
      </c>
      <c r="H2" s="82" t="s">
        <v>88</v>
      </c>
      <c r="I2" s="93">
        <v>8500000</v>
      </c>
    </row>
    <row r="3" spans="1:25" x14ac:dyDescent="0.25">
      <c r="B3" s="26" t="s">
        <v>28</v>
      </c>
      <c r="H3" s="82" t="s">
        <v>12</v>
      </c>
      <c r="I3" s="90">
        <v>24</v>
      </c>
      <c r="J3" s="90" t="s">
        <v>2</v>
      </c>
    </row>
    <row r="4" spans="1:25" x14ac:dyDescent="0.25">
      <c r="B4" s="26" t="s">
        <v>27</v>
      </c>
      <c r="H4" s="82" t="s">
        <v>8</v>
      </c>
      <c r="I4" s="94">
        <v>2.5000000000000001E-2</v>
      </c>
      <c r="J4" s="90" t="s">
        <v>10</v>
      </c>
    </row>
    <row r="5" spans="1:25" x14ac:dyDescent="0.25">
      <c r="B5" s="26"/>
      <c r="H5" s="82" t="s">
        <v>6</v>
      </c>
      <c r="I5" s="90" t="s">
        <v>9</v>
      </c>
    </row>
    <row r="6" spans="1:25" x14ac:dyDescent="0.25">
      <c r="A6" s="36" t="s">
        <v>18</v>
      </c>
      <c r="B6" s="13" t="s">
        <v>20</v>
      </c>
    </row>
    <row r="7" spans="1:25" x14ac:dyDescent="0.25">
      <c r="A7" s="36" t="s">
        <v>19</v>
      </c>
      <c r="B7" s="38" t="s">
        <v>51</v>
      </c>
    </row>
    <row r="9" spans="1:25" x14ac:dyDescent="0.25">
      <c r="A9" s="37"/>
      <c r="B9" s="32"/>
      <c r="C9" s="34"/>
      <c r="D9" s="34"/>
      <c r="F9" s="34"/>
      <c r="G9" s="52"/>
      <c r="H9" s="32"/>
      <c r="Y9" s="95" t="s">
        <v>89</v>
      </c>
    </row>
    <row r="10" spans="1:25" x14ac:dyDescent="0.25">
      <c r="A10" s="32"/>
      <c r="B10" s="35"/>
      <c r="C10" s="35"/>
      <c r="D10" s="31"/>
      <c r="E10" s="31"/>
      <c r="F10" s="31"/>
      <c r="G10" s="32"/>
      <c r="H10" s="35"/>
    </row>
    <row r="11" spans="1:25" x14ac:dyDescent="0.25">
      <c r="A11" s="32">
        <v>0</v>
      </c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39">
        <v>6</v>
      </c>
      <c r="H11" s="39">
        <v>7</v>
      </c>
      <c r="I11" s="39">
        <v>8</v>
      </c>
      <c r="J11" s="39">
        <v>9</v>
      </c>
      <c r="K11" s="39">
        <v>10</v>
      </c>
      <c r="L11" s="39">
        <v>11</v>
      </c>
      <c r="M11" s="39">
        <v>12</v>
      </c>
      <c r="N11" s="39">
        <v>13</v>
      </c>
      <c r="O11" s="39">
        <v>14</v>
      </c>
      <c r="P11" s="39">
        <v>15</v>
      </c>
      <c r="Q11" s="39">
        <v>16</v>
      </c>
      <c r="R11" s="39">
        <v>17</v>
      </c>
      <c r="S11" s="39">
        <v>18</v>
      </c>
      <c r="T11" s="39">
        <v>19</v>
      </c>
      <c r="U11" s="39">
        <v>20</v>
      </c>
      <c r="V11" s="39">
        <v>21</v>
      </c>
      <c r="W11" s="39">
        <v>22</v>
      </c>
      <c r="X11" s="39">
        <v>23</v>
      </c>
      <c r="Y11" s="39">
        <v>24</v>
      </c>
    </row>
    <row r="12" spans="1:25" x14ac:dyDescent="0.25">
      <c r="A12" s="32"/>
      <c r="B12" s="32"/>
      <c r="C12" s="32"/>
      <c r="D12" s="32"/>
      <c r="E12" s="32"/>
      <c r="F12" s="32"/>
      <c r="G12" s="32"/>
      <c r="H12" s="32"/>
    </row>
    <row r="13" spans="1:25" x14ac:dyDescent="0.25">
      <c r="A13" s="33"/>
      <c r="B13" s="32"/>
      <c r="C13" s="32"/>
      <c r="D13" s="31"/>
      <c r="E13" s="31"/>
      <c r="F13" s="31"/>
      <c r="G13" s="35"/>
      <c r="H13" s="32"/>
    </row>
    <row r="14" spans="1:25" x14ac:dyDescent="0.25">
      <c r="A14" s="32"/>
      <c r="B14" s="51" t="s">
        <v>6</v>
      </c>
      <c r="C14" s="51" t="s">
        <v>6</v>
      </c>
      <c r="D14" s="51" t="s">
        <v>6</v>
      </c>
      <c r="E14" s="51" t="s">
        <v>6</v>
      </c>
      <c r="F14" s="51" t="s">
        <v>6</v>
      </c>
      <c r="G14" s="51" t="s">
        <v>6</v>
      </c>
      <c r="H14" s="51" t="s">
        <v>6</v>
      </c>
      <c r="I14" s="51" t="s">
        <v>6</v>
      </c>
      <c r="J14" s="51" t="s">
        <v>6</v>
      </c>
      <c r="K14" s="51" t="s">
        <v>6</v>
      </c>
      <c r="L14" s="51" t="s">
        <v>6</v>
      </c>
      <c r="M14" s="51" t="s">
        <v>6</v>
      </c>
      <c r="N14" s="51" t="s">
        <v>6</v>
      </c>
      <c r="O14" s="51" t="s">
        <v>6</v>
      </c>
      <c r="P14" s="51" t="s">
        <v>6</v>
      </c>
      <c r="Q14" s="51" t="s">
        <v>6</v>
      </c>
      <c r="R14" s="51" t="s">
        <v>6</v>
      </c>
      <c r="S14" s="51" t="s">
        <v>6</v>
      </c>
      <c r="T14" s="51" t="s">
        <v>6</v>
      </c>
      <c r="U14" s="51" t="s">
        <v>6</v>
      </c>
      <c r="V14" s="51" t="s">
        <v>6</v>
      </c>
      <c r="W14" s="51" t="s">
        <v>6</v>
      </c>
      <c r="X14" s="51" t="s">
        <v>6</v>
      </c>
      <c r="Y14" s="51" t="s">
        <v>6</v>
      </c>
    </row>
    <row r="15" spans="1:25" x14ac:dyDescent="0.25">
      <c r="A15" s="32"/>
      <c r="B15" s="90">
        <f>1*(1+$I$4)^($I$3-B11)</f>
        <v>1.7646106825195991</v>
      </c>
      <c r="C15" s="90">
        <f t="shared" ref="C15:Y15" si="0">1*(1+$I$4)^($I$3-C11)</f>
        <v>1.7215713975800966</v>
      </c>
      <c r="D15" s="90">
        <f t="shared" si="0"/>
        <v>1.6795818512976552</v>
      </c>
      <c r="E15" s="90">
        <f t="shared" si="0"/>
        <v>1.6386164402903955</v>
      </c>
      <c r="F15" s="90">
        <f t="shared" si="0"/>
        <v>1.5986501856491666</v>
      </c>
      <c r="G15" s="90">
        <f t="shared" si="0"/>
        <v>1.559658717706504</v>
      </c>
      <c r="H15" s="90">
        <f t="shared" si="0"/>
        <v>1.521618261177077</v>
      </c>
      <c r="I15" s="90">
        <f t="shared" si="0"/>
        <v>1.4845056206605631</v>
      </c>
      <c r="J15" s="90">
        <f t="shared" si="0"/>
        <v>1.4482981664981105</v>
      </c>
      <c r="K15" s="90">
        <f t="shared" si="0"/>
        <v>1.4129738209737661</v>
      </c>
      <c r="L15" s="90">
        <f t="shared" si="0"/>
        <v>1.3785110448524549</v>
      </c>
      <c r="M15" s="90">
        <f t="shared" si="0"/>
        <v>1.3448888242462975</v>
      </c>
      <c r="N15" s="90">
        <f t="shared" si="0"/>
        <v>1.312086657801266</v>
      </c>
      <c r="O15" s="90">
        <f t="shared" si="0"/>
        <v>1.2800845441963571</v>
      </c>
      <c r="P15" s="90">
        <f t="shared" si="0"/>
        <v>1.2488629699476654</v>
      </c>
      <c r="Q15" s="90">
        <f t="shared" si="0"/>
        <v>1.2184028975099177</v>
      </c>
      <c r="R15" s="90">
        <f t="shared" si="0"/>
        <v>1.1886857536682125</v>
      </c>
      <c r="S15" s="90">
        <f t="shared" si="0"/>
        <v>1.1596934182128902</v>
      </c>
      <c r="T15" s="90">
        <f t="shared" si="0"/>
        <v>1.1314082128906247</v>
      </c>
      <c r="U15" s="90">
        <f t="shared" si="0"/>
        <v>1.1038128906249998</v>
      </c>
      <c r="V15" s="90">
        <f t="shared" si="0"/>
        <v>1.0768906249999999</v>
      </c>
      <c r="W15" s="90">
        <f t="shared" si="0"/>
        <v>1.0506249999999999</v>
      </c>
      <c r="X15" s="90">
        <f t="shared" si="0"/>
        <v>1.0249999999999999</v>
      </c>
      <c r="Y15" s="90">
        <f t="shared" si="0"/>
        <v>1</v>
      </c>
    </row>
    <row r="18" spans="1:16" x14ac:dyDescent="0.25">
      <c r="B18" s="106" t="s">
        <v>83</v>
      </c>
      <c r="F18" s="106" t="s">
        <v>52</v>
      </c>
      <c r="I18" s="106" t="s">
        <v>15</v>
      </c>
      <c r="L18" s="120" t="s">
        <v>54</v>
      </c>
      <c r="M18" s="120"/>
      <c r="N18" s="120"/>
      <c r="O18" s="120"/>
      <c r="P18" s="120"/>
    </row>
    <row r="20" spans="1:16" x14ac:dyDescent="0.25">
      <c r="B20" s="82">
        <f>SUM(B15:Y15)</f>
        <v>32.349037983303617</v>
      </c>
      <c r="F20" s="88">
        <f>I2/(((1+I4)^I3-1)/(I4))</f>
        <v>262758.97306087252</v>
      </c>
      <c r="I20" s="96">
        <f>PMT(I4,I3,0,I2)</f>
        <v>-262758.97306087177</v>
      </c>
      <c r="L20" s="82" t="s">
        <v>46</v>
      </c>
      <c r="M20" s="82" t="s">
        <v>84</v>
      </c>
      <c r="N20" s="82" t="s">
        <v>85</v>
      </c>
      <c r="O20" s="82" t="s">
        <v>86</v>
      </c>
      <c r="P20" s="82" t="s">
        <v>87</v>
      </c>
    </row>
    <row r="21" spans="1:16" x14ac:dyDescent="0.25">
      <c r="A21" s="9" t="s">
        <v>90</v>
      </c>
      <c r="B21" s="84">
        <f>I2/B20</f>
        <v>262758.973060872</v>
      </c>
      <c r="L21" s="80">
        <v>0</v>
      </c>
      <c r="M21" s="80"/>
      <c r="N21" s="80"/>
      <c r="O21" s="80"/>
      <c r="P21" s="80">
        <v>0</v>
      </c>
    </row>
    <row r="22" spans="1:16" x14ac:dyDescent="0.25">
      <c r="B22" s="32"/>
      <c r="L22" s="82">
        <v>1</v>
      </c>
      <c r="M22" s="81">
        <v>262758.97306087194</v>
      </c>
      <c r="N22" s="81">
        <f>P21*$I$4</f>
        <v>0</v>
      </c>
      <c r="O22" s="81">
        <f>M22+N22</f>
        <v>262758.97306087194</v>
      </c>
      <c r="P22" s="87">
        <f>P21+O22</f>
        <v>262758.97306087194</v>
      </c>
    </row>
    <row r="23" spans="1:16" x14ac:dyDescent="0.25">
      <c r="B23" s="32"/>
      <c r="L23" s="82">
        <v>2</v>
      </c>
      <c r="M23" s="81">
        <f>M22</f>
        <v>262758.97306087194</v>
      </c>
      <c r="N23" s="81">
        <f t="shared" ref="N23:N45" si="1">P22*$I$4</f>
        <v>6568.9743265217985</v>
      </c>
      <c r="O23" s="81">
        <f t="shared" ref="O23:O45" si="2">M23+N23</f>
        <v>269327.94738739374</v>
      </c>
      <c r="P23" s="81">
        <f t="shared" ref="P23:P45" si="3">P22+O23</f>
        <v>532086.92044826574</v>
      </c>
    </row>
    <row r="24" spans="1:16" x14ac:dyDescent="0.25">
      <c r="B24" s="32"/>
      <c r="L24" s="82">
        <v>3</v>
      </c>
      <c r="M24" s="81">
        <f t="shared" ref="M24:M45" si="4">M23</f>
        <v>262758.97306087194</v>
      </c>
      <c r="N24" s="81">
        <f t="shared" si="1"/>
        <v>13302.173011206643</v>
      </c>
      <c r="O24" s="81">
        <f t="shared" si="2"/>
        <v>276061.14607207861</v>
      </c>
      <c r="P24" s="81">
        <f t="shared" si="3"/>
        <v>808148.06652034435</v>
      </c>
    </row>
    <row r="25" spans="1:16" x14ac:dyDescent="0.25">
      <c r="B25" s="32"/>
      <c r="L25" s="82">
        <v>4</v>
      </c>
      <c r="M25" s="81">
        <f t="shared" si="4"/>
        <v>262758.97306087194</v>
      </c>
      <c r="N25" s="81">
        <f t="shared" si="1"/>
        <v>20203.701663008611</v>
      </c>
      <c r="O25" s="81">
        <f t="shared" si="2"/>
        <v>282962.67472388054</v>
      </c>
      <c r="P25" s="81">
        <f t="shared" si="3"/>
        <v>1091110.7412442248</v>
      </c>
    </row>
    <row r="26" spans="1:16" x14ac:dyDescent="0.25">
      <c r="A26" s="76" t="s">
        <v>93</v>
      </c>
      <c r="B26" s="118" t="s">
        <v>95</v>
      </c>
      <c r="L26" s="82">
        <v>5</v>
      </c>
      <c r="M26" s="81">
        <f t="shared" si="4"/>
        <v>262758.97306087194</v>
      </c>
      <c r="N26" s="81">
        <f t="shared" si="1"/>
        <v>27277.768531105623</v>
      </c>
      <c r="O26" s="81">
        <f t="shared" si="2"/>
        <v>290036.74159197754</v>
      </c>
      <c r="P26" s="81">
        <f t="shared" si="3"/>
        <v>1381147.4828362023</v>
      </c>
    </row>
    <row r="27" spans="1:16" x14ac:dyDescent="0.25">
      <c r="B27" s="32"/>
      <c r="L27" s="82">
        <v>6</v>
      </c>
      <c r="M27" s="81">
        <f t="shared" si="4"/>
        <v>262758.97306087194</v>
      </c>
      <c r="N27" s="81">
        <f t="shared" si="1"/>
        <v>34528.687070905056</v>
      </c>
      <c r="O27" s="81">
        <f t="shared" si="2"/>
        <v>297287.660131777</v>
      </c>
      <c r="P27" s="81">
        <f t="shared" si="3"/>
        <v>1678435.1429679792</v>
      </c>
    </row>
    <row r="28" spans="1:16" x14ac:dyDescent="0.25">
      <c r="B28" s="32"/>
      <c r="L28" s="82">
        <v>7</v>
      </c>
      <c r="M28" s="81">
        <f t="shared" si="4"/>
        <v>262758.97306087194</v>
      </c>
      <c r="N28" s="81">
        <f t="shared" si="1"/>
        <v>41960.87857419948</v>
      </c>
      <c r="O28" s="81">
        <f t="shared" si="2"/>
        <v>304719.85163507145</v>
      </c>
      <c r="P28" s="81">
        <f t="shared" si="3"/>
        <v>1983154.9946030506</v>
      </c>
    </row>
    <row r="29" spans="1:16" x14ac:dyDescent="0.25">
      <c r="B29" s="32"/>
      <c r="L29" s="82">
        <v>8</v>
      </c>
      <c r="M29" s="81">
        <f t="shared" si="4"/>
        <v>262758.97306087194</v>
      </c>
      <c r="N29" s="81">
        <f t="shared" si="1"/>
        <v>49578.874865076272</v>
      </c>
      <c r="O29" s="81">
        <f t="shared" si="2"/>
        <v>312337.84792594821</v>
      </c>
      <c r="P29" s="81">
        <f t="shared" si="3"/>
        <v>2295492.8425289989</v>
      </c>
    </row>
    <row r="30" spans="1:16" x14ac:dyDescent="0.25">
      <c r="B30" s="32"/>
      <c r="L30" s="82">
        <v>9</v>
      </c>
      <c r="M30" s="81">
        <f t="shared" si="4"/>
        <v>262758.97306087194</v>
      </c>
      <c r="N30" s="81">
        <f t="shared" si="1"/>
        <v>57387.321063224976</v>
      </c>
      <c r="O30" s="81">
        <f t="shared" si="2"/>
        <v>320146.29412409692</v>
      </c>
      <c r="P30" s="81">
        <f t="shared" si="3"/>
        <v>2615639.1366530959</v>
      </c>
    </row>
    <row r="31" spans="1:16" x14ac:dyDescent="0.25">
      <c r="B31" s="32"/>
      <c r="L31" s="82">
        <v>10</v>
      </c>
      <c r="M31" s="81">
        <f t="shared" si="4"/>
        <v>262758.97306087194</v>
      </c>
      <c r="N31" s="81">
        <f t="shared" si="1"/>
        <v>65390.978416327402</v>
      </c>
      <c r="O31" s="81">
        <f t="shared" si="2"/>
        <v>328149.95147719933</v>
      </c>
      <c r="P31" s="81">
        <f t="shared" si="3"/>
        <v>2943789.0881302953</v>
      </c>
    </row>
    <row r="32" spans="1:16" x14ac:dyDescent="0.25">
      <c r="B32" s="32"/>
      <c r="L32" s="82">
        <v>11</v>
      </c>
      <c r="M32" s="81">
        <f t="shared" si="4"/>
        <v>262758.97306087194</v>
      </c>
      <c r="N32" s="81">
        <f t="shared" si="1"/>
        <v>73594.727203257382</v>
      </c>
      <c r="O32" s="81">
        <f t="shared" si="2"/>
        <v>336353.70026412932</v>
      </c>
      <c r="P32" s="81">
        <f t="shared" si="3"/>
        <v>3280142.7883944246</v>
      </c>
    </row>
    <row r="33" spans="2:16" x14ac:dyDescent="0.25">
      <c r="B33" s="32"/>
      <c r="L33" s="82">
        <v>12</v>
      </c>
      <c r="M33" s="81">
        <f t="shared" si="4"/>
        <v>262758.97306087194</v>
      </c>
      <c r="N33" s="81">
        <f t="shared" si="1"/>
        <v>82003.569709860618</v>
      </c>
      <c r="O33" s="81">
        <f t="shared" si="2"/>
        <v>344762.54277073254</v>
      </c>
      <c r="P33" s="81">
        <f t="shared" si="3"/>
        <v>3624905.3311651573</v>
      </c>
    </row>
    <row r="34" spans="2:16" x14ac:dyDescent="0.25">
      <c r="B34" s="32"/>
      <c r="L34" s="82">
        <v>13</v>
      </c>
      <c r="M34" s="81">
        <f t="shared" si="4"/>
        <v>262758.97306087194</v>
      </c>
      <c r="N34" s="81">
        <f t="shared" si="1"/>
        <v>90622.633279128931</v>
      </c>
      <c r="O34" s="81">
        <f t="shared" si="2"/>
        <v>353381.60634000087</v>
      </c>
      <c r="P34" s="81">
        <f t="shared" si="3"/>
        <v>3978286.9375051581</v>
      </c>
    </row>
    <row r="35" spans="2:16" x14ac:dyDescent="0.25">
      <c r="B35" s="32"/>
      <c r="L35" s="82">
        <v>14</v>
      </c>
      <c r="M35" s="81">
        <f t="shared" si="4"/>
        <v>262758.97306087194</v>
      </c>
      <c r="N35" s="81">
        <f t="shared" si="1"/>
        <v>99457.173437628953</v>
      </c>
      <c r="O35" s="81">
        <f t="shared" si="2"/>
        <v>362216.14649850089</v>
      </c>
      <c r="P35" s="81">
        <f t="shared" si="3"/>
        <v>4340503.084003659</v>
      </c>
    </row>
    <row r="36" spans="2:16" x14ac:dyDescent="0.25">
      <c r="B36" s="32"/>
      <c r="L36" s="82">
        <v>15</v>
      </c>
      <c r="M36" s="81">
        <f t="shared" si="4"/>
        <v>262758.97306087194</v>
      </c>
      <c r="N36" s="81">
        <f t="shared" si="1"/>
        <v>108512.57710009148</v>
      </c>
      <c r="O36" s="81">
        <f t="shared" si="2"/>
        <v>371271.55016096344</v>
      </c>
      <c r="P36" s="81">
        <f t="shared" si="3"/>
        <v>4711774.6341646221</v>
      </c>
    </row>
    <row r="37" spans="2:16" x14ac:dyDescent="0.25">
      <c r="B37" s="32"/>
      <c r="L37" s="82">
        <v>16</v>
      </c>
      <c r="M37" s="81">
        <f t="shared" si="4"/>
        <v>262758.97306087194</v>
      </c>
      <c r="N37" s="81">
        <f t="shared" si="1"/>
        <v>117794.36585411556</v>
      </c>
      <c r="O37" s="81">
        <f t="shared" si="2"/>
        <v>380553.33891498751</v>
      </c>
      <c r="P37" s="81">
        <f t="shared" si="3"/>
        <v>5092327.9730796097</v>
      </c>
    </row>
    <row r="38" spans="2:16" x14ac:dyDescent="0.25">
      <c r="B38" s="32"/>
      <c r="L38" s="82">
        <v>17</v>
      </c>
      <c r="M38" s="81">
        <f t="shared" si="4"/>
        <v>262758.97306087194</v>
      </c>
      <c r="N38" s="81">
        <f t="shared" si="1"/>
        <v>127308.19932699025</v>
      </c>
      <c r="O38" s="81">
        <f t="shared" si="2"/>
        <v>390067.17238786217</v>
      </c>
      <c r="P38" s="81">
        <f t="shared" si="3"/>
        <v>5482395.1454674723</v>
      </c>
    </row>
    <row r="39" spans="2:16" x14ac:dyDescent="0.25">
      <c r="B39" s="32"/>
      <c r="L39" s="82">
        <v>18</v>
      </c>
      <c r="M39" s="81">
        <f t="shared" si="4"/>
        <v>262758.97306087194</v>
      </c>
      <c r="N39" s="81">
        <f t="shared" si="1"/>
        <v>137059.8786366868</v>
      </c>
      <c r="O39" s="81">
        <f t="shared" si="2"/>
        <v>399818.85169755877</v>
      </c>
      <c r="P39" s="81">
        <f t="shared" si="3"/>
        <v>5882213.9971650308</v>
      </c>
    </row>
    <row r="40" spans="2:16" x14ac:dyDescent="0.25">
      <c r="B40" s="32"/>
      <c r="L40" s="82">
        <v>19</v>
      </c>
      <c r="M40" s="81">
        <f t="shared" si="4"/>
        <v>262758.97306087194</v>
      </c>
      <c r="N40" s="81">
        <f t="shared" si="1"/>
        <v>147055.34992912578</v>
      </c>
      <c r="O40" s="81">
        <f t="shared" si="2"/>
        <v>409814.32298999769</v>
      </c>
      <c r="P40" s="81">
        <f t="shared" si="3"/>
        <v>6292028.3201550283</v>
      </c>
    </row>
    <row r="41" spans="2:16" x14ac:dyDescent="0.25">
      <c r="B41" s="32"/>
      <c r="L41" s="82">
        <v>20</v>
      </c>
      <c r="M41" s="81">
        <f t="shared" si="4"/>
        <v>262758.97306087194</v>
      </c>
      <c r="N41" s="81">
        <f t="shared" si="1"/>
        <v>157300.70800387571</v>
      </c>
      <c r="O41" s="81">
        <f t="shared" si="2"/>
        <v>420059.68106474762</v>
      </c>
      <c r="P41" s="81">
        <f t="shared" si="3"/>
        <v>6712088.0012197755</v>
      </c>
    </row>
    <row r="42" spans="2:16" x14ac:dyDescent="0.25">
      <c r="B42" s="32"/>
      <c r="L42" s="82">
        <v>21</v>
      </c>
      <c r="M42" s="81">
        <f t="shared" si="4"/>
        <v>262758.97306087194</v>
      </c>
      <c r="N42" s="81">
        <f t="shared" si="1"/>
        <v>167802.20003049439</v>
      </c>
      <c r="O42" s="81">
        <f t="shared" si="2"/>
        <v>430561.17309136631</v>
      </c>
      <c r="P42" s="81">
        <f t="shared" si="3"/>
        <v>7142649.1743111415</v>
      </c>
    </row>
    <row r="43" spans="2:16" x14ac:dyDescent="0.25">
      <c r="B43" s="32"/>
      <c r="L43" s="82">
        <v>22</v>
      </c>
      <c r="M43" s="81">
        <f t="shared" si="4"/>
        <v>262758.97306087194</v>
      </c>
      <c r="N43" s="81">
        <f t="shared" si="1"/>
        <v>178566.22935777856</v>
      </c>
      <c r="O43" s="81">
        <f t="shared" si="2"/>
        <v>441325.2024186505</v>
      </c>
      <c r="P43" s="81">
        <f t="shared" si="3"/>
        <v>7583974.376729792</v>
      </c>
    </row>
    <row r="44" spans="2:16" x14ac:dyDescent="0.25">
      <c r="B44" s="32"/>
      <c r="L44" s="82">
        <v>23</v>
      </c>
      <c r="M44" s="81">
        <f t="shared" si="4"/>
        <v>262758.97306087194</v>
      </c>
      <c r="N44" s="81">
        <f t="shared" si="1"/>
        <v>189599.3594182448</v>
      </c>
      <c r="O44" s="81">
        <f t="shared" si="2"/>
        <v>452358.33247911674</v>
      </c>
      <c r="P44" s="81">
        <f t="shared" si="3"/>
        <v>8036332.7092089085</v>
      </c>
    </row>
    <row r="45" spans="2:16" x14ac:dyDescent="0.25">
      <c r="L45" s="105">
        <v>24</v>
      </c>
      <c r="M45" s="87">
        <f t="shared" si="4"/>
        <v>262758.97306087194</v>
      </c>
      <c r="N45" s="87">
        <f t="shared" si="1"/>
        <v>200908.31773022271</v>
      </c>
      <c r="O45" s="87">
        <f t="shared" si="2"/>
        <v>463667.29079109465</v>
      </c>
      <c r="P45" s="88">
        <f t="shared" si="3"/>
        <v>8500000.0000000037</v>
      </c>
    </row>
  </sheetData>
  <mergeCells count="1">
    <mergeCell ref="L18:P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zoomScale="85" zoomScaleNormal="85" workbookViewId="0">
      <selection activeCell="I19" sqref="I19"/>
    </sheetView>
  </sheetViews>
  <sheetFormatPr baseColWidth="10" defaultRowHeight="15" x14ac:dyDescent="0.25"/>
  <cols>
    <col min="2" max="2" width="13.140625" bestFit="1" customWidth="1"/>
    <col min="3" max="3" width="12.28515625" bestFit="1" customWidth="1"/>
    <col min="5" max="5" width="13.85546875" bestFit="1" customWidth="1"/>
    <col min="9" max="9" width="11.85546875" bestFit="1" customWidth="1"/>
    <col min="11" max="11" width="14.140625" bestFit="1" customWidth="1"/>
    <col min="12" max="12" width="8.5703125" bestFit="1" customWidth="1"/>
    <col min="13" max="13" width="17.5703125" bestFit="1" customWidth="1"/>
    <col min="14" max="15" width="13" bestFit="1" customWidth="1"/>
    <col min="16" max="16" width="15.5703125" bestFit="1" customWidth="1"/>
  </cols>
  <sheetData>
    <row r="2" spans="1:15" x14ac:dyDescent="0.25">
      <c r="B2" s="13" t="s">
        <v>77</v>
      </c>
      <c r="C2" s="12"/>
      <c r="D2" s="12"/>
      <c r="E2" s="12"/>
      <c r="F2" s="12"/>
      <c r="G2" s="12"/>
      <c r="H2" s="12"/>
      <c r="I2" s="12"/>
      <c r="J2" s="82" t="s">
        <v>0</v>
      </c>
      <c r="K2" s="97">
        <v>20000000</v>
      </c>
    </row>
    <row r="3" spans="1:15" x14ac:dyDescent="0.25">
      <c r="B3" s="13" t="s">
        <v>29</v>
      </c>
      <c r="C3" s="12"/>
      <c r="D3" s="12"/>
      <c r="E3" s="12"/>
      <c r="F3" s="12"/>
      <c r="G3" s="12"/>
      <c r="H3" s="12"/>
      <c r="I3" s="12"/>
      <c r="J3" s="82" t="s">
        <v>6</v>
      </c>
      <c r="K3" s="97">
        <v>620000</v>
      </c>
    </row>
    <row r="4" spans="1:15" x14ac:dyDescent="0.25">
      <c r="B4" s="13" t="s">
        <v>30</v>
      </c>
      <c r="C4" s="12"/>
      <c r="D4" s="12"/>
      <c r="E4" s="12"/>
      <c r="F4" s="12"/>
      <c r="G4" s="12"/>
      <c r="H4" s="12"/>
      <c r="I4" s="12"/>
      <c r="J4" s="91" t="s">
        <v>55</v>
      </c>
      <c r="K4" s="99">
        <v>0.36</v>
      </c>
      <c r="L4" s="90" t="s">
        <v>92</v>
      </c>
      <c r="M4" s="108" t="s">
        <v>79</v>
      </c>
      <c r="N4" s="100">
        <f>((1+N6)^(1/12))-1</f>
        <v>3.0000000000000027E-2</v>
      </c>
      <c r="O4" s="90" t="s">
        <v>10</v>
      </c>
    </row>
    <row r="5" spans="1:15" x14ac:dyDescent="0.25">
      <c r="B5" s="13"/>
      <c r="C5" s="12"/>
      <c r="D5" s="12"/>
      <c r="E5" s="12"/>
      <c r="F5" s="12"/>
      <c r="G5" s="12"/>
      <c r="H5" s="12"/>
      <c r="I5" s="12"/>
      <c r="J5" s="91" t="s">
        <v>12</v>
      </c>
      <c r="K5" s="98" t="s">
        <v>9</v>
      </c>
      <c r="L5" s="90" t="s">
        <v>2</v>
      </c>
    </row>
    <row r="6" spans="1:15" x14ac:dyDescent="0.25">
      <c r="A6" s="9" t="s">
        <v>18</v>
      </c>
      <c r="B6" s="13" t="s">
        <v>20</v>
      </c>
      <c r="C6" s="12"/>
      <c r="D6" s="12"/>
      <c r="E6" s="12"/>
      <c r="F6" s="12"/>
      <c r="G6" s="12"/>
      <c r="H6" s="12"/>
      <c r="I6" s="12"/>
      <c r="J6" s="12"/>
      <c r="K6" s="12"/>
      <c r="M6" s="90" t="s">
        <v>78</v>
      </c>
      <c r="N6" s="90">
        <f>EFFECT(K4,12)</f>
        <v>0.42576088684617863</v>
      </c>
    </row>
    <row r="7" spans="1:15" x14ac:dyDescent="0.25">
      <c r="A7" s="9" t="s">
        <v>19</v>
      </c>
      <c r="B7" s="38" t="s">
        <v>39</v>
      </c>
      <c r="C7" s="12"/>
      <c r="D7" s="12"/>
      <c r="E7" s="12"/>
      <c r="F7" s="12"/>
      <c r="G7" s="12"/>
      <c r="H7" s="12"/>
      <c r="I7" s="12"/>
      <c r="J7" s="12"/>
      <c r="K7" s="12"/>
    </row>
    <row r="8" spans="1:15" x14ac:dyDescent="0.25">
      <c r="A8" s="9" t="s">
        <v>38</v>
      </c>
      <c r="B8" s="38" t="s">
        <v>40</v>
      </c>
    </row>
    <row r="9" spans="1:15" x14ac:dyDescent="0.25">
      <c r="A9" s="43">
        <v>20000000</v>
      </c>
      <c r="K9" s="28"/>
    </row>
    <row r="10" spans="1:15" x14ac:dyDescent="0.25">
      <c r="B10" s="4"/>
      <c r="C10" s="14"/>
      <c r="D10" s="14"/>
      <c r="E10" s="15"/>
      <c r="F10" s="14"/>
      <c r="G10" s="4"/>
      <c r="H10" s="4"/>
    </row>
    <row r="11" spans="1:15" x14ac:dyDescent="0.25">
      <c r="A11">
        <v>0</v>
      </c>
      <c r="B11" s="18">
        <v>1</v>
      </c>
      <c r="C11" s="18">
        <v>2</v>
      </c>
      <c r="D11" s="18">
        <v>3</v>
      </c>
      <c r="E11" s="2"/>
      <c r="F11" s="11"/>
      <c r="G11" s="18"/>
      <c r="H11" s="18" t="s">
        <v>12</v>
      </c>
      <c r="I11" t="s">
        <v>2</v>
      </c>
    </row>
    <row r="12" spans="1:15" x14ac:dyDescent="0.25">
      <c r="B12" s="17"/>
      <c r="C12" s="17"/>
      <c r="D12" s="17"/>
      <c r="E12" s="16"/>
      <c r="F12" s="16"/>
      <c r="G12" s="16"/>
      <c r="H12" s="16"/>
    </row>
    <row r="14" spans="1:15" x14ac:dyDescent="0.25">
      <c r="B14" s="44">
        <v>620000</v>
      </c>
      <c r="C14" s="44">
        <v>620000</v>
      </c>
      <c r="D14" s="44">
        <v>620000</v>
      </c>
      <c r="F14" s="1"/>
    </row>
    <row r="15" spans="1:15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5" x14ac:dyDescent="0.25">
      <c r="B16" s="19" t="s">
        <v>80</v>
      </c>
      <c r="C16" s="77" t="s">
        <v>81</v>
      </c>
      <c r="D16" s="19"/>
      <c r="E16" s="19"/>
      <c r="F16" s="19"/>
      <c r="G16" s="19"/>
      <c r="H16" s="19"/>
      <c r="I16" s="19"/>
      <c r="J16" s="19"/>
      <c r="K16" s="19"/>
    </row>
    <row r="17" spans="1:16" x14ac:dyDescent="0.25">
      <c r="B17" s="19"/>
      <c r="C17" s="25" t="s">
        <v>82</v>
      </c>
      <c r="D17" s="19"/>
      <c r="E17" s="19"/>
      <c r="F17" s="19"/>
      <c r="G17" s="19"/>
      <c r="H17" s="19"/>
      <c r="I17" s="19"/>
    </row>
    <row r="18" spans="1:16" x14ac:dyDescent="0.25">
      <c r="B18" s="106" t="s">
        <v>52</v>
      </c>
      <c r="C18" s="19"/>
      <c r="D18" s="19"/>
      <c r="E18" s="19"/>
      <c r="F18" s="19"/>
      <c r="G18" s="19"/>
      <c r="H18" s="19"/>
      <c r="I18" s="106" t="s">
        <v>15</v>
      </c>
      <c r="L18" s="120" t="s">
        <v>54</v>
      </c>
      <c r="M18" s="120"/>
      <c r="N18" s="120"/>
      <c r="O18" s="120"/>
      <c r="P18" s="120"/>
    </row>
    <row r="19" spans="1:16" x14ac:dyDescent="0.25">
      <c r="B19" s="107">
        <f>(LOG(K3)-LOG(K3-(K2*N4)))/LOG(1+N4)</f>
        <v>116.17477516253209</v>
      </c>
      <c r="C19" s="19"/>
      <c r="D19" s="19"/>
      <c r="E19" s="19"/>
      <c r="F19" s="19"/>
      <c r="G19" s="19"/>
      <c r="H19" s="19"/>
      <c r="I19" s="107">
        <f>NPER(N4,-K3,K2,0)</f>
        <v>116.17477516253214</v>
      </c>
      <c r="J19" s="19"/>
      <c r="K19" s="19"/>
      <c r="L19" s="82" t="s">
        <v>46</v>
      </c>
      <c r="M19" s="82" t="s">
        <v>84</v>
      </c>
      <c r="N19" s="82" t="s">
        <v>85</v>
      </c>
      <c r="O19" s="82" t="s">
        <v>86</v>
      </c>
      <c r="P19" s="82" t="s">
        <v>87</v>
      </c>
    </row>
    <row r="20" spans="1:16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82">
        <v>0</v>
      </c>
      <c r="M20" s="101"/>
      <c r="N20" s="101"/>
      <c r="O20" s="101"/>
      <c r="P20" s="101">
        <v>20000000</v>
      </c>
    </row>
    <row r="21" spans="1:16" x14ac:dyDescent="0.25"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82">
        <v>1</v>
      </c>
      <c r="M21" s="101">
        <f>$K$3</f>
        <v>620000</v>
      </c>
      <c r="N21" s="102">
        <f>P20*$N$4</f>
        <v>600000.00000000058</v>
      </c>
      <c r="O21" s="102">
        <f>M21-N21</f>
        <v>19999.999999999418</v>
      </c>
      <c r="P21" s="102">
        <f>P20-O21</f>
        <v>19980000</v>
      </c>
    </row>
    <row r="22" spans="1:16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82">
        <v>2</v>
      </c>
      <c r="M22" s="101">
        <f t="shared" ref="M22:M85" si="0">$K$3</f>
        <v>620000</v>
      </c>
      <c r="N22" s="102">
        <f>P21*$N$4</f>
        <v>599400.00000000058</v>
      </c>
      <c r="O22" s="102">
        <f>M22-N22</f>
        <v>20599.999999999418</v>
      </c>
      <c r="P22" s="102">
        <f>P21-O22</f>
        <v>19959400</v>
      </c>
    </row>
    <row r="23" spans="1:16" x14ac:dyDescent="0.25"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82">
        <v>3</v>
      </c>
      <c r="M23" s="101">
        <f t="shared" si="0"/>
        <v>620000</v>
      </c>
      <c r="N23" s="102">
        <f t="shared" ref="N23:N86" si="1">P22*$N$4</f>
        <v>598782.00000000058</v>
      </c>
      <c r="O23" s="102">
        <f t="shared" ref="O23:O86" si="2">M23-N23</f>
        <v>21217.999999999418</v>
      </c>
      <c r="P23" s="102">
        <f t="shared" ref="P23:P86" si="3">P22-O23</f>
        <v>19938182</v>
      </c>
    </row>
    <row r="24" spans="1:16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82">
        <v>4</v>
      </c>
      <c r="M24" s="101">
        <f t="shared" si="0"/>
        <v>620000</v>
      </c>
      <c r="N24" s="102">
        <f t="shared" si="1"/>
        <v>598145.46000000054</v>
      </c>
      <c r="O24" s="102">
        <f t="shared" si="2"/>
        <v>21854.539999999455</v>
      </c>
      <c r="P24" s="102">
        <f t="shared" si="3"/>
        <v>19916327.460000001</v>
      </c>
    </row>
    <row r="25" spans="1:16" x14ac:dyDescent="0.25"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82">
        <v>5</v>
      </c>
      <c r="M25" s="101">
        <f t="shared" si="0"/>
        <v>620000</v>
      </c>
      <c r="N25" s="102">
        <f t="shared" si="1"/>
        <v>597489.82380000059</v>
      </c>
      <c r="O25" s="102">
        <f t="shared" si="2"/>
        <v>22510.176199999405</v>
      </c>
      <c r="P25" s="102">
        <f t="shared" si="3"/>
        <v>19893817.283800002</v>
      </c>
    </row>
    <row r="26" spans="1:16" x14ac:dyDescent="0.25">
      <c r="A26" s="82" t="s">
        <v>96</v>
      </c>
      <c r="B26" s="119" t="s">
        <v>97</v>
      </c>
      <c r="C26" s="19"/>
      <c r="D26" s="19"/>
      <c r="E26" s="19"/>
      <c r="F26" s="19"/>
      <c r="G26" s="19"/>
      <c r="H26" s="19"/>
      <c r="I26" s="19"/>
      <c r="J26" s="19"/>
      <c r="K26" s="19"/>
      <c r="L26" s="82">
        <v>6</v>
      </c>
      <c r="M26" s="101">
        <f t="shared" si="0"/>
        <v>620000</v>
      </c>
      <c r="N26" s="102">
        <f t="shared" si="1"/>
        <v>596814.51851400058</v>
      </c>
      <c r="O26" s="102">
        <f t="shared" si="2"/>
        <v>23185.481485999422</v>
      </c>
      <c r="P26" s="102">
        <f t="shared" si="3"/>
        <v>19870631.802314002</v>
      </c>
    </row>
    <row r="27" spans="1:16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82">
        <v>7</v>
      </c>
      <c r="M27" s="101">
        <f t="shared" si="0"/>
        <v>620000</v>
      </c>
      <c r="N27" s="102">
        <f t="shared" si="1"/>
        <v>596118.95406942058</v>
      </c>
      <c r="O27" s="102">
        <f t="shared" si="2"/>
        <v>23881.045930579421</v>
      </c>
      <c r="P27" s="102">
        <f t="shared" si="3"/>
        <v>19846750.756383423</v>
      </c>
    </row>
    <row r="28" spans="1:16" x14ac:dyDescent="0.25"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82">
        <v>8</v>
      </c>
      <c r="M28" s="101">
        <f t="shared" si="0"/>
        <v>620000</v>
      </c>
      <c r="N28" s="102">
        <f t="shared" si="1"/>
        <v>595402.52269150317</v>
      </c>
      <c r="O28" s="102">
        <f t="shared" si="2"/>
        <v>24597.477308496833</v>
      </c>
      <c r="P28" s="102">
        <f t="shared" si="3"/>
        <v>19822153.279074926</v>
      </c>
    </row>
    <row r="29" spans="1:16" x14ac:dyDescent="0.25">
      <c r="B29" s="22"/>
      <c r="C29" s="19"/>
      <c r="D29" s="19"/>
      <c r="E29" s="23"/>
      <c r="F29" s="19"/>
      <c r="G29" s="19"/>
      <c r="H29" s="19"/>
      <c r="I29" s="19"/>
      <c r="J29" s="19"/>
      <c r="K29" s="19"/>
      <c r="L29" s="82">
        <v>9</v>
      </c>
      <c r="M29" s="101">
        <f t="shared" si="0"/>
        <v>620000</v>
      </c>
      <c r="N29" s="102">
        <f t="shared" si="1"/>
        <v>594664.59837224835</v>
      </c>
      <c r="O29" s="102">
        <f t="shared" si="2"/>
        <v>25335.401627751649</v>
      </c>
      <c r="P29" s="102">
        <f t="shared" si="3"/>
        <v>19796817.877447173</v>
      </c>
    </row>
    <row r="30" spans="1:1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82">
        <v>10</v>
      </c>
      <c r="M30" s="101">
        <f t="shared" si="0"/>
        <v>620000</v>
      </c>
      <c r="N30" s="102">
        <f t="shared" si="1"/>
        <v>593904.5363234157</v>
      </c>
      <c r="O30" s="102">
        <f t="shared" si="2"/>
        <v>26095.463676584302</v>
      </c>
      <c r="P30" s="102">
        <f t="shared" si="3"/>
        <v>19770722.41377059</v>
      </c>
    </row>
    <row r="31" spans="1:16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82">
        <v>11</v>
      </c>
      <c r="M31" s="101">
        <f t="shared" si="0"/>
        <v>620000</v>
      </c>
      <c r="N31" s="102">
        <f t="shared" si="1"/>
        <v>593121.67241311818</v>
      </c>
      <c r="O31" s="102">
        <f t="shared" si="2"/>
        <v>26878.327586881816</v>
      </c>
      <c r="P31" s="102">
        <f t="shared" si="3"/>
        <v>19743844.086183708</v>
      </c>
    </row>
    <row r="32" spans="1:16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82">
        <v>12</v>
      </c>
      <c r="M32" s="101">
        <f t="shared" si="0"/>
        <v>620000</v>
      </c>
      <c r="N32" s="102">
        <f t="shared" si="1"/>
        <v>592315.32258551172</v>
      </c>
      <c r="O32" s="102">
        <f t="shared" si="2"/>
        <v>27684.67741448828</v>
      </c>
      <c r="P32" s="102">
        <f t="shared" si="3"/>
        <v>19716159.40876922</v>
      </c>
    </row>
    <row r="33" spans="1:16" x14ac:dyDescent="0.25">
      <c r="A33" s="4"/>
      <c r="B33" s="72"/>
      <c r="C33" s="32"/>
      <c r="D33" s="32"/>
      <c r="E33" s="32"/>
      <c r="F33" s="32"/>
      <c r="G33" s="32"/>
      <c r="H33" s="32"/>
      <c r="I33" s="32"/>
      <c r="J33" s="32"/>
      <c r="K33" s="32"/>
      <c r="L33" s="82">
        <v>13</v>
      </c>
      <c r="M33" s="101">
        <f t="shared" si="0"/>
        <v>620000</v>
      </c>
      <c r="N33" s="102">
        <f t="shared" si="1"/>
        <v>591484.7822630771</v>
      </c>
      <c r="O33" s="102">
        <f t="shared" si="2"/>
        <v>28515.217736922903</v>
      </c>
      <c r="P33" s="102">
        <f t="shared" si="3"/>
        <v>19687644.191032298</v>
      </c>
    </row>
    <row r="34" spans="1:16" x14ac:dyDescent="0.25">
      <c r="A34" s="4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82">
        <v>14</v>
      </c>
      <c r="M34" s="101">
        <f t="shared" si="0"/>
        <v>620000</v>
      </c>
      <c r="N34" s="102">
        <f t="shared" si="1"/>
        <v>590629.32573096943</v>
      </c>
      <c r="O34" s="102">
        <f t="shared" si="2"/>
        <v>29370.674269030569</v>
      </c>
      <c r="P34" s="102">
        <f t="shared" si="3"/>
        <v>19658273.516763266</v>
      </c>
    </row>
    <row r="35" spans="1:16" x14ac:dyDescent="0.25">
      <c r="A35" s="4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82">
        <v>15</v>
      </c>
      <c r="M35" s="101">
        <f t="shared" si="0"/>
        <v>620000</v>
      </c>
      <c r="N35" s="102">
        <f t="shared" si="1"/>
        <v>589748.20550289855</v>
      </c>
      <c r="O35" s="102">
        <f t="shared" si="2"/>
        <v>30251.794497101451</v>
      </c>
      <c r="P35" s="102">
        <f t="shared" si="3"/>
        <v>19628021.722266164</v>
      </c>
    </row>
    <row r="36" spans="1:16" x14ac:dyDescent="0.25">
      <c r="A36" s="4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82">
        <v>16</v>
      </c>
      <c r="M36" s="101">
        <f t="shared" si="0"/>
        <v>620000</v>
      </c>
      <c r="N36" s="102">
        <f t="shared" si="1"/>
        <v>588840.65166798548</v>
      </c>
      <c r="O36" s="102">
        <f t="shared" si="2"/>
        <v>31159.348332014517</v>
      </c>
      <c r="P36" s="102">
        <f t="shared" si="3"/>
        <v>19596862.37393415</v>
      </c>
    </row>
    <row r="37" spans="1:16" x14ac:dyDescent="0.25">
      <c r="A37" s="4"/>
      <c r="B37" s="32"/>
      <c r="C37" s="32"/>
      <c r="D37" s="32"/>
      <c r="E37" s="32"/>
      <c r="F37" s="32"/>
      <c r="G37" s="32"/>
      <c r="H37" s="35"/>
      <c r="I37" s="32"/>
      <c r="J37" s="32"/>
      <c r="K37" s="32"/>
      <c r="L37" s="82">
        <v>17</v>
      </c>
      <c r="M37" s="101">
        <f t="shared" si="0"/>
        <v>620000</v>
      </c>
      <c r="N37" s="102">
        <f t="shared" si="1"/>
        <v>587905.87121802499</v>
      </c>
      <c r="O37" s="102">
        <f t="shared" si="2"/>
        <v>32094.128781975014</v>
      </c>
      <c r="P37" s="102">
        <f t="shared" si="3"/>
        <v>19564768.245152175</v>
      </c>
    </row>
    <row r="38" spans="1:16" x14ac:dyDescent="0.25">
      <c r="A38" s="4"/>
      <c r="B38" s="35"/>
      <c r="C38" s="35"/>
      <c r="D38" s="35"/>
      <c r="E38" s="35"/>
      <c r="F38" s="35"/>
      <c r="G38" s="35"/>
      <c r="H38" s="35"/>
      <c r="I38" s="35"/>
      <c r="J38" s="35"/>
      <c r="K38" s="32"/>
      <c r="L38" s="82">
        <v>18</v>
      </c>
      <c r="M38" s="101">
        <f t="shared" si="0"/>
        <v>620000</v>
      </c>
      <c r="N38" s="102">
        <f t="shared" si="1"/>
        <v>586943.04735456582</v>
      </c>
      <c r="O38" s="102">
        <f t="shared" si="2"/>
        <v>33056.952645434183</v>
      </c>
      <c r="P38" s="102">
        <f t="shared" si="3"/>
        <v>19531711.292506739</v>
      </c>
    </row>
    <row r="39" spans="1:16" x14ac:dyDescent="0.25">
      <c r="A39" s="4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82">
        <v>19</v>
      </c>
      <c r="M39" s="101">
        <f t="shared" si="0"/>
        <v>620000</v>
      </c>
      <c r="N39" s="102">
        <f t="shared" si="1"/>
        <v>585951.33877520275</v>
      </c>
      <c r="O39" s="102">
        <f t="shared" si="2"/>
        <v>34048.661224797252</v>
      </c>
      <c r="P39" s="102">
        <f t="shared" si="3"/>
        <v>19497662.631281942</v>
      </c>
    </row>
    <row r="40" spans="1:16" x14ac:dyDescent="0.25">
      <c r="A40" s="4"/>
      <c r="B40" s="32"/>
      <c r="C40" s="32"/>
      <c r="D40" s="35"/>
      <c r="E40" s="32"/>
      <c r="F40" s="32"/>
      <c r="G40" s="32"/>
      <c r="H40" s="32"/>
      <c r="I40" s="32"/>
      <c r="J40" s="35"/>
      <c r="K40" s="32"/>
      <c r="L40" s="82">
        <v>20</v>
      </c>
      <c r="M40" s="101">
        <f t="shared" si="0"/>
        <v>620000</v>
      </c>
      <c r="N40" s="102">
        <f t="shared" si="1"/>
        <v>584929.87893845874</v>
      </c>
      <c r="O40" s="102">
        <f t="shared" si="2"/>
        <v>35070.121061541256</v>
      </c>
      <c r="P40" s="102">
        <f t="shared" si="3"/>
        <v>19462592.510220401</v>
      </c>
    </row>
    <row r="41" spans="1:16" x14ac:dyDescent="0.25">
      <c r="A41" s="4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82">
        <v>21</v>
      </c>
      <c r="M41" s="101">
        <f t="shared" si="0"/>
        <v>620000</v>
      </c>
      <c r="N41" s="102">
        <f t="shared" si="1"/>
        <v>583877.7753066126</v>
      </c>
      <c r="O41" s="102">
        <f t="shared" si="2"/>
        <v>36122.224693387398</v>
      </c>
      <c r="P41" s="102">
        <f t="shared" si="3"/>
        <v>19426470.285527013</v>
      </c>
    </row>
    <row r="42" spans="1:16" x14ac:dyDescent="0.25">
      <c r="A42" s="4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82">
        <v>22</v>
      </c>
      <c r="M42" s="101">
        <f t="shared" si="0"/>
        <v>620000</v>
      </c>
      <c r="N42" s="102">
        <f t="shared" si="1"/>
        <v>582794.10856581095</v>
      </c>
      <c r="O42" s="102">
        <f t="shared" si="2"/>
        <v>37205.891434189049</v>
      </c>
      <c r="P42" s="102">
        <f t="shared" si="3"/>
        <v>19389264.394092824</v>
      </c>
    </row>
    <row r="43" spans="1:16" x14ac:dyDescent="0.25">
      <c r="A43" s="4"/>
      <c r="B43" s="32"/>
      <c r="C43" s="73"/>
      <c r="D43" s="32"/>
      <c r="E43" s="32"/>
      <c r="F43" s="32"/>
      <c r="G43" s="32"/>
      <c r="H43" s="32"/>
      <c r="I43" s="32"/>
      <c r="J43" s="32"/>
      <c r="K43" s="32"/>
      <c r="L43" s="82">
        <v>23</v>
      </c>
      <c r="M43" s="101">
        <f t="shared" si="0"/>
        <v>620000</v>
      </c>
      <c r="N43" s="102">
        <f t="shared" si="1"/>
        <v>581677.93182278529</v>
      </c>
      <c r="O43" s="102">
        <f t="shared" si="2"/>
        <v>38322.068177214707</v>
      </c>
      <c r="P43" s="102">
        <f t="shared" si="3"/>
        <v>19350942.325915609</v>
      </c>
    </row>
    <row r="44" spans="1:16" x14ac:dyDescent="0.25">
      <c r="A44" s="4"/>
      <c r="B44" s="32"/>
      <c r="C44" s="73"/>
      <c r="D44" s="32"/>
      <c r="E44" s="32"/>
      <c r="F44" s="32"/>
      <c r="G44" s="32"/>
      <c r="H44" s="32"/>
      <c r="I44" s="32"/>
      <c r="J44" s="32"/>
      <c r="K44" s="32"/>
      <c r="L44" s="82">
        <v>24</v>
      </c>
      <c r="M44" s="101">
        <f t="shared" si="0"/>
        <v>620000</v>
      </c>
      <c r="N44" s="102">
        <f t="shared" si="1"/>
        <v>580528.26977746875</v>
      </c>
      <c r="O44" s="102">
        <f t="shared" si="2"/>
        <v>39471.730222531245</v>
      </c>
      <c r="P44" s="102">
        <f t="shared" si="3"/>
        <v>19311470.595693078</v>
      </c>
    </row>
    <row r="45" spans="1:16" x14ac:dyDescent="0.25">
      <c r="A45" s="4"/>
      <c r="B45" s="32"/>
      <c r="C45" s="73"/>
      <c r="D45" s="32"/>
      <c r="E45" s="32"/>
      <c r="F45" s="32"/>
      <c r="G45" s="32"/>
      <c r="H45" s="32"/>
      <c r="I45" s="32"/>
      <c r="J45" s="32"/>
      <c r="K45" s="32"/>
      <c r="L45" s="82">
        <v>25</v>
      </c>
      <c r="M45" s="101">
        <f t="shared" si="0"/>
        <v>620000</v>
      </c>
      <c r="N45" s="102">
        <f t="shared" si="1"/>
        <v>579344.11787079286</v>
      </c>
      <c r="O45" s="102">
        <f t="shared" si="2"/>
        <v>40655.882129207137</v>
      </c>
      <c r="P45" s="102">
        <f t="shared" si="3"/>
        <v>19270814.713563871</v>
      </c>
    </row>
    <row r="46" spans="1:16" x14ac:dyDescent="0.25">
      <c r="A46" s="4"/>
      <c r="B46" s="32"/>
      <c r="C46" s="73"/>
      <c r="D46" s="32"/>
      <c r="E46" s="32"/>
      <c r="F46" s="32"/>
      <c r="G46" s="32"/>
      <c r="H46" s="32"/>
      <c r="I46" s="32"/>
      <c r="J46" s="32"/>
      <c r="K46" s="32"/>
      <c r="L46" s="82">
        <v>26</v>
      </c>
      <c r="M46" s="101">
        <f t="shared" si="0"/>
        <v>620000</v>
      </c>
      <c r="N46" s="102">
        <f t="shared" si="1"/>
        <v>578124.44140691659</v>
      </c>
      <c r="O46" s="102">
        <f t="shared" si="2"/>
        <v>41875.558593083406</v>
      </c>
      <c r="P46" s="102">
        <f t="shared" si="3"/>
        <v>19228939.154970787</v>
      </c>
    </row>
    <row r="47" spans="1:16" x14ac:dyDescent="0.25">
      <c r="A47" s="4"/>
      <c r="B47" s="32"/>
      <c r="C47" s="32"/>
      <c r="D47" s="32"/>
      <c r="E47" s="74"/>
      <c r="F47" s="32"/>
      <c r="G47" s="32"/>
      <c r="H47" s="32"/>
      <c r="I47" s="32"/>
      <c r="J47" s="32"/>
      <c r="K47" s="32"/>
      <c r="L47" s="82">
        <v>27</v>
      </c>
      <c r="M47" s="101">
        <f t="shared" si="0"/>
        <v>620000</v>
      </c>
      <c r="N47" s="102">
        <f t="shared" si="1"/>
        <v>576868.17464912415</v>
      </c>
      <c r="O47" s="102">
        <f t="shared" si="2"/>
        <v>43131.82535087585</v>
      </c>
      <c r="P47" s="102">
        <f t="shared" si="3"/>
        <v>19185807.329619911</v>
      </c>
    </row>
    <row r="48" spans="1:16" x14ac:dyDescent="0.25">
      <c r="A48" s="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82">
        <v>28</v>
      </c>
      <c r="M48" s="101">
        <f t="shared" si="0"/>
        <v>620000</v>
      </c>
      <c r="N48" s="102">
        <f t="shared" si="1"/>
        <v>575574.21988859784</v>
      </c>
      <c r="O48" s="102">
        <f t="shared" si="2"/>
        <v>44425.780111402157</v>
      </c>
      <c r="P48" s="102">
        <f t="shared" si="3"/>
        <v>19141381.549508508</v>
      </c>
    </row>
    <row r="49" spans="1:16" x14ac:dyDescent="0.25">
      <c r="A49" s="4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82">
        <v>29</v>
      </c>
      <c r="M49" s="101">
        <f t="shared" si="0"/>
        <v>620000</v>
      </c>
      <c r="N49" s="102">
        <f t="shared" si="1"/>
        <v>574241.44648525573</v>
      </c>
      <c r="O49" s="102">
        <f t="shared" si="2"/>
        <v>45758.553514744272</v>
      </c>
      <c r="P49" s="102">
        <f t="shared" si="3"/>
        <v>19095622.995993763</v>
      </c>
    </row>
    <row r="50" spans="1:16" x14ac:dyDescent="0.25">
      <c r="A50" s="4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82">
        <v>30</v>
      </c>
      <c r="M50" s="101">
        <f t="shared" si="0"/>
        <v>620000</v>
      </c>
      <c r="N50" s="102">
        <f t="shared" si="1"/>
        <v>572868.68987981335</v>
      </c>
      <c r="O50" s="102">
        <f t="shared" si="2"/>
        <v>47131.310120186652</v>
      </c>
      <c r="P50" s="102">
        <f t="shared" si="3"/>
        <v>19048491.685873576</v>
      </c>
    </row>
    <row r="51" spans="1:16" x14ac:dyDescent="0.25">
      <c r="A51" s="4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82">
        <v>31</v>
      </c>
      <c r="M51" s="101">
        <f t="shared" si="0"/>
        <v>620000</v>
      </c>
      <c r="N51" s="102">
        <f t="shared" si="1"/>
        <v>571454.75057620776</v>
      </c>
      <c r="O51" s="102">
        <f t="shared" si="2"/>
        <v>48545.249423792236</v>
      </c>
      <c r="P51" s="102">
        <f t="shared" si="3"/>
        <v>18999946.436449785</v>
      </c>
    </row>
    <row r="52" spans="1:16" x14ac:dyDescent="0.25">
      <c r="A52" s="4"/>
      <c r="B52" s="73"/>
      <c r="C52" s="73"/>
      <c r="D52" s="32"/>
      <c r="E52" s="32"/>
      <c r="F52" s="32"/>
      <c r="G52" s="32"/>
      <c r="H52" s="32"/>
      <c r="I52" s="32"/>
      <c r="J52" s="32"/>
      <c r="K52" s="32"/>
      <c r="L52" s="82">
        <v>32</v>
      </c>
      <c r="M52" s="101">
        <f t="shared" si="0"/>
        <v>620000</v>
      </c>
      <c r="N52" s="102">
        <f t="shared" si="1"/>
        <v>569998.393093494</v>
      </c>
      <c r="O52" s="102">
        <f t="shared" si="2"/>
        <v>50001.606906506</v>
      </c>
      <c r="P52" s="102">
        <f t="shared" si="3"/>
        <v>18949944.829543278</v>
      </c>
    </row>
    <row r="53" spans="1:16" x14ac:dyDescent="0.25">
      <c r="A53" s="4"/>
      <c r="B53" s="34"/>
      <c r="C53" s="32"/>
      <c r="D53" s="35"/>
      <c r="E53" s="32"/>
      <c r="F53" s="32"/>
      <c r="G53" s="32"/>
      <c r="H53" s="35"/>
      <c r="I53" s="32"/>
      <c r="J53" s="32"/>
      <c r="K53" s="32"/>
      <c r="L53" s="82">
        <v>33</v>
      </c>
      <c r="M53" s="101">
        <f t="shared" si="0"/>
        <v>620000</v>
      </c>
      <c r="N53" s="102">
        <f t="shared" si="1"/>
        <v>568498.34488629887</v>
      </c>
      <c r="O53" s="102">
        <f t="shared" si="2"/>
        <v>51501.655113701127</v>
      </c>
      <c r="P53" s="102">
        <f t="shared" si="3"/>
        <v>18898443.174429577</v>
      </c>
    </row>
    <row r="54" spans="1:16" x14ac:dyDescent="0.25">
      <c r="A54" s="4"/>
      <c r="B54" s="35"/>
      <c r="C54" s="35"/>
      <c r="D54" s="35"/>
      <c r="E54" s="35"/>
      <c r="F54" s="35"/>
      <c r="G54" s="35"/>
      <c r="H54" s="35"/>
      <c r="I54" s="35"/>
      <c r="J54" s="35"/>
      <c r="K54" s="32"/>
      <c r="L54" s="82">
        <v>34</v>
      </c>
      <c r="M54" s="101">
        <f t="shared" si="0"/>
        <v>620000</v>
      </c>
      <c r="N54" s="102">
        <f t="shared" si="1"/>
        <v>566953.29523288785</v>
      </c>
      <c r="O54" s="102">
        <f t="shared" si="2"/>
        <v>53046.704767112155</v>
      </c>
      <c r="P54" s="102">
        <f t="shared" si="3"/>
        <v>18845396.469662465</v>
      </c>
    </row>
    <row r="55" spans="1:16" x14ac:dyDescent="0.25">
      <c r="A55" s="4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82">
        <v>35</v>
      </c>
      <c r="M55" s="101">
        <f t="shared" si="0"/>
        <v>620000</v>
      </c>
      <c r="N55" s="102">
        <f t="shared" si="1"/>
        <v>565361.89408987446</v>
      </c>
      <c r="O55" s="102">
        <f t="shared" si="2"/>
        <v>54638.105910125538</v>
      </c>
      <c r="P55" s="102">
        <f t="shared" si="3"/>
        <v>18790758.363752339</v>
      </c>
    </row>
    <row r="56" spans="1:16" x14ac:dyDescent="0.25">
      <c r="B56" s="19"/>
      <c r="C56" s="19"/>
      <c r="D56" s="24"/>
      <c r="E56" s="19"/>
      <c r="F56" s="19"/>
      <c r="G56" s="19"/>
      <c r="H56" s="19"/>
      <c r="I56" s="19"/>
      <c r="J56" s="24"/>
      <c r="K56" s="19"/>
      <c r="L56" s="82">
        <v>36</v>
      </c>
      <c r="M56" s="101">
        <f t="shared" si="0"/>
        <v>620000</v>
      </c>
      <c r="N56" s="102">
        <f t="shared" si="1"/>
        <v>563722.75091257063</v>
      </c>
      <c r="O56" s="102">
        <f t="shared" si="2"/>
        <v>56277.249087429373</v>
      </c>
      <c r="P56" s="102">
        <f t="shared" si="3"/>
        <v>18734481.114664908</v>
      </c>
    </row>
    <row r="57" spans="1:16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82">
        <v>37</v>
      </c>
      <c r="M57" s="101">
        <f t="shared" si="0"/>
        <v>620000</v>
      </c>
      <c r="N57" s="102">
        <f t="shared" si="1"/>
        <v>562034.43343994778</v>
      </c>
      <c r="O57" s="102">
        <f t="shared" si="2"/>
        <v>57965.566560052219</v>
      </c>
      <c r="P57" s="102">
        <f t="shared" si="3"/>
        <v>18676515.548104856</v>
      </c>
    </row>
    <row r="58" spans="1:16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82">
        <v>38</v>
      </c>
      <c r="M58" s="101">
        <f t="shared" si="0"/>
        <v>620000</v>
      </c>
      <c r="N58" s="102">
        <f t="shared" si="1"/>
        <v>560295.46644314623</v>
      </c>
      <c r="O58" s="102">
        <f t="shared" si="2"/>
        <v>59704.53355685377</v>
      </c>
      <c r="P58" s="102">
        <f t="shared" si="3"/>
        <v>18616811.014548004</v>
      </c>
    </row>
    <row r="59" spans="1:16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82">
        <v>39</v>
      </c>
      <c r="M59" s="101">
        <f t="shared" si="0"/>
        <v>620000</v>
      </c>
      <c r="N59" s="102">
        <f t="shared" si="1"/>
        <v>558504.33043644065</v>
      </c>
      <c r="O59" s="102">
        <f t="shared" si="2"/>
        <v>61495.66956355935</v>
      </c>
      <c r="P59" s="102">
        <f t="shared" si="3"/>
        <v>18555315.344984446</v>
      </c>
    </row>
    <row r="60" spans="1:16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82">
        <v>40</v>
      </c>
      <c r="M60" s="101">
        <f t="shared" si="0"/>
        <v>620000</v>
      </c>
      <c r="N60" s="102">
        <f t="shared" si="1"/>
        <v>556659.46034953382</v>
      </c>
      <c r="O60" s="102">
        <f t="shared" si="2"/>
        <v>63340.539650466177</v>
      </c>
      <c r="P60" s="102">
        <f t="shared" si="3"/>
        <v>18491974.805333979</v>
      </c>
    </row>
    <row r="61" spans="1:16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82">
        <v>41</v>
      </c>
      <c r="M61" s="101">
        <f t="shared" si="0"/>
        <v>620000</v>
      </c>
      <c r="N61" s="102">
        <f t="shared" si="1"/>
        <v>554759.24416001991</v>
      </c>
      <c r="O61" s="102">
        <f t="shared" si="2"/>
        <v>65240.755839980091</v>
      </c>
      <c r="P61" s="102">
        <f t="shared" si="3"/>
        <v>18426734.049493998</v>
      </c>
    </row>
    <row r="62" spans="1:16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82">
        <v>42</v>
      </c>
      <c r="M62" s="101">
        <f t="shared" si="0"/>
        <v>620000</v>
      </c>
      <c r="N62" s="102">
        <f t="shared" si="1"/>
        <v>552802.02148482041</v>
      </c>
      <c r="O62" s="102">
        <f t="shared" si="2"/>
        <v>67197.978515179595</v>
      </c>
      <c r="P62" s="102">
        <f t="shared" si="3"/>
        <v>18359536.07097882</v>
      </c>
    </row>
    <row r="63" spans="1:16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82">
        <v>43</v>
      </c>
      <c r="M63" s="101">
        <f t="shared" si="0"/>
        <v>620000</v>
      </c>
      <c r="N63" s="102">
        <f t="shared" si="1"/>
        <v>550786.08212936507</v>
      </c>
      <c r="O63" s="102">
        <f t="shared" si="2"/>
        <v>69213.917870634934</v>
      </c>
      <c r="P63" s="102">
        <f t="shared" si="3"/>
        <v>18290322.153108187</v>
      </c>
    </row>
    <row r="64" spans="1:16" x14ac:dyDescent="0.25">
      <c r="L64" s="82">
        <v>44</v>
      </c>
      <c r="M64" s="101">
        <f t="shared" si="0"/>
        <v>620000</v>
      </c>
      <c r="N64" s="102">
        <f t="shared" si="1"/>
        <v>548709.66459324607</v>
      </c>
      <c r="O64" s="102">
        <f t="shared" si="2"/>
        <v>71290.335406753933</v>
      </c>
      <c r="P64" s="102">
        <f t="shared" si="3"/>
        <v>18219031.817701433</v>
      </c>
    </row>
    <row r="65" spans="12:16" x14ac:dyDescent="0.25">
      <c r="L65" s="82">
        <v>45</v>
      </c>
      <c r="M65" s="101">
        <f t="shared" si="0"/>
        <v>620000</v>
      </c>
      <c r="N65" s="102">
        <f t="shared" si="1"/>
        <v>546570.95453104342</v>
      </c>
      <c r="O65" s="102">
        <f t="shared" si="2"/>
        <v>73429.045468956581</v>
      </c>
      <c r="P65" s="102">
        <f t="shared" si="3"/>
        <v>18145602.772232477</v>
      </c>
    </row>
    <row r="66" spans="12:16" x14ac:dyDescent="0.25">
      <c r="L66" s="82">
        <v>46</v>
      </c>
      <c r="M66" s="101">
        <f t="shared" si="0"/>
        <v>620000</v>
      </c>
      <c r="N66" s="102">
        <f t="shared" si="1"/>
        <v>544368.08316697483</v>
      </c>
      <c r="O66" s="102">
        <f t="shared" si="2"/>
        <v>75631.91683302517</v>
      </c>
      <c r="P66" s="102">
        <f t="shared" si="3"/>
        <v>18069970.855399452</v>
      </c>
    </row>
    <row r="67" spans="12:16" x14ac:dyDescent="0.25">
      <c r="L67" s="82">
        <v>47</v>
      </c>
      <c r="M67" s="101">
        <f t="shared" si="0"/>
        <v>620000</v>
      </c>
      <c r="N67" s="102">
        <f t="shared" si="1"/>
        <v>542099.12566198409</v>
      </c>
      <c r="O67" s="102">
        <f t="shared" si="2"/>
        <v>77900.874338015914</v>
      </c>
      <c r="P67" s="102">
        <f t="shared" si="3"/>
        <v>17992069.981061436</v>
      </c>
    </row>
    <row r="68" spans="12:16" x14ac:dyDescent="0.25">
      <c r="L68" s="82">
        <v>48</v>
      </c>
      <c r="M68" s="101">
        <f t="shared" si="0"/>
        <v>620000</v>
      </c>
      <c r="N68" s="102">
        <f t="shared" si="1"/>
        <v>539762.09943184361</v>
      </c>
      <c r="O68" s="102">
        <f t="shared" si="2"/>
        <v>80237.900568156387</v>
      </c>
      <c r="P68" s="102">
        <f t="shared" si="3"/>
        <v>17911832.080493279</v>
      </c>
    </row>
    <row r="69" spans="12:16" x14ac:dyDescent="0.25">
      <c r="L69" s="82">
        <v>49</v>
      </c>
      <c r="M69" s="101">
        <f t="shared" si="0"/>
        <v>620000</v>
      </c>
      <c r="N69" s="102">
        <f t="shared" si="1"/>
        <v>537354.96241479879</v>
      </c>
      <c r="O69" s="102">
        <f t="shared" si="2"/>
        <v>82645.037585201208</v>
      </c>
      <c r="P69" s="102">
        <f t="shared" si="3"/>
        <v>17829187.042908076</v>
      </c>
    </row>
    <row r="70" spans="12:16" x14ac:dyDescent="0.25">
      <c r="L70" s="82">
        <v>50</v>
      </c>
      <c r="M70" s="101">
        <f t="shared" si="0"/>
        <v>620000</v>
      </c>
      <c r="N70" s="102">
        <f t="shared" si="1"/>
        <v>534875.61128724273</v>
      </c>
      <c r="O70" s="102">
        <f t="shared" si="2"/>
        <v>85124.388712757267</v>
      </c>
      <c r="P70" s="102">
        <f t="shared" si="3"/>
        <v>17744062.65419532</v>
      </c>
    </row>
    <row r="71" spans="12:16" x14ac:dyDescent="0.25">
      <c r="L71" s="82">
        <v>51</v>
      </c>
      <c r="M71" s="101">
        <f t="shared" si="0"/>
        <v>620000</v>
      </c>
      <c r="N71" s="102">
        <f t="shared" si="1"/>
        <v>532321.87962586002</v>
      </c>
      <c r="O71" s="102">
        <f t="shared" si="2"/>
        <v>87678.12037413998</v>
      </c>
      <c r="P71" s="102">
        <f t="shared" si="3"/>
        <v>17656384.53382118</v>
      </c>
    </row>
    <row r="72" spans="12:16" x14ac:dyDescent="0.25">
      <c r="L72" s="82">
        <v>52</v>
      </c>
      <c r="M72" s="101">
        <f t="shared" si="0"/>
        <v>620000</v>
      </c>
      <c r="N72" s="102">
        <f t="shared" si="1"/>
        <v>529691.53601463593</v>
      </c>
      <c r="O72" s="102">
        <f t="shared" si="2"/>
        <v>90308.463985364069</v>
      </c>
      <c r="P72" s="102">
        <f t="shared" si="3"/>
        <v>17566076.069835816</v>
      </c>
    </row>
    <row r="73" spans="12:16" x14ac:dyDescent="0.25">
      <c r="L73" s="82">
        <v>53</v>
      </c>
      <c r="M73" s="101">
        <f t="shared" si="0"/>
        <v>620000</v>
      </c>
      <c r="N73" s="102">
        <f t="shared" si="1"/>
        <v>526982.28209507489</v>
      </c>
      <c r="O73" s="102">
        <f t="shared" si="2"/>
        <v>93017.717904925114</v>
      </c>
      <c r="P73" s="102">
        <f t="shared" si="3"/>
        <v>17473058.35193089</v>
      </c>
    </row>
    <row r="74" spans="12:16" x14ac:dyDescent="0.25">
      <c r="L74" s="82">
        <v>54</v>
      </c>
      <c r="M74" s="101">
        <f t="shared" si="0"/>
        <v>620000</v>
      </c>
      <c r="N74" s="102">
        <f t="shared" si="1"/>
        <v>524191.75055792718</v>
      </c>
      <c r="O74" s="102">
        <f t="shared" si="2"/>
        <v>95808.249442072818</v>
      </c>
      <c r="P74" s="102">
        <f t="shared" si="3"/>
        <v>17377250.102488816</v>
      </c>
    </row>
    <row r="75" spans="12:16" x14ac:dyDescent="0.25">
      <c r="L75" s="82">
        <v>55</v>
      </c>
      <c r="M75" s="101">
        <f t="shared" si="0"/>
        <v>620000</v>
      </c>
      <c r="N75" s="102">
        <f t="shared" si="1"/>
        <v>521317.50307466491</v>
      </c>
      <c r="O75" s="102">
        <f t="shared" si="2"/>
        <v>98682.496925335086</v>
      </c>
      <c r="P75" s="102">
        <f t="shared" si="3"/>
        <v>17278567.60556348</v>
      </c>
    </row>
    <row r="76" spans="12:16" x14ac:dyDescent="0.25">
      <c r="L76" s="82">
        <v>56</v>
      </c>
      <c r="M76" s="101">
        <f t="shared" si="0"/>
        <v>620000</v>
      </c>
      <c r="N76" s="102">
        <f t="shared" si="1"/>
        <v>518357.02816690487</v>
      </c>
      <c r="O76" s="102">
        <f t="shared" si="2"/>
        <v>101642.97183309513</v>
      </c>
      <c r="P76" s="102">
        <f t="shared" si="3"/>
        <v>17176924.633730385</v>
      </c>
    </row>
    <row r="77" spans="12:16" x14ac:dyDescent="0.25">
      <c r="L77" s="82">
        <v>57</v>
      </c>
      <c r="M77" s="101">
        <f t="shared" si="0"/>
        <v>620000</v>
      </c>
      <c r="N77" s="102">
        <f t="shared" si="1"/>
        <v>515307.73901191202</v>
      </c>
      <c r="O77" s="102">
        <f t="shared" si="2"/>
        <v>104692.26098808798</v>
      </c>
      <c r="P77" s="102">
        <f t="shared" si="3"/>
        <v>17072232.372742299</v>
      </c>
    </row>
    <row r="78" spans="12:16" x14ac:dyDescent="0.25">
      <c r="L78" s="82">
        <v>58</v>
      </c>
      <c r="M78" s="101">
        <f t="shared" si="0"/>
        <v>620000</v>
      </c>
      <c r="N78" s="102">
        <f t="shared" si="1"/>
        <v>512166.97118226945</v>
      </c>
      <c r="O78" s="102">
        <f t="shared" si="2"/>
        <v>107833.02881773055</v>
      </c>
      <c r="P78" s="102">
        <f t="shared" si="3"/>
        <v>16964399.343924567</v>
      </c>
    </row>
    <row r="79" spans="12:16" x14ac:dyDescent="0.25">
      <c r="L79" s="82">
        <v>59</v>
      </c>
      <c r="M79" s="101">
        <f t="shared" si="0"/>
        <v>620000</v>
      </c>
      <c r="N79" s="102">
        <f t="shared" si="1"/>
        <v>508931.98031773744</v>
      </c>
      <c r="O79" s="102">
        <f t="shared" si="2"/>
        <v>111068.01968226256</v>
      </c>
      <c r="P79" s="102">
        <f t="shared" si="3"/>
        <v>16853331.324242305</v>
      </c>
    </row>
    <row r="80" spans="12:16" x14ac:dyDescent="0.25">
      <c r="L80" s="82">
        <v>60</v>
      </c>
      <c r="M80" s="101">
        <f t="shared" si="0"/>
        <v>620000</v>
      </c>
      <c r="N80" s="102">
        <f t="shared" si="1"/>
        <v>505599.93972726958</v>
      </c>
      <c r="O80" s="102">
        <f t="shared" si="2"/>
        <v>114400.06027273042</v>
      </c>
      <c r="P80" s="102">
        <f t="shared" si="3"/>
        <v>16738931.263969574</v>
      </c>
    </row>
    <row r="81" spans="12:16" x14ac:dyDescent="0.25">
      <c r="L81" s="82">
        <v>61</v>
      </c>
      <c r="M81" s="101">
        <f t="shared" si="0"/>
        <v>620000</v>
      </c>
      <c r="N81" s="102">
        <f t="shared" si="1"/>
        <v>502167.93791908765</v>
      </c>
      <c r="O81" s="102">
        <f t="shared" si="2"/>
        <v>117832.06208091235</v>
      </c>
      <c r="P81" s="102">
        <f t="shared" si="3"/>
        <v>16621099.201888662</v>
      </c>
    </row>
    <row r="82" spans="12:16" x14ac:dyDescent="0.25">
      <c r="L82" s="82">
        <v>62</v>
      </c>
      <c r="M82" s="101">
        <f t="shared" si="0"/>
        <v>620000</v>
      </c>
      <c r="N82" s="102">
        <f t="shared" si="1"/>
        <v>498632.97605666029</v>
      </c>
      <c r="O82" s="102">
        <f t="shared" si="2"/>
        <v>121367.02394333971</v>
      </c>
      <c r="P82" s="102">
        <f t="shared" si="3"/>
        <v>16499732.177945321</v>
      </c>
    </row>
    <row r="83" spans="12:16" x14ac:dyDescent="0.25">
      <c r="L83" s="82">
        <v>63</v>
      </c>
      <c r="M83" s="101">
        <f t="shared" si="0"/>
        <v>620000</v>
      </c>
      <c r="N83" s="102">
        <f t="shared" si="1"/>
        <v>494991.96533836011</v>
      </c>
      <c r="O83" s="102">
        <f t="shared" si="2"/>
        <v>125008.03466163989</v>
      </c>
      <c r="P83" s="102">
        <f t="shared" si="3"/>
        <v>16374724.143283682</v>
      </c>
    </row>
    <row r="84" spans="12:16" x14ac:dyDescent="0.25">
      <c r="L84" s="82">
        <v>64</v>
      </c>
      <c r="M84" s="101">
        <f t="shared" si="0"/>
        <v>620000</v>
      </c>
      <c r="N84" s="102">
        <f t="shared" si="1"/>
        <v>491241.72429851088</v>
      </c>
      <c r="O84" s="102">
        <f t="shared" si="2"/>
        <v>128758.27570148912</v>
      </c>
      <c r="P84" s="102">
        <f t="shared" si="3"/>
        <v>16245965.867582193</v>
      </c>
    </row>
    <row r="85" spans="12:16" x14ac:dyDescent="0.25">
      <c r="L85" s="82">
        <v>65</v>
      </c>
      <c r="M85" s="101">
        <f t="shared" si="0"/>
        <v>620000</v>
      </c>
      <c r="N85" s="102">
        <f t="shared" si="1"/>
        <v>487378.97602746624</v>
      </c>
      <c r="O85" s="102">
        <f t="shared" si="2"/>
        <v>132621.02397253376</v>
      </c>
      <c r="P85" s="102">
        <f t="shared" si="3"/>
        <v>16113344.843609659</v>
      </c>
    </row>
    <row r="86" spans="12:16" x14ac:dyDescent="0.25">
      <c r="L86" s="82">
        <v>66</v>
      </c>
      <c r="M86" s="101">
        <f t="shared" ref="M86:M136" si="4">$K$3</f>
        <v>620000</v>
      </c>
      <c r="N86" s="102">
        <f t="shared" si="1"/>
        <v>483400.34530829021</v>
      </c>
      <c r="O86" s="102">
        <f t="shared" si="2"/>
        <v>136599.65469170979</v>
      </c>
      <c r="P86" s="102">
        <f t="shared" si="3"/>
        <v>15976745.18891795</v>
      </c>
    </row>
    <row r="87" spans="12:16" x14ac:dyDescent="0.25">
      <c r="L87" s="82">
        <v>67</v>
      </c>
      <c r="M87" s="101">
        <f t="shared" si="4"/>
        <v>620000</v>
      </c>
      <c r="N87" s="102">
        <f t="shared" ref="N87:N136" si="5">P86*$N$4</f>
        <v>479302.35566753894</v>
      </c>
      <c r="O87" s="102">
        <f t="shared" ref="O87:O136" si="6">M87-N87</f>
        <v>140697.64433246106</v>
      </c>
      <c r="P87" s="102">
        <f t="shared" ref="P87:P136" si="7">P86-O87</f>
        <v>15836047.544585489</v>
      </c>
    </row>
    <row r="88" spans="12:16" x14ac:dyDescent="0.25">
      <c r="L88" s="82">
        <v>68</v>
      </c>
      <c r="M88" s="101">
        <f t="shared" si="4"/>
        <v>620000</v>
      </c>
      <c r="N88" s="102">
        <f t="shared" si="5"/>
        <v>475081.42633756506</v>
      </c>
      <c r="O88" s="102">
        <f t="shared" si="6"/>
        <v>144918.57366243494</v>
      </c>
      <c r="P88" s="102">
        <f t="shared" si="7"/>
        <v>15691128.970923053</v>
      </c>
    </row>
    <row r="89" spans="12:16" x14ac:dyDescent="0.25">
      <c r="L89" s="82">
        <v>69</v>
      </c>
      <c r="M89" s="101">
        <f t="shared" si="4"/>
        <v>620000</v>
      </c>
      <c r="N89" s="102">
        <f t="shared" si="5"/>
        <v>470733.86912769201</v>
      </c>
      <c r="O89" s="102">
        <f t="shared" si="6"/>
        <v>149266.13087230799</v>
      </c>
      <c r="P89" s="102">
        <f t="shared" si="7"/>
        <v>15541862.840050746</v>
      </c>
    </row>
    <row r="90" spans="12:16" x14ac:dyDescent="0.25">
      <c r="L90" s="82">
        <v>70</v>
      </c>
      <c r="M90" s="101">
        <f t="shared" si="4"/>
        <v>620000</v>
      </c>
      <c r="N90" s="102">
        <f t="shared" si="5"/>
        <v>466255.88520152279</v>
      </c>
      <c r="O90" s="102">
        <f t="shared" si="6"/>
        <v>153744.11479847721</v>
      </c>
      <c r="P90" s="102">
        <f t="shared" si="7"/>
        <v>15388118.725252269</v>
      </c>
    </row>
    <row r="91" spans="12:16" x14ac:dyDescent="0.25">
      <c r="L91" s="82">
        <v>71</v>
      </c>
      <c r="M91" s="101">
        <f t="shared" si="4"/>
        <v>620000</v>
      </c>
      <c r="N91" s="102">
        <f t="shared" si="5"/>
        <v>461643.5617575685</v>
      </c>
      <c r="O91" s="102">
        <f t="shared" si="6"/>
        <v>158356.4382424315</v>
      </c>
      <c r="P91" s="102">
        <f t="shared" si="7"/>
        <v>15229762.287009837</v>
      </c>
    </row>
    <row r="92" spans="12:16" x14ac:dyDescent="0.25">
      <c r="L92" s="82">
        <v>72</v>
      </c>
      <c r="M92" s="101">
        <f t="shared" si="4"/>
        <v>620000</v>
      </c>
      <c r="N92" s="102">
        <f t="shared" si="5"/>
        <v>456892.86861029553</v>
      </c>
      <c r="O92" s="102">
        <f t="shared" si="6"/>
        <v>163107.13138970447</v>
      </c>
      <c r="P92" s="102">
        <f t="shared" si="7"/>
        <v>15066655.155620134</v>
      </c>
    </row>
    <row r="93" spans="12:16" x14ac:dyDescent="0.25">
      <c r="L93" s="82">
        <v>73</v>
      </c>
      <c r="M93" s="101">
        <f t="shared" si="4"/>
        <v>620000</v>
      </c>
      <c r="N93" s="102">
        <f t="shared" si="5"/>
        <v>451999.65466860443</v>
      </c>
      <c r="O93" s="102">
        <f t="shared" si="6"/>
        <v>168000.34533139557</v>
      </c>
      <c r="P93" s="102">
        <f t="shared" si="7"/>
        <v>14898654.810288738</v>
      </c>
    </row>
    <row r="94" spans="12:16" x14ac:dyDescent="0.25">
      <c r="L94" s="82">
        <v>74</v>
      </c>
      <c r="M94" s="101">
        <f t="shared" si="4"/>
        <v>620000</v>
      </c>
      <c r="N94" s="102">
        <f t="shared" si="5"/>
        <v>446959.64430866257</v>
      </c>
      <c r="O94" s="102">
        <f t="shared" si="6"/>
        <v>173040.35569133743</v>
      </c>
      <c r="P94" s="102">
        <f t="shared" si="7"/>
        <v>14725614.454597401</v>
      </c>
    </row>
    <row r="95" spans="12:16" x14ac:dyDescent="0.25">
      <c r="L95" s="82">
        <v>75</v>
      </c>
      <c r="M95" s="101">
        <f t="shared" si="4"/>
        <v>620000</v>
      </c>
      <c r="N95" s="102">
        <f t="shared" si="5"/>
        <v>441768.4336379224</v>
      </c>
      <c r="O95" s="102">
        <f t="shared" si="6"/>
        <v>178231.5663620776</v>
      </c>
      <c r="P95" s="102">
        <f t="shared" si="7"/>
        <v>14547382.888235323</v>
      </c>
    </row>
    <row r="96" spans="12:16" x14ac:dyDescent="0.25">
      <c r="L96" s="82">
        <v>76</v>
      </c>
      <c r="M96" s="101">
        <f t="shared" si="4"/>
        <v>620000</v>
      </c>
      <c r="N96" s="102">
        <f t="shared" si="5"/>
        <v>436421.48664706008</v>
      </c>
      <c r="O96" s="102">
        <f t="shared" si="6"/>
        <v>183578.51335293992</v>
      </c>
      <c r="P96" s="102">
        <f t="shared" si="7"/>
        <v>14363804.374882383</v>
      </c>
    </row>
    <row r="97" spans="12:16" x14ac:dyDescent="0.25">
      <c r="L97" s="82">
        <v>77</v>
      </c>
      <c r="M97" s="101">
        <f t="shared" si="4"/>
        <v>620000</v>
      </c>
      <c r="N97" s="102">
        <f t="shared" si="5"/>
        <v>430914.13124647189</v>
      </c>
      <c r="O97" s="102">
        <f t="shared" si="6"/>
        <v>189085.86875352811</v>
      </c>
      <c r="P97" s="102">
        <f t="shared" si="7"/>
        <v>14174718.506128855</v>
      </c>
    </row>
    <row r="98" spans="12:16" x14ac:dyDescent="0.25">
      <c r="L98" s="82">
        <v>78</v>
      </c>
      <c r="M98" s="101">
        <f t="shared" si="4"/>
        <v>620000</v>
      </c>
      <c r="N98" s="102">
        <f t="shared" si="5"/>
        <v>425241.555183866</v>
      </c>
      <c r="O98" s="102">
        <f t="shared" si="6"/>
        <v>194758.444816134</v>
      </c>
      <c r="P98" s="102">
        <f t="shared" si="7"/>
        <v>13979960.06131272</v>
      </c>
    </row>
    <row r="99" spans="12:16" x14ac:dyDescent="0.25">
      <c r="L99" s="82">
        <v>79</v>
      </c>
      <c r="M99" s="101">
        <f t="shared" si="4"/>
        <v>620000</v>
      </c>
      <c r="N99" s="102">
        <f t="shared" si="5"/>
        <v>419398.80183938198</v>
      </c>
      <c r="O99" s="102">
        <f t="shared" si="6"/>
        <v>200601.19816061802</v>
      </c>
      <c r="P99" s="102">
        <f t="shared" si="7"/>
        <v>13779358.863152102</v>
      </c>
    </row>
    <row r="100" spans="12:16" x14ac:dyDescent="0.25">
      <c r="L100" s="82">
        <v>80</v>
      </c>
      <c r="M100" s="101">
        <f t="shared" si="4"/>
        <v>620000</v>
      </c>
      <c r="N100" s="102">
        <f t="shared" si="5"/>
        <v>413380.7658945634</v>
      </c>
      <c r="O100" s="102">
        <f t="shared" si="6"/>
        <v>206619.2341054366</v>
      </c>
      <c r="P100" s="102">
        <f t="shared" si="7"/>
        <v>13572739.629046666</v>
      </c>
    </row>
    <row r="101" spans="12:16" x14ac:dyDescent="0.25">
      <c r="L101" s="82">
        <v>81</v>
      </c>
      <c r="M101" s="101">
        <f t="shared" si="4"/>
        <v>620000</v>
      </c>
      <c r="N101" s="102">
        <f t="shared" si="5"/>
        <v>407182.18887140031</v>
      </c>
      <c r="O101" s="102">
        <f t="shared" si="6"/>
        <v>212817.81112859969</v>
      </c>
      <c r="P101" s="102">
        <f t="shared" si="7"/>
        <v>13359921.817918066</v>
      </c>
    </row>
    <row r="102" spans="12:16" x14ac:dyDescent="0.25">
      <c r="L102" s="82">
        <v>82</v>
      </c>
      <c r="M102" s="101">
        <f t="shared" si="4"/>
        <v>620000</v>
      </c>
      <c r="N102" s="102">
        <f t="shared" si="5"/>
        <v>400797.65453754232</v>
      </c>
      <c r="O102" s="102">
        <f t="shared" si="6"/>
        <v>219202.34546245768</v>
      </c>
      <c r="P102" s="102">
        <f t="shared" si="7"/>
        <v>13140719.472455608</v>
      </c>
    </row>
    <row r="103" spans="12:16" x14ac:dyDescent="0.25">
      <c r="L103" s="82">
        <v>83</v>
      </c>
      <c r="M103" s="101">
        <f t="shared" si="4"/>
        <v>620000</v>
      </c>
      <c r="N103" s="102">
        <f t="shared" si="5"/>
        <v>394221.58417366858</v>
      </c>
      <c r="O103" s="102">
        <f t="shared" si="6"/>
        <v>225778.41582633142</v>
      </c>
      <c r="P103" s="102">
        <f t="shared" si="7"/>
        <v>12914941.056629276</v>
      </c>
    </row>
    <row r="104" spans="12:16" x14ac:dyDescent="0.25">
      <c r="L104" s="82">
        <v>84</v>
      </c>
      <c r="M104" s="101">
        <f t="shared" si="4"/>
        <v>620000</v>
      </c>
      <c r="N104" s="102">
        <f t="shared" si="5"/>
        <v>387448.23169887863</v>
      </c>
      <c r="O104" s="102">
        <f t="shared" si="6"/>
        <v>232551.76830112137</v>
      </c>
      <c r="P104" s="102">
        <f t="shared" si="7"/>
        <v>12682389.288328154</v>
      </c>
    </row>
    <row r="105" spans="12:16" x14ac:dyDescent="0.25">
      <c r="L105" s="82">
        <v>85</v>
      </c>
      <c r="M105" s="101">
        <f t="shared" si="4"/>
        <v>620000</v>
      </c>
      <c r="N105" s="102">
        <f t="shared" si="5"/>
        <v>380471.67864984495</v>
      </c>
      <c r="O105" s="102">
        <f t="shared" si="6"/>
        <v>239528.32135015505</v>
      </c>
      <c r="P105" s="102">
        <f t="shared" si="7"/>
        <v>12442860.966977999</v>
      </c>
    </row>
    <row r="106" spans="12:16" x14ac:dyDescent="0.25">
      <c r="L106" s="82">
        <v>86</v>
      </c>
      <c r="M106" s="101">
        <f t="shared" si="4"/>
        <v>620000</v>
      </c>
      <c r="N106" s="102">
        <f t="shared" si="5"/>
        <v>373285.82900934026</v>
      </c>
      <c r="O106" s="102">
        <f t="shared" si="6"/>
        <v>246714.17099065974</v>
      </c>
      <c r="P106" s="102">
        <f t="shared" si="7"/>
        <v>12196146.79598734</v>
      </c>
    </row>
    <row r="107" spans="12:16" x14ac:dyDescent="0.25">
      <c r="L107" s="82">
        <v>87</v>
      </c>
      <c r="M107" s="101">
        <f t="shared" si="4"/>
        <v>620000</v>
      </c>
      <c r="N107" s="102">
        <f t="shared" si="5"/>
        <v>365884.40387962054</v>
      </c>
      <c r="O107" s="102">
        <f t="shared" si="6"/>
        <v>254115.59612037946</v>
      </c>
      <c r="P107" s="102">
        <f t="shared" si="7"/>
        <v>11942031.19986696</v>
      </c>
    </row>
    <row r="108" spans="12:16" x14ac:dyDescent="0.25">
      <c r="L108" s="82">
        <v>88</v>
      </c>
      <c r="M108" s="101">
        <f t="shared" si="4"/>
        <v>620000</v>
      </c>
      <c r="N108" s="102">
        <f t="shared" si="5"/>
        <v>358260.9359960091</v>
      </c>
      <c r="O108" s="102">
        <f t="shared" si="6"/>
        <v>261739.0640039909</v>
      </c>
      <c r="P108" s="102">
        <f t="shared" si="7"/>
        <v>11680292.135862969</v>
      </c>
    </row>
    <row r="109" spans="12:16" x14ac:dyDescent="0.25">
      <c r="L109" s="82">
        <v>89</v>
      </c>
      <c r="M109" s="101">
        <f t="shared" si="4"/>
        <v>620000</v>
      </c>
      <c r="N109" s="102">
        <f t="shared" si="5"/>
        <v>350408.76407588937</v>
      </c>
      <c r="O109" s="102">
        <f t="shared" si="6"/>
        <v>269591.23592411063</v>
      </c>
      <c r="P109" s="102">
        <f t="shared" si="7"/>
        <v>11410700.899938859</v>
      </c>
    </row>
    <row r="110" spans="12:16" x14ac:dyDescent="0.25">
      <c r="L110" s="82">
        <v>90</v>
      </c>
      <c r="M110" s="101">
        <f t="shared" si="4"/>
        <v>620000</v>
      </c>
      <c r="N110" s="102">
        <f t="shared" si="5"/>
        <v>342321.02699816605</v>
      </c>
      <c r="O110" s="102">
        <f t="shared" si="6"/>
        <v>277678.97300183395</v>
      </c>
      <c r="P110" s="102">
        <f t="shared" si="7"/>
        <v>11133021.926937025</v>
      </c>
    </row>
    <row r="111" spans="12:16" x14ac:dyDescent="0.25">
      <c r="L111" s="82">
        <v>91</v>
      </c>
      <c r="M111" s="101">
        <f t="shared" si="4"/>
        <v>620000</v>
      </c>
      <c r="N111" s="102">
        <f t="shared" si="5"/>
        <v>333990.65780811105</v>
      </c>
      <c r="O111" s="102">
        <f t="shared" si="6"/>
        <v>286009.34219188895</v>
      </c>
      <c r="P111" s="102">
        <f t="shared" si="7"/>
        <v>10847012.584745135</v>
      </c>
    </row>
    <row r="112" spans="12:16" x14ac:dyDescent="0.25">
      <c r="L112" s="82">
        <v>92</v>
      </c>
      <c r="M112" s="101">
        <f t="shared" si="4"/>
        <v>620000</v>
      </c>
      <c r="N112" s="102">
        <f t="shared" si="5"/>
        <v>325410.37754235434</v>
      </c>
      <c r="O112" s="102">
        <f t="shared" si="6"/>
        <v>294589.62245764566</v>
      </c>
      <c r="P112" s="102">
        <f t="shared" si="7"/>
        <v>10552422.962287489</v>
      </c>
    </row>
    <row r="113" spans="12:16" x14ac:dyDescent="0.25">
      <c r="L113" s="82">
        <v>93</v>
      </c>
      <c r="M113" s="101">
        <f t="shared" si="4"/>
        <v>620000</v>
      </c>
      <c r="N113" s="102">
        <f t="shared" si="5"/>
        <v>316572.68886862497</v>
      </c>
      <c r="O113" s="102">
        <f t="shared" si="6"/>
        <v>303427.31113137503</v>
      </c>
      <c r="P113" s="102">
        <f t="shared" si="7"/>
        <v>10248995.651156114</v>
      </c>
    </row>
    <row r="114" spans="12:16" x14ac:dyDescent="0.25">
      <c r="L114" s="82">
        <v>94</v>
      </c>
      <c r="M114" s="101">
        <f t="shared" si="4"/>
        <v>620000</v>
      </c>
      <c r="N114" s="102">
        <f t="shared" si="5"/>
        <v>307469.8695346837</v>
      </c>
      <c r="O114" s="102">
        <f t="shared" si="6"/>
        <v>312530.1304653163</v>
      </c>
      <c r="P114" s="102">
        <f t="shared" si="7"/>
        <v>9936465.5206907988</v>
      </c>
    </row>
    <row r="115" spans="12:16" x14ac:dyDescent="0.25">
      <c r="L115" s="82">
        <v>95</v>
      </c>
      <c r="M115" s="101">
        <f t="shared" si="4"/>
        <v>620000</v>
      </c>
      <c r="N115" s="102">
        <f t="shared" si="5"/>
        <v>298093.96562072425</v>
      </c>
      <c r="O115" s="102">
        <f t="shared" si="6"/>
        <v>321906.03437927575</v>
      </c>
      <c r="P115" s="102">
        <f t="shared" si="7"/>
        <v>9614559.4863115232</v>
      </c>
    </row>
    <row r="116" spans="12:16" x14ac:dyDescent="0.25">
      <c r="L116" s="82">
        <v>96</v>
      </c>
      <c r="M116" s="101">
        <f t="shared" si="4"/>
        <v>620000</v>
      </c>
      <c r="N116" s="102">
        <f t="shared" si="5"/>
        <v>288436.78458934597</v>
      </c>
      <c r="O116" s="102">
        <f t="shared" si="6"/>
        <v>331563.21541065403</v>
      </c>
      <c r="P116" s="102">
        <f t="shared" si="7"/>
        <v>9282996.2709008697</v>
      </c>
    </row>
    <row r="117" spans="12:16" x14ac:dyDescent="0.25">
      <c r="L117" s="82">
        <v>97</v>
      </c>
      <c r="M117" s="101">
        <f t="shared" si="4"/>
        <v>620000</v>
      </c>
      <c r="N117" s="102">
        <f t="shared" si="5"/>
        <v>278489.88812702632</v>
      </c>
      <c r="O117" s="102">
        <f t="shared" si="6"/>
        <v>341510.11187297368</v>
      </c>
      <c r="P117" s="102">
        <f t="shared" si="7"/>
        <v>8941486.1590278968</v>
      </c>
    </row>
    <row r="118" spans="12:16" x14ac:dyDescent="0.25">
      <c r="L118" s="82">
        <v>98</v>
      </c>
      <c r="M118" s="101">
        <f t="shared" si="4"/>
        <v>620000</v>
      </c>
      <c r="N118" s="102">
        <f t="shared" si="5"/>
        <v>268244.58477083716</v>
      </c>
      <c r="O118" s="102">
        <f t="shared" si="6"/>
        <v>351755.41522916284</v>
      </c>
      <c r="P118" s="102">
        <f t="shared" si="7"/>
        <v>8589730.7437987346</v>
      </c>
    </row>
    <row r="119" spans="12:16" x14ac:dyDescent="0.25">
      <c r="L119" s="82">
        <v>99</v>
      </c>
      <c r="M119" s="101">
        <f t="shared" si="4"/>
        <v>620000</v>
      </c>
      <c r="N119" s="102">
        <f t="shared" si="5"/>
        <v>257691.92231396228</v>
      </c>
      <c r="O119" s="102">
        <f t="shared" si="6"/>
        <v>362308.07768603775</v>
      </c>
      <c r="P119" s="102">
        <f t="shared" si="7"/>
        <v>8227422.6661126968</v>
      </c>
    </row>
    <row r="120" spans="12:16" x14ac:dyDescent="0.25">
      <c r="L120" s="82">
        <v>100</v>
      </c>
      <c r="M120" s="101">
        <f t="shared" si="4"/>
        <v>620000</v>
      </c>
      <c r="N120" s="102">
        <f t="shared" si="5"/>
        <v>246822.67998338112</v>
      </c>
      <c r="O120" s="102">
        <f t="shared" si="6"/>
        <v>373177.32001661888</v>
      </c>
      <c r="P120" s="102">
        <f t="shared" si="7"/>
        <v>7854245.3460960779</v>
      </c>
    </row>
    <row r="121" spans="12:16" x14ac:dyDescent="0.25">
      <c r="L121" s="82">
        <v>101</v>
      </c>
      <c r="M121" s="101">
        <f t="shared" si="4"/>
        <v>620000</v>
      </c>
      <c r="N121" s="102">
        <f t="shared" si="5"/>
        <v>235627.36038288256</v>
      </c>
      <c r="O121" s="102">
        <f t="shared" si="6"/>
        <v>384372.63961711747</v>
      </c>
      <c r="P121" s="102">
        <f t="shared" si="7"/>
        <v>7469872.7064789608</v>
      </c>
    </row>
    <row r="122" spans="12:16" x14ac:dyDescent="0.25">
      <c r="L122" s="82">
        <v>102</v>
      </c>
      <c r="M122" s="101">
        <f t="shared" si="4"/>
        <v>620000</v>
      </c>
      <c r="N122" s="102">
        <f t="shared" si="5"/>
        <v>224096.18119436901</v>
      </c>
      <c r="O122" s="102">
        <f t="shared" si="6"/>
        <v>395903.81880563102</v>
      </c>
      <c r="P122" s="102">
        <f t="shared" si="7"/>
        <v>7073968.8876733296</v>
      </c>
    </row>
    <row r="123" spans="12:16" x14ac:dyDescent="0.25">
      <c r="L123" s="82">
        <v>103</v>
      </c>
      <c r="M123" s="101">
        <f t="shared" si="4"/>
        <v>620000</v>
      </c>
      <c r="N123" s="102">
        <f t="shared" si="5"/>
        <v>212219.06663020008</v>
      </c>
      <c r="O123" s="102">
        <f t="shared" si="6"/>
        <v>407780.93336979992</v>
      </c>
      <c r="P123" s="102">
        <f t="shared" si="7"/>
        <v>6666187.95430353</v>
      </c>
    </row>
    <row r="124" spans="12:16" x14ac:dyDescent="0.25">
      <c r="L124" s="82">
        <v>104</v>
      </c>
      <c r="M124" s="101">
        <f t="shared" si="4"/>
        <v>620000</v>
      </c>
      <c r="N124" s="102">
        <f t="shared" si="5"/>
        <v>199985.63862910608</v>
      </c>
      <c r="O124" s="102">
        <f t="shared" si="6"/>
        <v>420014.36137089389</v>
      </c>
      <c r="P124" s="102">
        <f t="shared" si="7"/>
        <v>6246173.5929326359</v>
      </c>
    </row>
    <row r="125" spans="12:16" x14ac:dyDescent="0.25">
      <c r="L125" s="82">
        <v>105</v>
      </c>
      <c r="M125" s="101">
        <f t="shared" si="4"/>
        <v>620000</v>
      </c>
      <c r="N125" s="102">
        <f t="shared" si="5"/>
        <v>187385.20778797925</v>
      </c>
      <c r="O125" s="102">
        <f t="shared" si="6"/>
        <v>432614.79221202072</v>
      </c>
      <c r="P125" s="102">
        <f t="shared" si="7"/>
        <v>5813558.8007206153</v>
      </c>
    </row>
    <row r="126" spans="12:16" x14ac:dyDescent="0.25">
      <c r="L126" s="82">
        <v>106</v>
      </c>
      <c r="M126" s="101">
        <f t="shared" si="4"/>
        <v>620000</v>
      </c>
      <c r="N126" s="102">
        <f t="shared" si="5"/>
        <v>174406.76402161861</v>
      </c>
      <c r="O126" s="102">
        <f t="shared" si="6"/>
        <v>445593.23597838136</v>
      </c>
      <c r="P126" s="102">
        <f t="shared" si="7"/>
        <v>5367965.5647422336</v>
      </c>
    </row>
    <row r="127" spans="12:16" x14ac:dyDescent="0.25">
      <c r="L127" s="82">
        <v>107</v>
      </c>
      <c r="M127" s="101">
        <f t="shared" si="4"/>
        <v>620000</v>
      </c>
      <c r="N127" s="102">
        <f t="shared" si="5"/>
        <v>161038.96694226714</v>
      </c>
      <c r="O127" s="102">
        <f t="shared" si="6"/>
        <v>458961.03305773286</v>
      </c>
      <c r="P127" s="102">
        <f t="shared" si="7"/>
        <v>4909004.5316845011</v>
      </c>
    </row>
    <row r="128" spans="12:16" x14ac:dyDescent="0.25">
      <c r="L128" s="82">
        <v>108</v>
      </c>
      <c r="M128" s="101">
        <f t="shared" si="4"/>
        <v>620000</v>
      </c>
      <c r="N128" s="102">
        <f t="shared" si="5"/>
        <v>147270.13595053516</v>
      </c>
      <c r="O128" s="102">
        <f t="shared" si="6"/>
        <v>472729.86404946481</v>
      </c>
      <c r="P128" s="102">
        <f t="shared" si="7"/>
        <v>4436274.6676350366</v>
      </c>
    </row>
    <row r="129" spans="12:16" x14ac:dyDescent="0.25">
      <c r="L129" s="82">
        <v>109</v>
      </c>
      <c r="M129" s="101">
        <f t="shared" si="4"/>
        <v>620000</v>
      </c>
      <c r="N129" s="102">
        <f t="shared" si="5"/>
        <v>133088.24002905123</v>
      </c>
      <c r="O129" s="102">
        <f t="shared" si="6"/>
        <v>486911.7599709488</v>
      </c>
      <c r="P129" s="102">
        <f t="shared" si="7"/>
        <v>3949362.9076640876</v>
      </c>
    </row>
    <row r="130" spans="12:16" x14ac:dyDescent="0.25">
      <c r="L130" s="82">
        <v>110</v>
      </c>
      <c r="M130" s="101">
        <f t="shared" si="4"/>
        <v>620000</v>
      </c>
      <c r="N130" s="102">
        <f t="shared" si="5"/>
        <v>118480.88722992274</v>
      </c>
      <c r="O130" s="102">
        <f t="shared" si="6"/>
        <v>501519.11277007725</v>
      </c>
      <c r="P130" s="102">
        <f t="shared" si="7"/>
        <v>3447843.7948940103</v>
      </c>
    </row>
    <row r="131" spans="12:16" x14ac:dyDescent="0.25">
      <c r="L131" s="82">
        <v>111</v>
      </c>
      <c r="M131" s="101">
        <f t="shared" si="4"/>
        <v>620000</v>
      </c>
      <c r="N131" s="102">
        <f t="shared" si="5"/>
        <v>103435.3138468204</v>
      </c>
      <c r="O131" s="102">
        <f t="shared" si="6"/>
        <v>516564.68615317962</v>
      </c>
      <c r="P131" s="102">
        <f t="shared" si="7"/>
        <v>2931279.1087408308</v>
      </c>
    </row>
    <row r="132" spans="12:16" x14ac:dyDescent="0.25">
      <c r="L132" s="82">
        <v>112</v>
      </c>
      <c r="M132" s="101">
        <f t="shared" si="4"/>
        <v>620000</v>
      </c>
      <c r="N132" s="102">
        <f t="shared" si="5"/>
        <v>87938.373262224995</v>
      </c>
      <c r="O132" s="102">
        <f t="shared" si="6"/>
        <v>532061.62673777505</v>
      </c>
      <c r="P132" s="102">
        <f t="shared" si="7"/>
        <v>2399217.4820030555</v>
      </c>
    </row>
    <row r="133" spans="12:16" x14ac:dyDescent="0.25">
      <c r="L133" s="82">
        <v>113</v>
      </c>
      <c r="M133" s="101">
        <f t="shared" si="4"/>
        <v>620000</v>
      </c>
      <c r="N133" s="102">
        <f t="shared" si="5"/>
        <v>71976.524460091736</v>
      </c>
      <c r="O133" s="102">
        <f t="shared" si="6"/>
        <v>548023.47553990828</v>
      </c>
      <c r="P133" s="102">
        <f t="shared" si="7"/>
        <v>1851194.0064631472</v>
      </c>
    </row>
    <row r="134" spans="12:16" x14ac:dyDescent="0.25">
      <c r="L134" s="82">
        <v>114</v>
      </c>
      <c r="M134" s="101">
        <f t="shared" si="4"/>
        <v>620000</v>
      </c>
      <c r="N134" s="102">
        <f t="shared" si="5"/>
        <v>55535.820193894469</v>
      </c>
      <c r="O134" s="102">
        <f t="shared" si="6"/>
        <v>564464.17980610556</v>
      </c>
      <c r="P134" s="102">
        <f t="shared" si="7"/>
        <v>1286729.8266570417</v>
      </c>
    </row>
    <row r="135" spans="12:16" x14ac:dyDescent="0.25">
      <c r="L135" s="82">
        <v>115</v>
      </c>
      <c r="M135" s="101">
        <f t="shared" si="4"/>
        <v>620000</v>
      </c>
      <c r="N135" s="102">
        <f t="shared" si="5"/>
        <v>38601.894799711285</v>
      </c>
      <c r="O135" s="102">
        <f t="shared" si="6"/>
        <v>581398.1052002887</v>
      </c>
      <c r="P135" s="102">
        <f t="shared" si="7"/>
        <v>705331.72145675297</v>
      </c>
    </row>
    <row r="136" spans="12:16" x14ac:dyDescent="0.25">
      <c r="L136" s="105">
        <v>116</v>
      </c>
      <c r="M136" s="103">
        <f t="shared" si="4"/>
        <v>620000</v>
      </c>
      <c r="N136" s="104">
        <f t="shared" si="5"/>
        <v>21159.951643702607</v>
      </c>
      <c r="O136" s="104">
        <f t="shared" si="6"/>
        <v>598840.04835629743</v>
      </c>
      <c r="P136" s="104">
        <f t="shared" si="7"/>
        <v>106491.67310045555</v>
      </c>
    </row>
    <row r="137" spans="12:16" x14ac:dyDescent="0.25">
      <c r="L137" s="19"/>
      <c r="M137" s="75"/>
      <c r="N137" s="75"/>
      <c r="O137" s="75"/>
      <c r="P137" s="75"/>
    </row>
    <row r="138" spans="12:16" x14ac:dyDescent="0.25">
      <c r="M138" s="40"/>
      <c r="O138" s="40"/>
      <c r="P138" s="40"/>
    </row>
    <row r="139" spans="12:16" x14ac:dyDescent="0.25">
      <c r="M139" s="40"/>
      <c r="O139" s="40"/>
      <c r="P139" s="40"/>
    </row>
    <row r="140" spans="12:16" x14ac:dyDescent="0.25">
      <c r="M140" s="40"/>
      <c r="O140" s="40"/>
      <c r="P140" s="40"/>
    </row>
    <row r="141" spans="12:16" x14ac:dyDescent="0.25">
      <c r="M141" s="40"/>
      <c r="O141" s="40"/>
      <c r="P141" s="40"/>
    </row>
  </sheetData>
  <mergeCells count="4">
    <mergeCell ref="B28:K28"/>
    <mergeCell ref="B35:K35"/>
    <mergeCell ref="B50:K50"/>
    <mergeCell ref="L18:P1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zoomScale="85" zoomScaleNormal="85" workbookViewId="0">
      <selection activeCell="I20" sqref="I20"/>
    </sheetView>
  </sheetViews>
  <sheetFormatPr baseColWidth="10" defaultRowHeight="15" x14ac:dyDescent="0.25"/>
  <cols>
    <col min="2" max="2" width="14.42578125" customWidth="1"/>
    <col min="6" max="6" width="12.7109375" bestFit="1" customWidth="1"/>
    <col min="8" max="8" width="11.85546875" bestFit="1" customWidth="1"/>
    <col min="9" max="9" width="13.42578125" bestFit="1" customWidth="1"/>
    <col min="13" max="13" width="12.5703125" bestFit="1" customWidth="1"/>
    <col min="16" max="16" width="12.5703125" bestFit="1" customWidth="1"/>
  </cols>
  <sheetData>
    <row r="2" spans="1:13" x14ac:dyDescent="0.25">
      <c r="B2" t="s">
        <v>33</v>
      </c>
      <c r="H2" s="82" t="s">
        <v>14</v>
      </c>
      <c r="I2" s="102">
        <v>1000000</v>
      </c>
    </row>
    <row r="3" spans="1:13" x14ac:dyDescent="0.25">
      <c r="B3" t="s">
        <v>34</v>
      </c>
      <c r="H3" s="82" t="s">
        <v>6</v>
      </c>
      <c r="I3" s="102">
        <v>200000</v>
      </c>
    </row>
    <row r="4" spans="1:13" x14ac:dyDescent="0.25">
      <c r="B4" t="s">
        <v>35</v>
      </c>
      <c r="H4" s="82" t="s">
        <v>8</v>
      </c>
      <c r="I4" s="109">
        <v>2.5000000000000001E-2</v>
      </c>
      <c r="J4" s="90" t="s">
        <v>10</v>
      </c>
    </row>
    <row r="6" spans="1:13" x14ac:dyDescent="0.25">
      <c r="A6" s="9" t="s">
        <v>18</v>
      </c>
      <c r="B6" t="s">
        <v>36</v>
      </c>
      <c r="H6" s="82" t="s">
        <v>12</v>
      </c>
      <c r="I6" s="90">
        <v>12</v>
      </c>
      <c r="J6" s="90" t="s">
        <v>2</v>
      </c>
    </row>
    <row r="7" spans="1:13" x14ac:dyDescent="0.25">
      <c r="A7" s="9" t="s">
        <v>19</v>
      </c>
      <c r="B7" t="s">
        <v>53</v>
      </c>
      <c r="H7" s="82" t="s">
        <v>37</v>
      </c>
      <c r="I7" s="90" t="s">
        <v>9</v>
      </c>
    </row>
    <row r="8" spans="1:13" x14ac:dyDescent="0.25">
      <c r="A8" s="9"/>
    </row>
    <row r="9" spans="1:13" x14ac:dyDescent="0.25">
      <c r="A9" s="9"/>
    </row>
    <row r="10" spans="1:13" x14ac:dyDescent="0.25">
      <c r="A10" s="45" t="s">
        <v>0</v>
      </c>
    </row>
    <row r="11" spans="1:13" x14ac:dyDescent="0.25">
      <c r="B11" s="4"/>
      <c r="C11" s="4"/>
      <c r="D11" s="4"/>
      <c r="E11" s="4"/>
      <c r="F11" s="4"/>
    </row>
    <row r="12" spans="1:13" x14ac:dyDescent="0.25">
      <c r="A12">
        <v>0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3" x14ac:dyDescent="0.25">
      <c r="B13" s="3"/>
      <c r="C13" s="110"/>
      <c r="D13" s="111"/>
      <c r="E13" s="4"/>
      <c r="F13" s="3"/>
    </row>
    <row r="14" spans="1:13" x14ac:dyDescent="0.25">
      <c r="A14" s="46">
        <v>1000000</v>
      </c>
      <c r="B14" s="47">
        <v>200000</v>
      </c>
      <c r="C14" s="47">
        <v>200000</v>
      </c>
      <c r="D14" s="47">
        <v>200000</v>
      </c>
      <c r="E14" s="47">
        <v>200000</v>
      </c>
      <c r="F14" s="47">
        <v>200000</v>
      </c>
      <c r="G14" s="47">
        <v>200000</v>
      </c>
      <c r="H14" s="47">
        <v>200000</v>
      </c>
      <c r="I14" s="47">
        <v>200000</v>
      </c>
      <c r="J14" s="47">
        <v>200000</v>
      </c>
      <c r="K14" s="47">
        <v>200000</v>
      </c>
      <c r="L14" s="47">
        <v>200000</v>
      </c>
      <c r="M14" s="47">
        <v>200000</v>
      </c>
    </row>
    <row r="16" spans="1:13" x14ac:dyDescent="0.25">
      <c r="A16" s="102">
        <f>A14*(1+$I$4)^(A12)</f>
        <v>1000000</v>
      </c>
      <c r="B16" s="102">
        <f>B14/(1+$I$4)^(B12)</f>
        <v>195121.95121951221</v>
      </c>
      <c r="C16" s="102">
        <f t="shared" ref="C16:M16" si="0">C14/(1+$I$4)^(C12)</f>
        <v>190362.87923854848</v>
      </c>
      <c r="D16" s="102">
        <f t="shared" si="0"/>
        <v>185719.88218394975</v>
      </c>
      <c r="E16" s="102">
        <f t="shared" si="0"/>
        <v>181190.12895995099</v>
      </c>
      <c r="F16" s="102">
        <f t="shared" si="0"/>
        <v>176770.85752190344</v>
      </c>
      <c r="G16" s="102">
        <f t="shared" si="0"/>
        <v>172459.37319210093</v>
      </c>
      <c r="H16" s="102">
        <f t="shared" si="0"/>
        <v>168253.04701668382</v>
      </c>
      <c r="I16" s="102">
        <f t="shared" si="0"/>
        <v>164149.31416261836</v>
      </c>
      <c r="J16" s="102">
        <f t="shared" si="0"/>
        <v>160145.67235377405</v>
      </c>
      <c r="K16" s="102">
        <f t="shared" si="0"/>
        <v>156239.6803451454</v>
      </c>
      <c r="L16" s="102">
        <f t="shared" si="0"/>
        <v>152428.95643428821</v>
      </c>
      <c r="M16" s="102">
        <f t="shared" si="0"/>
        <v>148711.17700906168</v>
      </c>
    </row>
    <row r="17" spans="1:16" x14ac:dyDescent="0.25">
      <c r="A17" s="105" t="s">
        <v>59</v>
      </c>
      <c r="B17" s="114">
        <f>SUM(A16:M16)</f>
        <v>3051552.9196375376</v>
      </c>
    </row>
    <row r="18" spans="1:16" x14ac:dyDescent="0.25">
      <c r="B18" s="113" t="s">
        <v>83</v>
      </c>
      <c r="F18" s="106" t="s">
        <v>52</v>
      </c>
      <c r="I18" s="106" t="s">
        <v>15</v>
      </c>
      <c r="L18" s="120" t="s">
        <v>54</v>
      </c>
      <c r="M18" s="120"/>
      <c r="N18" s="120"/>
      <c r="O18" s="120"/>
      <c r="P18" s="120"/>
    </row>
    <row r="19" spans="1:16" x14ac:dyDescent="0.25">
      <c r="L19" s="82" t="s">
        <v>46</v>
      </c>
      <c r="M19" s="82" t="s">
        <v>84</v>
      </c>
      <c r="N19" s="82" t="s">
        <v>85</v>
      </c>
      <c r="O19" s="82" t="s">
        <v>86</v>
      </c>
      <c r="P19" s="82" t="s">
        <v>87</v>
      </c>
    </row>
    <row r="20" spans="1:16" x14ac:dyDescent="0.25">
      <c r="B20" s="115">
        <f>I3*(((1+I4)^I6-1)/(I4*(1+I4)^I6))+I2</f>
        <v>3051552.9196375329</v>
      </c>
      <c r="F20" s="112">
        <f>-PV(I4,I6,I3,0,0)+I2</f>
        <v>3051552.9196375329</v>
      </c>
      <c r="I20" s="112">
        <f>-PV(I4,I6,I3,0)+I2</f>
        <v>3051552.9196375329</v>
      </c>
      <c r="L20" s="82">
        <v>0</v>
      </c>
      <c r="M20" s="101">
        <v>1000000</v>
      </c>
      <c r="N20" s="101"/>
      <c r="O20" s="101"/>
      <c r="P20" s="101">
        <v>2051552.9196375369</v>
      </c>
    </row>
    <row r="21" spans="1:16" x14ac:dyDescent="0.25">
      <c r="L21" s="82">
        <v>1</v>
      </c>
      <c r="M21" s="101">
        <f>$I$3</f>
        <v>200000</v>
      </c>
      <c r="N21" s="102">
        <f>P20*$I$4</f>
        <v>51288.822990938424</v>
      </c>
      <c r="O21" s="102">
        <f>M21-N21</f>
        <v>148711.17700906156</v>
      </c>
      <c r="P21" s="102">
        <f>P20-O21</f>
        <v>1902841.7426284752</v>
      </c>
    </row>
    <row r="22" spans="1:16" x14ac:dyDescent="0.25">
      <c r="L22" s="82">
        <v>2</v>
      </c>
      <c r="M22" s="101">
        <f t="shared" ref="M22:M32" si="1">$I$3</f>
        <v>200000</v>
      </c>
      <c r="N22" s="102">
        <f t="shared" ref="N22:N32" si="2">P21*$I$4</f>
        <v>47571.04356571188</v>
      </c>
      <c r="O22" s="102">
        <f t="shared" ref="O22:O32" si="3">M22-N22</f>
        <v>152428.95643428812</v>
      </c>
      <c r="P22" s="102">
        <f t="shared" ref="P22:P32" si="4">P21-O22</f>
        <v>1750412.7861941871</v>
      </c>
    </row>
    <row r="23" spans="1:16" x14ac:dyDescent="0.25">
      <c r="L23" s="82">
        <v>3</v>
      </c>
      <c r="M23" s="101">
        <f t="shared" si="1"/>
        <v>200000</v>
      </c>
      <c r="N23" s="102">
        <f t="shared" si="2"/>
        <v>43760.319654854684</v>
      </c>
      <c r="O23" s="102">
        <f t="shared" si="3"/>
        <v>156239.68034514532</v>
      </c>
      <c r="P23" s="102">
        <f t="shared" si="4"/>
        <v>1594173.1058490418</v>
      </c>
    </row>
    <row r="24" spans="1:16" x14ac:dyDescent="0.25">
      <c r="L24" s="82">
        <v>4</v>
      </c>
      <c r="M24" s="101">
        <f t="shared" si="1"/>
        <v>200000</v>
      </c>
      <c r="N24" s="102">
        <f t="shared" si="2"/>
        <v>39854.327646226047</v>
      </c>
      <c r="O24" s="102">
        <f t="shared" si="3"/>
        <v>160145.67235377396</v>
      </c>
      <c r="P24" s="102">
        <f t="shared" si="4"/>
        <v>1434027.4334952678</v>
      </c>
    </row>
    <row r="25" spans="1:16" x14ac:dyDescent="0.25">
      <c r="L25" s="82">
        <v>5</v>
      </c>
      <c r="M25" s="101">
        <f t="shared" si="1"/>
        <v>200000</v>
      </c>
      <c r="N25" s="102">
        <f t="shared" si="2"/>
        <v>35850.685837381694</v>
      </c>
      <c r="O25" s="102">
        <f t="shared" si="3"/>
        <v>164149.31416261831</v>
      </c>
      <c r="P25" s="102">
        <f t="shared" si="4"/>
        <v>1269878.1193326495</v>
      </c>
    </row>
    <row r="26" spans="1:16" x14ac:dyDescent="0.25">
      <c r="L26" s="82">
        <v>6</v>
      </c>
      <c r="M26" s="101">
        <f t="shared" si="1"/>
        <v>200000</v>
      </c>
      <c r="N26" s="102">
        <f t="shared" si="2"/>
        <v>31746.952983316238</v>
      </c>
      <c r="O26" s="102">
        <f t="shared" si="3"/>
        <v>168253.04701668376</v>
      </c>
      <c r="P26" s="102">
        <f t="shared" si="4"/>
        <v>1101625.0723159658</v>
      </c>
    </row>
    <row r="27" spans="1:16" x14ac:dyDescent="0.25">
      <c r="A27" s="82" t="s">
        <v>93</v>
      </c>
      <c r="B27" s="57" t="s">
        <v>98</v>
      </c>
      <c r="L27" s="82">
        <v>7</v>
      </c>
      <c r="M27" s="101">
        <f t="shared" si="1"/>
        <v>200000</v>
      </c>
      <c r="N27" s="102">
        <f t="shared" si="2"/>
        <v>27540.626807899145</v>
      </c>
      <c r="O27" s="102">
        <f t="shared" si="3"/>
        <v>172459.37319210084</v>
      </c>
      <c r="P27" s="102">
        <f t="shared" si="4"/>
        <v>929165.69912386499</v>
      </c>
    </row>
    <row r="28" spans="1:16" x14ac:dyDescent="0.25">
      <c r="L28" s="82">
        <v>8</v>
      </c>
      <c r="M28" s="101">
        <f t="shared" si="1"/>
        <v>200000</v>
      </c>
      <c r="N28" s="102">
        <f t="shared" si="2"/>
        <v>23229.142478096626</v>
      </c>
      <c r="O28" s="102">
        <f t="shared" si="3"/>
        <v>176770.85752190338</v>
      </c>
      <c r="P28" s="102">
        <f t="shared" si="4"/>
        <v>752394.84160196164</v>
      </c>
    </row>
    <row r="29" spans="1:16" x14ac:dyDescent="0.25">
      <c r="L29" s="82">
        <v>9</v>
      </c>
      <c r="M29" s="101">
        <f t="shared" si="1"/>
        <v>200000</v>
      </c>
      <c r="N29" s="102">
        <f t="shared" si="2"/>
        <v>18809.871040049042</v>
      </c>
      <c r="O29" s="102">
        <f t="shared" si="3"/>
        <v>181190.12895995096</v>
      </c>
      <c r="P29" s="102">
        <f t="shared" si="4"/>
        <v>571204.71264201065</v>
      </c>
    </row>
    <row r="30" spans="1:16" x14ac:dyDescent="0.25">
      <c r="L30" s="82">
        <v>10</v>
      </c>
      <c r="M30" s="101">
        <f t="shared" si="1"/>
        <v>200000</v>
      </c>
      <c r="N30" s="102">
        <f t="shared" si="2"/>
        <v>14280.117816050268</v>
      </c>
      <c r="O30" s="102">
        <f t="shared" si="3"/>
        <v>185719.88218394973</v>
      </c>
      <c r="P30" s="102">
        <f t="shared" si="4"/>
        <v>385484.83045806095</v>
      </c>
    </row>
    <row r="31" spans="1:16" x14ac:dyDescent="0.25">
      <c r="L31" s="82">
        <v>11</v>
      </c>
      <c r="M31" s="101">
        <f t="shared" si="1"/>
        <v>200000</v>
      </c>
      <c r="N31" s="102">
        <f t="shared" si="2"/>
        <v>9637.1207614515242</v>
      </c>
      <c r="O31" s="102">
        <f t="shared" si="3"/>
        <v>190362.87923854848</v>
      </c>
      <c r="P31" s="102">
        <f t="shared" si="4"/>
        <v>195121.95121951247</v>
      </c>
    </row>
    <row r="32" spans="1:16" x14ac:dyDescent="0.25">
      <c r="L32" s="105">
        <v>12</v>
      </c>
      <c r="M32" s="103">
        <f t="shared" si="1"/>
        <v>200000</v>
      </c>
      <c r="N32" s="104">
        <f t="shared" si="2"/>
        <v>4878.0487804878121</v>
      </c>
      <c r="O32" s="104">
        <f t="shared" si="3"/>
        <v>195121.95121951218</v>
      </c>
      <c r="P32" s="104">
        <f t="shared" si="4"/>
        <v>2.9103830456733704E-10</v>
      </c>
    </row>
  </sheetData>
  <mergeCells count="1">
    <mergeCell ref="L18:P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tabSelected="1" workbookViewId="0">
      <selection activeCell="F10" sqref="F10"/>
    </sheetView>
  </sheetViews>
  <sheetFormatPr baseColWidth="10" defaultRowHeight="15" x14ac:dyDescent="0.25"/>
  <sheetData>
    <row r="3" spans="1:12" x14ac:dyDescent="0.25">
      <c r="B3" s="27"/>
    </row>
    <row r="4" spans="1:12" x14ac:dyDescent="0.25">
      <c r="B4" t="s">
        <v>41</v>
      </c>
      <c r="J4" s="82" t="s">
        <v>0</v>
      </c>
      <c r="K4" s="102">
        <v>1000000</v>
      </c>
    </row>
    <row r="5" spans="1:12" x14ac:dyDescent="0.25">
      <c r="B5" t="s">
        <v>42</v>
      </c>
      <c r="J5" s="82" t="s">
        <v>43</v>
      </c>
      <c r="K5" s="102">
        <v>3000000</v>
      </c>
    </row>
    <row r="6" spans="1:12" x14ac:dyDescent="0.25">
      <c r="J6" s="82" t="s">
        <v>8</v>
      </c>
      <c r="K6" s="94">
        <v>0.41909999999999997</v>
      </c>
      <c r="L6" s="90" t="s">
        <v>92</v>
      </c>
    </row>
    <row r="7" spans="1:12" x14ac:dyDescent="0.25">
      <c r="A7" s="9"/>
      <c r="J7" s="82" t="s">
        <v>91</v>
      </c>
      <c r="K7" s="116">
        <f>K6/12</f>
        <v>3.4924999999999998E-2</v>
      </c>
      <c r="L7" s="90" t="s">
        <v>10</v>
      </c>
    </row>
    <row r="8" spans="1:12" x14ac:dyDescent="0.25">
      <c r="A8" s="9" t="s">
        <v>18</v>
      </c>
      <c r="B8" t="s">
        <v>44</v>
      </c>
      <c r="J8" s="82" t="s">
        <v>12</v>
      </c>
      <c r="K8" s="90">
        <v>32</v>
      </c>
      <c r="L8" s="90" t="s">
        <v>2</v>
      </c>
    </row>
    <row r="11" spans="1:12" x14ac:dyDescent="0.25">
      <c r="B11" s="106" t="s">
        <v>15</v>
      </c>
      <c r="D11" s="107">
        <f>NPER(K7,0,-K4,K5)</f>
        <v>32.002492307148124</v>
      </c>
    </row>
    <row r="19" spans="1:2" x14ac:dyDescent="0.25">
      <c r="A19" s="82" t="s">
        <v>96</v>
      </c>
      <c r="B19" s="57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Ejemplos</vt:lpstr>
      <vt:lpstr>E1</vt:lpstr>
      <vt:lpstr>E2</vt:lpstr>
      <vt:lpstr>E3</vt:lpstr>
      <vt:lpstr>E4</vt:lpstr>
      <vt:lpstr>E5</vt:lpstr>
    </vt:vector>
  </TitlesOfParts>
  <Company>HOGAR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WILMAR DAYAN HERRERA BASTIDAS</cp:lastModifiedBy>
  <dcterms:created xsi:type="dcterms:W3CDTF">2014-11-07T18:05:06Z</dcterms:created>
  <dcterms:modified xsi:type="dcterms:W3CDTF">2024-05-04T19:31:32Z</dcterms:modified>
</cp:coreProperties>
</file>